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5BED2AEE-ABD0-40E8-BD43-2BC5F23825D6}" xr6:coauthVersionLast="45" xr6:coauthVersionMax="45" xr10:uidLastSave="{00000000-0000-0000-0000-000000000000}"/>
  <workbookProtection workbookPassword="C7A8" lockStructure="1"/>
  <bookViews>
    <workbookView xWindow="-120" yWindow="-120" windowWidth="20730" windowHeight="11160" tabRatio="760" firstSheet="20" activeTab="20" xr2:uid="{00000000-000D-0000-FFFF-FFFF00000000}"/>
  </bookViews>
  <sheets>
    <sheet name="&quot;Стандарт&quot;" sheetId="47" state="hidden" r:id="rId1"/>
    <sheet name="&quot;Доверие&quot;" sheetId="39" state="hidden" r:id="rId2"/>
    <sheet name="&quot;Щедрый&quot;" sheetId="3" state="hidden" r:id="rId3"/>
    <sheet name="&quot;Горячее погашение&quot;" sheetId="48" state="hidden" r:id="rId4"/>
    <sheet name="&quot;Горячее погашение&quot; АКЦИЯ" sheetId="55" state="hidden" r:id="rId5"/>
    <sheet name="Кредит-экспресс_короткий_АКЦИЯ" sheetId="53" state="hidden" r:id="rId6"/>
    <sheet name="Кредит-экспресс_долгий_АКЦИЯ" sheetId="54" state="hidden" r:id="rId7"/>
    <sheet name="Экспресс &quot;Без справки&quot;" sheetId="45" state="hidden" r:id="rId8"/>
    <sheet name="&quot;Без справки&quot;_короткий_АКЦИЯ" sheetId="49" state="hidden" r:id="rId9"/>
    <sheet name="&quot;Без справки&quot;_долгий_АКЦИЯ" sheetId="50" state="hidden" r:id="rId10"/>
    <sheet name="Экспресс &quot;Выгодный&quot;" sheetId="46" state="hidden" r:id="rId11"/>
    <sheet name="&quot;Выгодный&quot;_короткий_АКЦИЯ" sheetId="51" state="hidden" r:id="rId12"/>
    <sheet name="&quot;Выгодный&quot;_долгий_АКЦИЯ" sheetId="52" state="hidden" r:id="rId13"/>
    <sheet name="Доверие_new" sheetId="26" state="hidden" r:id="rId14"/>
    <sheet name="На учебу" sheetId="41" state="hidden" r:id="rId15"/>
    <sheet name="&quot;Оптимальный&quot;" sheetId="1" state="hidden" r:id="rId16"/>
    <sheet name="расчет 3месяца для льгот проц" sheetId="57" state="hidden" r:id="rId17"/>
    <sheet name="Стандарт, Доверие, Щедрый" sheetId="59" state="hidden" r:id="rId18"/>
    <sheet name="Горячее погашение" sheetId="60" state="hidden" r:id="rId19"/>
    <sheet name="Аннуитет" sheetId="61" state="hidden" r:id="rId20"/>
    <sheet name="Кредитный калькулятор" sheetId="67" r:id="rId21"/>
    <sheet name="Гарант" sheetId="68" state="hidden" r:id="rId22"/>
    <sheet name="Лист1" sheetId="71" r:id="rId23"/>
  </sheets>
  <definedNames>
    <definedName name="_xlnm._FilterDatabase" localSheetId="15" hidden="1">'"Оптимальный"'!$A$7:$AS$88</definedName>
    <definedName name="_xlnm._FilterDatabase" localSheetId="19" hidden="1">Аннуитет!$B$4:$D$10</definedName>
    <definedName name="_xlnm._FilterDatabase" localSheetId="20" hidden="1">'Кредитный калькулятор'!$B$3:$G$11</definedName>
    <definedName name="_xlnm.Print_Area" localSheetId="9">'"Без справки"_долгий_АКЦИЯ'!$B$1:$L$150</definedName>
    <definedName name="_xlnm.Print_Area" localSheetId="8">'"Без справки"_короткий_АКЦИЯ'!$B$1:$L$150</definedName>
    <definedName name="_xlnm.Print_Area" localSheetId="12">'"Выгодный"_долгий_АКЦИЯ'!$B$1:$L$150</definedName>
    <definedName name="_xlnm.Print_Area" localSheetId="11">'"Выгодный"_короткий_АКЦИЯ'!$B$1:$L$150</definedName>
    <definedName name="_xlnm.Print_Area" localSheetId="3">'"Горячее погашение"'!$B$1:$L$151</definedName>
    <definedName name="_xlnm.Print_Area" localSheetId="4">'"Горячее погашение" АКЦИЯ'!$B$1:$L$151</definedName>
    <definedName name="_xlnm.Print_Area" localSheetId="1">'"Доверие"'!$B$1:$L$150</definedName>
    <definedName name="_xlnm.Print_Area" localSheetId="15">'"Оптимальный"'!$B$1:$L$150</definedName>
    <definedName name="_xlnm.Print_Area" localSheetId="0">'"Стандарт"'!$B$37:$L$156</definedName>
    <definedName name="_xlnm.Print_Area" localSheetId="2">'"Щедрый"'!$B$5:$L$85,'"Щедрый"'!$B$86:$K$122</definedName>
    <definedName name="_xlnm.Print_Area" localSheetId="19">Аннуитет!$B$12:$I$86</definedName>
    <definedName name="_xlnm.Print_Area" localSheetId="21">Гарант!$B$14:$M$171</definedName>
    <definedName name="_xlnm.Print_Area" localSheetId="18">'Горячее погашение'!$B$13:$M$122</definedName>
    <definedName name="_xlnm.Print_Area" localSheetId="13">Доверие_new!$B$1:$L$168</definedName>
    <definedName name="_xlnm.Print_Area" localSheetId="20">'Кредитный калькулятор'!$B$13:$M$169</definedName>
    <definedName name="_xlnm.Print_Area" localSheetId="6">'Кредит-экспресс_долгий_АКЦИЯ'!$B$1:$L$151</definedName>
    <definedName name="_xlnm.Print_Area" localSheetId="5">'Кредит-экспресс_короткий_АКЦИЯ'!$B$1:$L$151</definedName>
    <definedName name="_xlnm.Print_Area" localSheetId="14">'На учебу'!$B$1:$L$150</definedName>
    <definedName name="_xlnm.Print_Area" localSheetId="17">'Стандарт, Доверие, Щедрый'!$B$14:$M$123</definedName>
    <definedName name="_xlnm.Print_Area" localSheetId="7">'Экспресс "Без справки"'!$B$1:$L$150</definedName>
    <definedName name="_xlnm.Print_Area" localSheetId="10">'Экспресс "Выгодный"'!$B$1:$L$150</definedName>
    <definedName name="Срок">Аннуитет!$A$24:$A$25</definedName>
    <definedName name="срок_лимита">#REF!</definedName>
    <definedName name="срок_ъкредита">#REF!</definedName>
    <definedName name="сроки">'Кредитный калькулятор'!$Q$10</definedName>
    <definedName name="сумма" localSheetId="21">#REF!</definedName>
    <definedName name="сумма">#REF!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0" i="67" l="1"/>
  <c r="AT81" i="67" l="1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71" i="67"/>
  <c r="AT72" i="67"/>
  <c r="AT73" i="67"/>
  <c r="AT74" i="67"/>
  <c r="AT75" i="67"/>
  <c r="AT76" i="67"/>
  <c r="AT77" i="67"/>
  <c r="AT78" i="67"/>
  <c r="AT79" i="67"/>
  <c r="AT80" i="67"/>
  <c r="AT70" i="67"/>
  <c r="I53" i="67" l="1"/>
  <c r="N40" i="67" s="1"/>
  <c r="A59" i="67"/>
  <c r="P97" i="67" s="1"/>
  <c r="G18" i="67"/>
  <c r="D8" i="68"/>
  <c r="H169" i="68"/>
  <c r="C169" i="68"/>
  <c r="A166" i="68"/>
  <c r="A165" i="68"/>
  <c r="A164" i="68"/>
  <c r="A163" i="68"/>
  <c r="A162" i="68"/>
  <c r="A161" i="68"/>
  <c r="A160" i="68"/>
  <c r="A159" i="68"/>
  <c r="A158" i="68"/>
  <c r="A157" i="68"/>
  <c r="A156" i="68"/>
  <c r="A155" i="68"/>
  <c r="A154" i="68"/>
  <c r="A153" i="68"/>
  <c r="A152" i="68"/>
  <c r="A151" i="68"/>
  <c r="A149" i="68"/>
  <c r="A148" i="68"/>
  <c r="A147" i="68"/>
  <c r="A146" i="68"/>
  <c r="A145" i="68"/>
  <c r="A144" i="68"/>
  <c r="A143" i="68"/>
  <c r="AT132" i="68"/>
  <c r="AT131" i="68"/>
  <c r="AT130" i="68"/>
  <c r="AT129" i="68"/>
  <c r="AT128" i="68"/>
  <c r="AT127" i="68"/>
  <c r="AT126" i="68"/>
  <c r="AT125" i="68"/>
  <c r="AT124" i="68"/>
  <c r="AT123" i="68"/>
  <c r="AT122" i="68"/>
  <c r="AT121" i="68"/>
  <c r="AT120" i="68"/>
  <c r="AT119" i="68"/>
  <c r="AT118" i="68"/>
  <c r="AT117" i="68"/>
  <c r="AT116" i="68"/>
  <c r="AT115" i="68"/>
  <c r="AT114" i="68"/>
  <c r="AT113" i="68"/>
  <c r="AT112" i="68"/>
  <c r="AT111" i="68"/>
  <c r="AT110" i="68"/>
  <c r="AT109" i="68"/>
  <c r="AT108" i="68"/>
  <c r="AT107" i="68"/>
  <c r="AT106" i="68"/>
  <c r="AT105" i="68"/>
  <c r="AT104" i="68"/>
  <c r="AT103" i="68"/>
  <c r="AT102" i="68"/>
  <c r="AT101" i="68"/>
  <c r="AT100" i="68"/>
  <c r="AT99" i="68"/>
  <c r="AT98" i="68"/>
  <c r="AT97" i="68"/>
  <c r="AT96" i="68"/>
  <c r="AT95" i="68"/>
  <c r="AT94" i="68"/>
  <c r="AT93" i="68"/>
  <c r="AT92" i="68"/>
  <c r="AT91" i="68"/>
  <c r="AT90" i="68"/>
  <c r="AT89" i="68"/>
  <c r="AT88" i="68"/>
  <c r="AT87" i="68"/>
  <c r="AT86" i="68"/>
  <c r="AT85" i="68"/>
  <c r="AT84" i="68"/>
  <c r="AT83" i="68"/>
  <c r="AT82" i="68"/>
  <c r="AT81" i="68"/>
  <c r="AT80" i="68"/>
  <c r="AT79" i="68"/>
  <c r="AT78" i="68"/>
  <c r="AT77" i="68"/>
  <c r="AT76" i="68"/>
  <c r="AT75" i="68"/>
  <c r="AT74" i="68"/>
  <c r="AT73" i="68"/>
  <c r="N73" i="68"/>
  <c r="N74" i="68" s="1"/>
  <c r="T72" i="68"/>
  <c r="A73" i="68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T72" i="68"/>
  <c r="Z72" i="68"/>
  <c r="S72" i="68"/>
  <c r="AK72" i="68" s="1"/>
  <c r="A60" i="68"/>
  <c r="R58" i="68"/>
  <c r="H58" i="68"/>
  <c r="S57" i="68"/>
  <c r="I54" i="68"/>
  <c r="N41" i="68" s="1"/>
  <c r="E45" i="68"/>
  <c r="E44" i="68"/>
  <c r="I39" i="68"/>
  <c r="B39" i="68"/>
  <c r="G31" i="68"/>
  <c r="G30" i="68"/>
  <c r="G24" i="68"/>
  <c r="G22" i="68"/>
  <c r="G20" i="68"/>
  <c r="G19" i="68"/>
  <c r="B15" i="68"/>
  <c r="G9" i="68"/>
  <c r="G8" i="68"/>
  <c r="G6" i="68"/>
  <c r="G5" i="68"/>
  <c r="H167" i="67"/>
  <c r="C167" i="67"/>
  <c r="A164" i="67"/>
  <c r="A163" i="67"/>
  <c r="A162" i="67"/>
  <c r="A161" i="67"/>
  <c r="A160" i="67"/>
  <c r="A159" i="67"/>
  <c r="A158" i="67"/>
  <c r="A157" i="67"/>
  <c r="A156" i="67"/>
  <c r="A155" i="67"/>
  <c r="A154" i="67"/>
  <c r="A153" i="67"/>
  <c r="A152" i="67"/>
  <c r="A151" i="67"/>
  <c r="A150" i="67"/>
  <c r="A149" i="67"/>
  <c r="A147" i="67"/>
  <c r="A146" i="67"/>
  <c r="A145" i="67"/>
  <c r="A144" i="67"/>
  <c r="A143" i="67"/>
  <c r="A142" i="67"/>
  <c r="A141" i="67"/>
  <c r="N71" i="67"/>
  <c r="D71" i="67" s="1"/>
  <c r="A71" i="67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Z70" i="67"/>
  <c r="S70" i="67"/>
  <c r="R57" i="67"/>
  <c r="H57" i="67"/>
  <c r="S56" i="67"/>
  <c r="E44" i="67"/>
  <c r="E43" i="67"/>
  <c r="I38" i="67"/>
  <c r="B38" i="67"/>
  <c r="G30" i="67"/>
  <c r="G29" i="67"/>
  <c r="G21" i="67"/>
  <c r="B14" i="67"/>
  <c r="G8" i="67"/>
  <c r="G6" i="67"/>
  <c r="L32" i="61"/>
  <c r="L29" i="61"/>
  <c r="F17" i="61"/>
  <c r="F22" i="61"/>
  <c r="F20" i="61"/>
  <c r="C8" i="61"/>
  <c r="L33" i="61" s="1"/>
  <c r="B38" i="61" s="1"/>
  <c r="D9" i="60"/>
  <c r="S46" i="60" s="1"/>
  <c r="D10" i="59"/>
  <c r="R48" i="59" s="1"/>
  <c r="G22" i="59"/>
  <c r="B13" i="61"/>
  <c r="L30" i="61"/>
  <c r="B33" i="61"/>
  <c r="H33" i="61"/>
  <c r="A39" i="61"/>
  <c r="A40" i="61" s="1"/>
  <c r="A41" i="61" s="1"/>
  <c r="A42" i="61" s="1"/>
  <c r="A43" i="61" s="1"/>
  <c r="A44" i="61" s="1"/>
  <c r="A45" i="61" s="1"/>
  <c r="A46" i="61" s="1"/>
  <c r="A47" i="61" s="1"/>
  <c r="A48" i="61" s="1"/>
  <c r="A49" i="61" s="1"/>
  <c r="A50" i="61" s="1"/>
  <c r="A51" i="61" s="1"/>
  <c r="A52" i="61" s="1"/>
  <c r="A53" i="61" s="1"/>
  <c r="A54" i="61" s="1"/>
  <c r="A55" i="61" s="1"/>
  <c r="A56" i="61" s="1"/>
  <c r="A57" i="61" s="1"/>
  <c r="A58" i="61" s="1"/>
  <c r="A59" i="61" s="1"/>
  <c r="A60" i="61" s="1"/>
  <c r="A61" i="61" s="1"/>
  <c r="A62" i="61" s="1"/>
  <c r="G5" i="60"/>
  <c r="G7" i="60"/>
  <c r="G8" i="60"/>
  <c r="B14" i="60"/>
  <c r="G18" i="60"/>
  <c r="G19" i="60"/>
  <c r="G21" i="60"/>
  <c r="G23" i="60"/>
  <c r="B34" i="60"/>
  <c r="I34" i="60"/>
  <c r="I43" i="60"/>
  <c r="A40" i="60" s="1"/>
  <c r="H47" i="60"/>
  <c r="S61" i="60"/>
  <c r="AK61" i="60" s="1"/>
  <c r="Z61" i="60"/>
  <c r="AT61" i="60"/>
  <c r="A62" i="60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N62" i="60"/>
  <c r="T61" i="60" s="1"/>
  <c r="AT62" i="60"/>
  <c r="AT63" i="60"/>
  <c r="AT64" i="60"/>
  <c r="AT65" i="60"/>
  <c r="AT66" i="60"/>
  <c r="AT67" i="60"/>
  <c r="AT68" i="60"/>
  <c r="AT69" i="60"/>
  <c r="AT70" i="60"/>
  <c r="AT71" i="60"/>
  <c r="AT72" i="60"/>
  <c r="AT73" i="60"/>
  <c r="AT74" i="60"/>
  <c r="AT75" i="60"/>
  <c r="AT76" i="60"/>
  <c r="AT77" i="60"/>
  <c r="AT78" i="60"/>
  <c r="AT79" i="60"/>
  <c r="AT80" i="60"/>
  <c r="AT81" i="60"/>
  <c r="AT82" i="60"/>
  <c r="AT83" i="60"/>
  <c r="AT84" i="60"/>
  <c r="AT85" i="60"/>
  <c r="AT86" i="60"/>
  <c r="AT87" i="60"/>
  <c r="AT88" i="60"/>
  <c r="AT89" i="60"/>
  <c r="AT90" i="60"/>
  <c r="AT91" i="60"/>
  <c r="AT92" i="60"/>
  <c r="AT93" i="60"/>
  <c r="AT94" i="60"/>
  <c r="AT95" i="60"/>
  <c r="AT96" i="60"/>
  <c r="AT97" i="60"/>
  <c r="AT98" i="60"/>
  <c r="AT99" i="60"/>
  <c r="AT100" i="60"/>
  <c r="AT101" i="60"/>
  <c r="AT102" i="60"/>
  <c r="AT103" i="60"/>
  <c r="AT104" i="60"/>
  <c r="AT105" i="60"/>
  <c r="AT106" i="60"/>
  <c r="AT107" i="60"/>
  <c r="AT108" i="60"/>
  <c r="AT109" i="60"/>
  <c r="AT110" i="60"/>
  <c r="AT111" i="60"/>
  <c r="AT112" i="60"/>
  <c r="AT113" i="60"/>
  <c r="AT114" i="60"/>
  <c r="AT115" i="60"/>
  <c r="AT116" i="60"/>
  <c r="AT117" i="60"/>
  <c r="AT118" i="60"/>
  <c r="AT119" i="60"/>
  <c r="AT120" i="60"/>
  <c r="AT121" i="60"/>
  <c r="A132" i="60"/>
  <c r="A133" i="60"/>
  <c r="A134" i="60"/>
  <c r="A135" i="60"/>
  <c r="A136" i="60"/>
  <c r="A137" i="60"/>
  <c r="A138" i="60"/>
  <c r="A140" i="60"/>
  <c r="A141" i="60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G5" i="59"/>
  <c r="G6" i="59"/>
  <c r="G8" i="59"/>
  <c r="G9" i="59"/>
  <c r="B15" i="59"/>
  <c r="G19" i="59"/>
  <c r="G20" i="59"/>
  <c r="G24" i="59"/>
  <c r="B35" i="59"/>
  <c r="I35" i="59"/>
  <c r="I44" i="59"/>
  <c r="H48" i="59"/>
  <c r="S62" i="59"/>
  <c r="AK62" i="59" s="1"/>
  <c r="Z62" i="59"/>
  <c r="AT62" i="59"/>
  <c r="A63" i="59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78" i="59" s="1"/>
  <c r="A79" i="59" s="1"/>
  <c r="A80" i="59" s="1"/>
  <c r="A81" i="59" s="1"/>
  <c r="A82" i="59" s="1"/>
  <c r="A83" i="59" s="1"/>
  <c r="A84" i="59" s="1"/>
  <c r="A85" i="59" s="1"/>
  <c r="N63" i="59"/>
  <c r="AT63" i="59"/>
  <c r="AT64" i="59"/>
  <c r="AT65" i="59"/>
  <c r="AT66" i="59"/>
  <c r="AT67" i="59"/>
  <c r="AT68" i="59"/>
  <c r="AT69" i="59"/>
  <c r="AT70" i="59"/>
  <c r="AT71" i="59"/>
  <c r="AT72" i="59"/>
  <c r="AT73" i="59"/>
  <c r="AT74" i="59"/>
  <c r="AT75" i="59"/>
  <c r="AT76" i="59"/>
  <c r="AT77" i="59"/>
  <c r="AT78" i="59"/>
  <c r="AT79" i="59"/>
  <c r="AT80" i="59"/>
  <c r="AT81" i="59"/>
  <c r="AT82" i="59"/>
  <c r="AT83" i="59"/>
  <c r="AT84" i="59"/>
  <c r="AT85" i="59"/>
  <c r="AT86" i="59"/>
  <c r="AT87" i="59"/>
  <c r="AT88" i="59"/>
  <c r="AT89" i="59"/>
  <c r="AT90" i="59"/>
  <c r="AT91" i="59"/>
  <c r="AT92" i="59"/>
  <c r="AT93" i="59"/>
  <c r="AT94" i="59"/>
  <c r="AT95" i="59"/>
  <c r="AT96" i="59"/>
  <c r="AT97" i="59"/>
  <c r="AT98" i="59"/>
  <c r="AT99" i="59"/>
  <c r="AT100" i="59"/>
  <c r="AT101" i="59"/>
  <c r="AT102" i="59"/>
  <c r="AT103" i="59"/>
  <c r="AT104" i="59"/>
  <c r="AT105" i="59"/>
  <c r="AT106" i="59"/>
  <c r="AT107" i="59"/>
  <c r="AT108" i="59"/>
  <c r="AT109" i="59"/>
  <c r="AT110" i="59"/>
  <c r="AT111" i="59"/>
  <c r="AT112" i="59"/>
  <c r="AT113" i="59"/>
  <c r="AT114" i="59"/>
  <c r="AT115" i="59"/>
  <c r="AT116" i="59"/>
  <c r="AT117" i="59"/>
  <c r="AT118" i="59"/>
  <c r="AT119" i="59"/>
  <c r="AT120" i="59"/>
  <c r="AT121" i="59"/>
  <c r="AT122" i="59"/>
  <c r="A133" i="59"/>
  <c r="A134" i="59"/>
  <c r="A135" i="59"/>
  <c r="A136" i="59"/>
  <c r="A137" i="59"/>
  <c r="A138" i="59"/>
  <c r="A139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D10" i="47"/>
  <c r="H44" i="47"/>
  <c r="M37" i="47" s="1"/>
  <c r="B2" i="47" s="1"/>
  <c r="G48" i="47"/>
  <c r="B35" i="47"/>
  <c r="F24" i="47"/>
  <c r="F22" i="47"/>
  <c r="F20" i="47"/>
  <c r="B15" i="47"/>
  <c r="F19" i="47"/>
  <c r="H35" i="47"/>
  <c r="F5" i="47"/>
  <c r="F6" i="47"/>
  <c r="F8" i="47"/>
  <c r="F9" i="47"/>
  <c r="A63" i="47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G151" i="57"/>
  <c r="B151" i="57"/>
  <c r="O92" i="57"/>
  <c r="N92" i="57"/>
  <c r="M86" i="57"/>
  <c r="AR85" i="57"/>
  <c r="AR84" i="57"/>
  <c r="AR83" i="57"/>
  <c r="AR82" i="57"/>
  <c r="AR81" i="57"/>
  <c r="AR80" i="57"/>
  <c r="AR79" i="57"/>
  <c r="AR78" i="57"/>
  <c r="AR77" i="57"/>
  <c r="AR76" i="57"/>
  <c r="AR75" i="57"/>
  <c r="AR74" i="57"/>
  <c r="AR73" i="57"/>
  <c r="AR72" i="57"/>
  <c r="AR71" i="57"/>
  <c r="AR70" i="57"/>
  <c r="AR69" i="57"/>
  <c r="AR68" i="57"/>
  <c r="AR67" i="57"/>
  <c r="AR66" i="57"/>
  <c r="AR65" i="57"/>
  <c r="AR64" i="57"/>
  <c r="AR63" i="57"/>
  <c r="AR62" i="57"/>
  <c r="AR61" i="57"/>
  <c r="AR60" i="57"/>
  <c r="AR59" i="57"/>
  <c r="AR58" i="57"/>
  <c r="AR57" i="57"/>
  <c r="AR56" i="57"/>
  <c r="AR55" i="57"/>
  <c r="AR54" i="57"/>
  <c r="AR53" i="57"/>
  <c r="AR52" i="57"/>
  <c r="AR51" i="57"/>
  <c r="AR50" i="57"/>
  <c r="AR49" i="57"/>
  <c r="AR48" i="57"/>
  <c r="AR47" i="57"/>
  <c r="AR46" i="57"/>
  <c r="AR45" i="57"/>
  <c r="AR44" i="57"/>
  <c r="AR43" i="57"/>
  <c r="AR42" i="57"/>
  <c r="AR41" i="57"/>
  <c r="AR40" i="57"/>
  <c r="AR39" i="57"/>
  <c r="AR38" i="57"/>
  <c r="AR37" i="57"/>
  <c r="AR36" i="57"/>
  <c r="AR35" i="57"/>
  <c r="AR34" i="57"/>
  <c r="AR33" i="57"/>
  <c r="AR32" i="57"/>
  <c r="AR31" i="57"/>
  <c r="AR30" i="57"/>
  <c r="AR29" i="57"/>
  <c r="AR28" i="57"/>
  <c r="AR27" i="57"/>
  <c r="AR26" i="57"/>
  <c r="M26" i="57"/>
  <c r="M27" i="57"/>
  <c r="A26" i="57"/>
  <c r="A27" i="57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R25" i="57"/>
  <c r="Y25" i="57"/>
  <c r="R25" i="57"/>
  <c r="F15" i="57"/>
  <c r="F14" i="57"/>
  <c r="A14" i="57"/>
  <c r="O85" i="57" s="1"/>
  <c r="Q12" i="57"/>
  <c r="G12" i="57"/>
  <c r="F12" i="57"/>
  <c r="R11" i="57"/>
  <c r="F11" i="57"/>
  <c r="T10" i="57"/>
  <c r="H8" i="57"/>
  <c r="B103" i="57" s="1"/>
  <c r="A103" i="57" s="1"/>
  <c r="H8" i="1"/>
  <c r="F11" i="1"/>
  <c r="F12" i="1"/>
  <c r="G12" i="1"/>
  <c r="F14" i="1"/>
  <c r="F15" i="1"/>
  <c r="D16" i="1"/>
  <c r="R11" i="1" s="1"/>
  <c r="G23" i="1"/>
  <c r="R26" i="1"/>
  <c r="AI26" i="1" s="1"/>
  <c r="Y26" i="1"/>
  <c r="AR26" i="1"/>
  <c r="A27" i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M27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M87" i="1"/>
  <c r="N93" i="1"/>
  <c r="O93" i="1"/>
  <c r="B150" i="1"/>
  <c r="G150" i="1"/>
  <c r="M1" i="41"/>
  <c r="A5" i="41"/>
  <c r="O8" i="41"/>
  <c r="D11" i="41"/>
  <c r="F11" i="41" s="1"/>
  <c r="R11" i="41"/>
  <c r="F12" i="41"/>
  <c r="G12" i="41"/>
  <c r="Q12" i="41"/>
  <c r="A14" i="41"/>
  <c r="F14" i="41"/>
  <c r="F15" i="41"/>
  <c r="R25" i="41"/>
  <c r="AI25" i="41" s="1"/>
  <c r="Y25" i="41"/>
  <c r="AR25" i="41"/>
  <c r="A26" i="4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M26" i="41"/>
  <c r="AR26" i="41"/>
  <c r="AR27" i="41"/>
  <c r="AR28" i="41"/>
  <c r="AR29" i="41"/>
  <c r="AR30" i="41"/>
  <c r="AR31" i="41"/>
  <c r="AR32" i="41"/>
  <c r="AR33" i="41"/>
  <c r="AR34" i="41"/>
  <c r="AR35" i="41"/>
  <c r="AR36" i="41"/>
  <c r="AR37" i="41"/>
  <c r="AR38" i="41"/>
  <c r="AR39" i="41"/>
  <c r="AR40" i="41"/>
  <c r="AR41" i="41"/>
  <c r="AR42" i="41"/>
  <c r="AR43" i="41"/>
  <c r="AR44" i="41"/>
  <c r="AR45" i="41"/>
  <c r="AR46" i="41"/>
  <c r="AR47" i="41"/>
  <c r="AR48" i="41"/>
  <c r="AR49" i="41"/>
  <c r="AR50" i="41"/>
  <c r="AR51" i="41"/>
  <c r="AR52" i="41"/>
  <c r="O52" i="41" s="1"/>
  <c r="AR53" i="41"/>
  <c r="AR54" i="41"/>
  <c r="AR55" i="41"/>
  <c r="AR56" i="41"/>
  <c r="AR57" i="41"/>
  <c r="AR58" i="41"/>
  <c r="AR59" i="41"/>
  <c r="AR60" i="41"/>
  <c r="AR61" i="41"/>
  <c r="AR62" i="41"/>
  <c r="AR63" i="41"/>
  <c r="AR64" i="41"/>
  <c r="AR65" i="41"/>
  <c r="AR66" i="41"/>
  <c r="AR67" i="41"/>
  <c r="AR68" i="41"/>
  <c r="AR69" i="41"/>
  <c r="AR70" i="41"/>
  <c r="AR71" i="41"/>
  <c r="AR72" i="41"/>
  <c r="AR73" i="41"/>
  <c r="AR74" i="41"/>
  <c r="AR75" i="41"/>
  <c r="AR76" i="41"/>
  <c r="AR77" i="41"/>
  <c r="AR78" i="41"/>
  <c r="AR79" i="41"/>
  <c r="AR80" i="41"/>
  <c r="AR81" i="41"/>
  <c r="AR82" i="41"/>
  <c r="AR83" i="41"/>
  <c r="AR84" i="41"/>
  <c r="O84" i="41" s="1"/>
  <c r="AR85" i="41"/>
  <c r="M86" i="41"/>
  <c r="N92" i="41"/>
  <c r="O92" i="41"/>
  <c r="B96" i="41"/>
  <c r="A96" i="41" s="1"/>
  <c r="B97" i="41"/>
  <c r="A97" i="41" s="1"/>
  <c r="B98" i="41"/>
  <c r="A98" i="41" s="1"/>
  <c r="B99" i="41"/>
  <c r="A99" i="41" s="1"/>
  <c r="B100" i="41"/>
  <c r="A100" i="41" s="1"/>
  <c r="B101" i="41"/>
  <c r="A101" i="41" s="1"/>
  <c r="B102" i="41"/>
  <c r="A102" i="41" s="1"/>
  <c r="B103" i="41"/>
  <c r="A103" i="41" s="1"/>
  <c r="B104" i="41"/>
  <c r="B105" i="41"/>
  <c r="A105" i="41" s="1"/>
  <c r="B106" i="41"/>
  <c r="A106" i="41" s="1"/>
  <c r="B107" i="41"/>
  <c r="A107" i="41" s="1"/>
  <c r="B108" i="41"/>
  <c r="A108" i="41" s="1"/>
  <c r="B109" i="41"/>
  <c r="A109" i="41" s="1"/>
  <c r="B110" i="41"/>
  <c r="A110" i="41" s="1"/>
  <c r="B111" i="41"/>
  <c r="A111" i="41" s="1"/>
  <c r="B112" i="41"/>
  <c r="A112" i="41" s="1"/>
  <c r="B113" i="41"/>
  <c r="A113" i="41" s="1"/>
  <c r="B114" i="41"/>
  <c r="A114" i="41" s="1"/>
  <c r="B115" i="41"/>
  <c r="A115" i="41" s="1"/>
  <c r="B116" i="41"/>
  <c r="A116" i="41" s="1"/>
  <c r="B117" i="41"/>
  <c r="A117" i="41" s="1"/>
  <c r="B118" i="41"/>
  <c r="A118" i="41" s="1"/>
  <c r="B119" i="41"/>
  <c r="A119" i="41" s="1"/>
  <c r="B150" i="41"/>
  <c r="G150" i="41"/>
  <c r="H8" i="26"/>
  <c r="D11" i="26"/>
  <c r="F11" i="26" s="1"/>
  <c r="F12" i="26"/>
  <c r="G12" i="26"/>
  <c r="F14" i="26"/>
  <c r="F15" i="26"/>
  <c r="D16" i="26"/>
  <c r="Q12" i="26" s="1"/>
  <c r="BD25" i="26"/>
  <c r="R26" i="26"/>
  <c r="S26" i="26" s="1"/>
  <c r="T26" i="26" s="1"/>
  <c r="U26" i="26" s="1"/>
  <c r="I26" i="26" s="1"/>
  <c r="AA26" i="26"/>
  <c r="AW26" i="26"/>
  <c r="BF26" i="26"/>
  <c r="A27" i="26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M27" i="26"/>
  <c r="S27" i="26" s="1"/>
  <c r="T27" i="26" s="1"/>
  <c r="U27" i="26" s="1"/>
  <c r="I27" i="26" s="1"/>
  <c r="AW27" i="26"/>
  <c r="AW28" i="26"/>
  <c r="AW29" i="26"/>
  <c r="AW30" i="26"/>
  <c r="AW31" i="26"/>
  <c r="AW32" i="26"/>
  <c r="AW33" i="26"/>
  <c r="AW34" i="26"/>
  <c r="AW35" i="26"/>
  <c r="AW36" i="26"/>
  <c r="AW37" i="26"/>
  <c r="AW38" i="26"/>
  <c r="AW39" i="26"/>
  <c r="AW40" i="26"/>
  <c r="AW41" i="26"/>
  <c r="AW42" i="26"/>
  <c r="AW43" i="26"/>
  <c r="AW44" i="26"/>
  <c r="AW45" i="26"/>
  <c r="AW46" i="26"/>
  <c r="AW47" i="26"/>
  <c r="AW48" i="26"/>
  <c r="AW49" i="26"/>
  <c r="BD50" i="26"/>
  <c r="BF50" i="26"/>
  <c r="BD51" i="26"/>
  <c r="BF51" i="26"/>
  <c r="BD52" i="26"/>
  <c r="BF52" i="26"/>
  <c r="BD53" i="26"/>
  <c r="AW54" i="26"/>
  <c r="AW55" i="26"/>
  <c r="AW56" i="26"/>
  <c r="AW57" i="26"/>
  <c r="AW58" i="26"/>
  <c r="AW59" i="26"/>
  <c r="AW60" i="26"/>
  <c r="AW61" i="26"/>
  <c r="AW62" i="26"/>
  <c r="AW63" i="26"/>
  <c r="AW64" i="26"/>
  <c r="AW65" i="26"/>
  <c r="AW66" i="26"/>
  <c r="AW67" i="26"/>
  <c r="AW68" i="26"/>
  <c r="AW69" i="26"/>
  <c r="AW70" i="26"/>
  <c r="AW71" i="26"/>
  <c r="AW72" i="26"/>
  <c r="AW73" i="26"/>
  <c r="AW74" i="26"/>
  <c r="AW75" i="26"/>
  <c r="AW76" i="26"/>
  <c r="AW77" i="26"/>
  <c r="AW78" i="26"/>
  <c r="AW79" i="26"/>
  <c r="AW80" i="26"/>
  <c r="AW81" i="26"/>
  <c r="AW82" i="26"/>
  <c r="AW83" i="26"/>
  <c r="AW84" i="26"/>
  <c r="AW85" i="26"/>
  <c r="AW86" i="26"/>
  <c r="AW87" i="26"/>
  <c r="AW88" i="26"/>
  <c r="AW89" i="26"/>
  <c r="AW90" i="26"/>
  <c r="AW91" i="26"/>
  <c r="AW92" i="26"/>
  <c r="AW93" i="26"/>
  <c r="AW94" i="26"/>
  <c r="AW95" i="26"/>
  <c r="AW96" i="26"/>
  <c r="AW97" i="26"/>
  <c r="AW98" i="26"/>
  <c r="AW99" i="26"/>
  <c r="AW100" i="26"/>
  <c r="AW101" i="26"/>
  <c r="AW102" i="26"/>
  <c r="M103" i="26"/>
  <c r="AG104" i="26"/>
  <c r="AG105" i="26"/>
  <c r="B168" i="26"/>
  <c r="G168" i="26"/>
  <c r="H8" i="52"/>
  <c r="B101" i="52" s="1"/>
  <c r="A101" i="52" s="1"/>
  <c r="D11" i="52"/>
  <c r="F11" i="52" s="1"/>
  <c r="Z11" i="52"/>
  <c r="F12" i="52"/>
  <c r="G12" i="52"/>
  <c r="F14" i="52"/>
  <c r="F15" i="52"/>
  <c r="D16" i="52"/>
  <c r="R25" i="52"/>
  <c r="AI25" i="52" s="1"/>
  <c r="Y25" i="52"/>
  <c r="AR25" i="52"/>
  <c r="A26" i="52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M26" i="52"/>
  <c r="AR26" i="52"/>
  <c r="AR27" i="52"/>
  <c r="AR28" i="52"/>
  <c r="AR29" i="52"/>
  <c r="AR30" i="52"/>
  <c r="AR31" i="52"/>
  <c r="AR32" i="52"/>
  <c r="AR33" i="52"/>
  <c r="AR34" i="52"/>
  <c r="AR35" i="52"/>
  <c r="AR36" i="52"/>
  <c r="AR37" i="52"/>
  <c r="AR38" i="52"/>
  <c r="AR39" i="52"/>
  <c r="AR40" i="52"/>
  <c r="AR41" i="52"/>
  <c r="AR42" i="52"/>
  <c r="AR43" i="52"/>
  <c r="AR44" i="52"/>
  <c r="AR45" i="52"/>
  <c r="AR46" i="52"/>
  <c r="AR47" i="52"/>
  <c r="AR48" i="52"/>
  <c r="AR49" i="52"/>
  <c r="AR50" i="52"/>
  <c r="AR51" i="52"/>
  <c r="AR52" i="52"/>
  <c r="AR53" i="52"/>
  <c r="AR54" i="52"/>
  <c r="AR55" i="52"/>
  <c r="AR56" i="52"/>
  <c r="AR57" i="52"/>
  <c r="AR58" i="52"/>
  <c r="AR59" i="52"/>
  <c r="AR60" i="52"/>
  <c r="AR61" i="52"/>
  <c r="AR62" i="52"/>
  <c r="AR63" i="52"/>
  <c r="AR64" i="52"/>
  <c r="AR65" i="52"/>
  <c r="AR66" i="52"/>
  <c r="AR67" i="52"/>
  <c r="AR68" i="52"/>
  <c r="AR69" i="52"/>
  <c r="AR70" i="52"/>
  <c r="AR71" i="52"/>
  <c r="AR72" i="52"/>
  <c r="AR73" i="52"/>
  <c r="AR74" i="52"/>
  <c r="AR75" i="52"/>
  <c r="AR76" i="52"/>
  <c r="AR77" i="52"/>
  <c r="AR78" i="52"/>
  <c r="AR79" i="52"/>
  <c r="AR80" i="52"/>
  <c r="AR81" i="52"/>
  <c r="AR82" i="52"/>
  <c r="AR83" i="52"/>
  <c r="AR84" i="52"/>
  <c r="AR85" i="52"/>
  <c r="I86" i="52"/>
  <c r="M86" i="52"/>
  <c r="N92" i="52"/>
  <c r="O92" i="52"/>
  <c r="B150" i="52"/>
  <c r="G150" i="52"/>
  <c r="H8" i="51"/>
  <c r="D11" i="51"/>
  <c r="F11" i="51" s="1"/>
  <c r="Z11" i="51"/>
  <c r="F12" i="51"/>
  <c r="G12" i="51"/>
  <c r="F14" i="51"/>
  <c r="F15" i="51"/>
  <c r="D16" i="51"/>
  <c r="Q12" i="51" s="1"/>
  <c r="R25" i="51"/>
  <c r="AI25" i="51"/>
  <c r="Y25" i="51"/>
  <c r="AR25" i="51"/>
  <c r="A26" i="51"/>
  <c r="A27" i="51" s="1"/>
  <c r="M26" i="51"/>
  <c r="M27" i="51" s="1"/>
  <c r="AR26" i="51"/>
  <c r="A28" i="5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R27" i="51"/>
  <c r="AR28" i="51"/>
  <c r="AR29" i="51"/>
  <c r="AR30" i="51"/>
  <c r="AR31" i="51"/>
  <c r="AR32" i="51"/>
  <c r="AR33" i="51"/>
  <c r="AR34" i="51"/>
  <c r="AR35" i="51"/>
  <c r="AR36" i="51"/>
  <c r="AR37" i="51"/>
  <c r="AR38" i="51"/>
  <c r="AR39" i="51"/>
  <c r="AR40" i="51"/>
  <c r="AR41" i="51"/>
  <c r="AR42" i="51"/>
  <c r="AR43" i="51"/>
  <c r="AR44" i="51"/>
  <c r="AR45" i="51"/>
  <c r="AR46" i="51"/>
  <c r="AR47" i="51"/>
  <c r="AR48" i="51"/>
  <c r="AR49" i="51"/>
  <c r="AR50" i="51"/>
  <c r="AR51" i="51"/>
  <c r="AR52" i="51"/>
  <c r="AR53" i="51"/>
  <c r="AR54" i="51"/>
  <c r="AR55" i="51"/>
  <c r="AR56" i="51"/>
  <c r="AR57" i="51"/>
  <c r="AR58" i="51"/>
  <c r="AR59" i="51"/>
  <c r="AR60" i="51"/>
  <c r="AR61" i="51"/>
  <c r="AR62" i="51"/>
  <c r="AR63" i="51"/>
  <c r="AR64" i="51"/>
  <c r="AR65" i="51"/>
  <c r="AR66" i="51"/>
  <c r="AR67" i="51"/>
  <c r="AR68" i="51"/>
  <c r="AR69" i="51"/>
  <c r="AR70" i="51"/>
  <c r="AR71" i="51"/>
  <c r="AR72" i="51"/>
  <c r="AR73" i="51"/>
  <c r="AR74" i="51"/>
  <c r="AR75" i="51"/>
  <c r="AR76" i="51"/>
  <c r="AR77" i="51"/>
  <c r="AR78" i="51"/>
  <c r="AR79" i="51"/>
  <c r="AR80" i="51"/>
  <c r="AR81" i="51"/>
  <c r="AR82" i="51"/>
  <c r="AR83" i="51"/>
  <c r="AR84" i="51"/>
  <c r="AR85" i="51"/>
  <c r="I86" i="51"/>
  <c r="M86" i="51"/>
  <c r="N92" i="51"/>
  <c r="O92" i="51"/>
  <c r="B150" i="51"/>
  <c r="G150" i="51"/>
  <c r="H8" i="46"/>
  <c r="D11" i="46"/>
  <c r="F11" i="46"/>
  <c r="Z11" i="46"/>
  <c r="F12" i="46"/>
  <c r="G12" i="46"/>
  <c r="F14" i="46"/>
  <c r="F15" i="46"/>
  <c r="D16" i="46"/>
  <c r="R11" i="46" s="1"/>
  <c r="R25" i="46"/>
  <c r="AI25" i="46"/>
  <c r="Y25" i="46"/>
  <c r="AR25" i="46"/>
  <c r="A26" i="46"/>
  <c r="A27" i="46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M26" i="46"/>
  <c r="M27" i="46" s="1"/>
  <c r="AR26" i="46"/>
  <c r="AR27" i="46"/>
  <c r="AR28" i="46"/>
  <c r="AR29" i="46"/>
  <c r="AR30" i="46"/>
  <c r="AR31" i="46"/>
  <c r="AR32" i="46"/>
  <c r="AR33" i="46"/>
  <c r="AR34" i="46"/>
  <c r="AR35" i="46"/>
  <c r="AR36" i="46"/>
  <c r="AR37" i="46"/>
  <c r="AR38" i="46"/>
  <c r="AR39" i="46"/>
  <c r="AR40" i="46"/>
  <c r="AR41" i="46"/>
  <c r="AR42" i="46"/>
  <c r="AR43" i="46"/>
  <c r="AR44" i="46"/>
  <c r="AR45" i="46"/>
  <c r="AR46" i="46"/>
  <c r="AR47" i="46"/>
  <c r="AR48" i="46"/>
  <c r="AR49" i="46"/>
  <c r="AR50" i="46"/>
  <c r="AR51" i="46"/>
  <c r="AR52" i="46"/>
  <c r="AR53" i="46"/>
  <c r="AR54" i="46"/>
  <c r="AR55" i="46"/>
  <c r="AR56" i="46"/>
  <c r="AR57" i="46"/>
  <c r="AR58" i="46"/>
  <c r="AR59" i="46"/>
  <c r="AR60" i="46"/>
  <c r="AR61" i="46"/>
  <c r="AR62" i="46"/>
  <c r="AR63" i="46"/>
  <c r="AR64" i="46"/>
  <c r="AR65" i="46"/>
  <c r="AR66" i="46"/>
  <c r="AR67" i="46"/>
  <c r="AR68" i="46"/>
  <c r="AR69" i="46"/>
  <c r="AR70" i="46"/>
  <c r="AR71" i="46"/>
  <c r="AR72" i="46"/>
  <c r="AR73" i="46"/>
  <c r="AR74" i="46"/>
  <c r="AR75" i="46"/>
  <c r="AR76" i="46"/>
  <c r="AR77" i="46"/>
  <c r="AR78" i="46"/>
  <c r="AR79" i="46"/>
  <c r="AR80" i="46"/>
  <c r="AR81" i="46"/>
  <c r="AR82" i="46"/>
  <c r="AR83" i="46"/>
  <c r="AR84" i="46"/>
  <c r="AR85" i="46"/>
  <c r="I86" i="46"/>
  <c r="M86" i="46"/>
  <c r="N92" i="46"/>
  <c r="O92" i="46"/>
  <c r="B105" i="46"/>
  <c r="A105" i="46" s="1"/>
  <c r="B108" i="46"/>
  <c r="A108" i="46"/>
  <c r="B111" i="46"/>
  <c r="A111" i="46" s="1"/>
  <c r="B114" i="46"/>
  <c r="A114" i="46" s="1"/>
  <c r="B117" i="46"/>
  <c r="A117" i="46" s="1"/>
  <c r="B150" i="46"/>
  <c r="G150" i="46"/>
  <c r="H8" i="50"/>
  <c r="B119" i="50" s="1"/>
  <c r="A119" i="50" s="1"/>
  <c r="D11" i="50"/>
  <c r="F11" i="50" s="1"/>
  <c r="F12" i="50"/>
  <c r="G12" i="50"/>
  <c r="F14" i="50"/>
  <c r="F15" i="50"/>
  <c r="D16" i="50"/>
  <c r="R25" i="50"/>
  <c r="Y25" i="50"/>
  <c r="AR25" i="50"/>
  <c r="A26" i="50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M26" i="50"/>
  <c r="M27" i="50" s="1"/>
  <c r="AR26" i="50"/>
  <c r="AR27" i="50"/>
  <c r="AR28" i="50"/>
  <c r="AR29" i="50"/>
  <c r="AR30" i="50"/>
  <c r="AR31" i="50"/>
  <c r="AR32" i="50"/>
  <c r="AR33" i="50"/>
  <c r="AR34" i="50"/>
  <c r="AR35" i="50"/>
  <c r="AR36" i="50"/>
  <c r="AR37" i="50"/>
  <c r="AR38" i="50"/>
  <c r="AR39" i="50"/>
  <c r="AR40" i="50"/>
  <c r="AR41" i="50"/>
  <c r="AR42" i="50"/>
  <c r="AR43" i="50"/>
  <c r="AR44" i="50"/>
  <c r="AR45" i="50"/>
  <c r="AR46" i="50"/>
  <c r="AR47" i="50"/>
  <c r="AR48" i="50"/>
  <c r="AR49" i="50"/>
  <c r="AR50" i="50"/>
  <c r="AR51" i="50"/>
  <c r="AR52" i="50"/>
  <c r="AR53" i="50"/>
  <c r="AR54" i="50"/>
  <c r="AR55" i="50"/>
  <c r="AR56" i="50"/>
  <c r="AR57" i="50"/>
  <c r="AR58" i="50"/>
  <c r="AR59" i="50"/>
  <c r="AR60" i="50"/>
  <c r="AR61" i="50"/>
  <c r="AR62" i="50"/>
  <c r="AR63" i="50"/>
  <c r="AR64" i="50"/>
  <c r="AR65" i="50"/>
  <c r="AR66" i="50"/>
  <c r="AR67" i="50"/>
  <c r="AR68" i="50"/>
  <c r="AR69" i="50"/>
  <c r="AR70" i="50"/>
  <c r="AR71" i="50"/>
  <c r="AR72" i="50"/>
  <c r="AR73" i="50"/>
  <c r="AR74" i="50"/>
  <c r="AR75" i="50"/>
  <c r="AR76" i="50"/>
  <c r="AR77" i="50"/>
  <c r="AR78" i="50"/>
  <c r="AR79" i="50"/>
  <c r="AR80" i="50"/>
  <c r="AR81" i="50"/>
  <c r="AR82" i="50"/>
  <c r="AR83" i="50"/>
  <c r="AR84" i="50"/>
  <c r="AR85" i="50"/>
  <c r="M86" i="50"/>
  <c r="N92" i="50"/>
  <c r="O92" i="50"/>
  <c r="B150" i="50"/>
  <c r="G150" i="50"/>
  <c r="H8" i="49"/>
  <c r="D11" i="49"/>
  <c r="F11" i="49" s="1"/>
  <c r="F12" i="49"/>
  <c r="G12" i="49"/>
  <c r="F14" i="49"/>
  <c r="F15" i="49"/>
  <c r="D16" i="49"/>
  <c r="Q12" i="49" s="1"/>
  <c r="R25" i="49"/>
  <c r="AI25" i="49"/>
  <c r="Y25" i="49"/>
  <c r="AR25" i="49"/>
  <c r="A26" i="49"/>
  <c r="A27" i="49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M26" i="49"/>
  <c r="AR26" i="49"/>
  <c r="AR27" i="49"/>
  <c r="AR28" i="49"/>
  <c r="AR29" i="49"/>
  <c r="AR30" i="49"/>
  <c r="AR31" i="49"/>
  <c r="AR32" i="49"/>
  <c r="AR33" i="49"/>
  <c r="AR34" i="49"/>
  <c r="AR35" i="49"/>
  <c r="AR36" i="49"/>
  <c r="AR37" i="49"/>
  <c r="AR38" i="49"/>
  <c r="AR39" i="49"/>
  <c r="AR40" i="49"/>
  <c r="AR41" i="49"/>
  <c r="AR42" i="49"/>
  <c r="AR43" i="49"/>
  <c r="AR44" i="49"/>
  <c r="AR45" i="49"/>
  <c r="AR46" i="49"/>
  <c r="AR47" i="49"/>
  <c r="AR48" i="49"/>
  <c r="AR49" i="49"/>
  <c r="AR50" i="49"/>
  <c r="AR51" i="49"/>
  <c r="AR52" i="49"/>
  <c r="AR53" i="49"/>
  <c r="AR54" i="49"/>
  <c r="AR55" i="49"/>
  <c r="AR56" i="49"/>
  <c r="AR57" i="49"/>
  <c r="AR58" i="49"/>
  <c r="AR59" i="49"/>
  <c r="AR60" i="49"/>
  <c r="AR61" i="49"/>
  <c r="AR62" i="49"/>
  <c r="AR63" i="49"/>
  <c r="AR64" i="49"/>
  <c r="AR65" i="49"/>
  <c r="AR66" i="49"/>
  <c r="AR67" i="49"/>
  <c r="AR68" i="49"/>
  <c r="AR69" i="49"/>
  <c r="AR70" i="49"/>
  <c r="AR71" i="49"/>
  <c r="AR72" i="49"/>
  <c r="AR73" i="49"/>
  <c r="AR74" i="49"/>
  <c r="AR75" i="49"/>
  <c r="AR76" i="49"/>
  <c r="AR77" i="49"/>
  <c r="AR78" i="49"/>
  <c r="AR79" i="49"/>
  <c r="AR80" i="49"/>
  <c r="AR81" i="49"/>
  <c r="AR82" i="49"/>
  <c r="AR83" i="49"/>
  <c r="AR84" i="49"/>
  <c r="AR85" i="49"/>
  <c r="M86" i="49"/>
  <c r="N92" i="49"/>
  <c r="O92" i="49"/>
  <c r="B150" i="49"/>
  <c r="G150" i="49"/>
  <c r="H8" i="45"/>
  <c r="D11" i="45"/>
  <c r="F11" i="45" s="1"/>
  <c r="F12" i="45"/>
  <c r="G12" i="45"/>
  <c r="F14" i="45"/>
  <c r="F15" i="45"/>
  <c r="D16" i="45"/>
  <c r="Q12" i="45" s="1"/>
  <c r="R25" i="45"/>
  <c r="AI25" i="45" s="1"/>
  <c r="Y25" i="45"/>
  <c r="AR25" i="45"/>
  <c r="A26" i="45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M26" i="45"/>
  <c r="M27" i="45"/>
  <c r="AR26" i="45"/>
  <c r="AR27" i="45"/>
  <c r="AR28" i="45"/>
  <c r="AR29" i="45"/>
  <c r="AR30" i="45"/>
  <c r="AR31" i="45"/>
  <c r="AR32" i="45"/>
  <c r="AR33" i="45"/>
  <c r="AR34" i="45"/>
  <c r="AR35" i="45"/>
  <c r="AR36" i="45"/>
  <c r="AR37" i="45"/>
  <c r="AR38" i="45"/>
  <c r="AR39" i="45"/>
  <c r="AR40" i="45"/>
  <c r="AR41" i="45"/>
  <c r="AR42" i="45"/>
  <c r="AR43" i="45"/>
  <c r="AR44" i="45"/>
  <c r="AR45" i="45"/>
  <c r="AR46" i="45"/>
  <c r="AR47" i="45"/>
  <c r="AR48" i="45"/>
  <c r="AR49" i="45"/>
  <c r="AR50" i="45"/>
  <c r="AR51" i="45"/>
  <c r="AR52" i="45"/>
  <c r="AR53" i="45"/>
  <c r="AR54" i="45"/>
  <c r="AR55" i="45"/>
  <c r="AR56" i="45"/>
  <c r="AR57" i="45"/>
  <c r="AR58" i="45"/>
  <c r="AR59" i="45"/>
  <c r="AR60" i="45"/>
  <c r="AR61" i="45"/>
  <c r="AR62" i="45"/>
  <c r="AR63" i="45"/>
  <c r="AR64" i="45"/>
  <c r="AR65" i="45"/>
  <c r="AR66" i="45"/>
  <c r="AR67" i="45"/>
  <c r="AR68" i="45"/>
  <c r="AR69" i="45"/>
  <c r="AR70" i="45"/>
  <c r="AR71" i="45"/>
  <c r="AR72" i="45"/>
  <c r="AR73" i="45"/>
  <c r="AR74" i="45"/>
  <c r="AR75" i="45"/>
  <c r="AR76" i="45"/>
  <c r="AR77" i="45"/>
  <c r="AR78" i="45"/>
  <c r="AR79" i="45"/>
  <c r="AR80" i="45"/>
  <c r="AR81" i="45"/>
  <c r="AR82" i="45"/>
  <c r="AR83" i="45"/>
  <c r="AR84" i="45"/>
  <c r="AR85" i="45"/>
  <c r="M86" i="45"/>
  <c r="N92" i="45"/>
  <c r="O92" i="45"/>
  <c r="B150" i="45"/>
  <c r="G150" i="45"/>
  <c r="H8" i="54"/>
  <c r="F11" i="54"/>
  <c r="F12" i="54"/>
  <c r="G12" i="54"/>
  <c r="F14" i="54"/>
  <c r="F15" i="54"/>
  <c r="D16" i="54"/>
  <c r="Q12" i="54" s="1"/>
  <c r="R25" i="54"/>
  <c r="AJ25" i="54" s="1"/>
  <c r="Y25" i="54"/>
  <c r="AS25" i="54"/>
  <c r="A26" i="54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M26" i="54"/>
  <c r="M27" i="54" s="1"/>
  <c r="AS26" i="54"/>
  <c r="AS27" i="54"/>
  <c r="AS28" i="54"/>
  <c r="AS29" i="54"/>
  <c r="AS30" i="54"/>
  <c r="AS31" i="54"/>
  <c r="AS32" i="54"/>
  <c r="AS33" i="54"/>
  <c r="AS34" i="54"/>
  <c r="AS35" i="54"/>
  <c r="AS36" i="54"/>
  <c r="AS37" i="54"/>
  <c r="AS38" i="54"/>
  <c r="AS39" i="54"/>
  <c r="AS40" i="54"/>
  <c r="AS41" i="54"/>
  <c r="AS42" i="54"/>
  <c r="AS43" i="54"/>
  <c r="AS44" i="54"/>
  <c r="AS45" i="54"/>
  <c r="AS46" i="54"/>
  <c r="AS47" i="54"/>
  <c r="AS48" i="54"/>
  <c r="AS49" i="54"/>
  <c r="AS50" i="54"/>
  <c r="AS51" i="54"/>
  <c r="AS52" i="54"/>
  <c r="AS53" i="54"/>
  <c r="AS54" i="54"/>
  <c r="AS55" i="54"/>
  <c r="AS56" i="54"/>
  <c r="AS57" i="54"/>
  <c r="AS58" i="54"/>
  <c r="AS59" i="54"/>
  <c r="AS60" i="54"/>
  <c r="AS61" i="54"/>
  <c r="AS62" i="54"/>
  <c r="AS63" i="54"/>
  <c r="AS64" i="54"/>
  <c r="AS65" i="54"/>
  <c r="AS66" i="54"/>
  <c r="AS67" i="54"/>
  <c r="AS68" i="54"/>
  <c r="AS69" i="54"/>
  <c r="AS70" i="54"/>
  <c r="AS71" i="54"/>
  <c r="AS72" i="54"/>
  <c r="AS73" i="54"/>
  <c r="AS74" i="54"/>
  <c r="AS75" i="54"/>
  <c r="AS76" i="54"/>
  <c r="AS77" i="54"/>
  <c r="AS78" i="54"/>
  <c r="AS79" i="54"/>
  <c r="AS80" i="54"/>
  <c r="AS81" i="54"/>
  <c r="AS82" i="54"/>
  <c r="AS83" i="54"/>
  <c r="AS84" i="54"/>
  <c r="AS85" i="54"/>
  <c r="M86" i="54"/>
  <c r="N92" i="54"/>
  <c r="O92" i="54"/>
  <c r="B151" i="54"/>
  <c r="G151" i="54"/>
  <c r="H8" i="53"/>
  <c r="A5" i="53" s="1"/>
  <c r="B107" i="53"/>
  <c r="A107" i="53" s="1"/>
  <c r="F11" i="53"/>
  <c r="F12" i="53"/>
  <c r="G12" i="53"/>
  <c r="F14" i="53"/>
  <c r="F15" i="53"/>
  <c r="D16" i="53"/>
  <c r="A14" i="53" s="1"/>
  <c r="A17" i="53" s="1"/>
  <c r="R25" i="53"/>
  <c r="AJ25" i="53" s="1"/>
  <c r="Y25" i="53"/>
  <c r="AS25" i="53"/>
  <c r="A26" i="53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M26" i="53"/>
  <c r="M27" i="53" s="1"/>
  <c r="M28" i="53" s="1"/>
  <c r="M29" i="53" s="1"/>
  <c r="AS26" i="53"/>
  <c r="AS27" i="53"/>
  <c r="AS28" i="53"/>
  <c r="AS29" i="53"/>
  <c r="AS30" i="53"/>
  <c r="AS31" i="53"/>
  <c r="AS32" i="53"/>
  <c r="AS33" i="53"/>
  <c r="AS34" i="53"/>
  <c r="AS35" i="53"/>
  <c r="AS36" i="53"/>
  <c r="AS37" i="53"/>
  <c r="AS38" i="53"/>
  <c r="AS39" i="53"/>
  <c r="AS40" i="53"/>
  <c r="AS41" i="53"/>
  <c r="AS42" i="53"/>
  <c r="AS43" i="53"/>
  <c r="AS44" i="53"/>
  <c r="AS45" i="53"/>
  <c r="AS46" i="53"/>
  <c r="AS47" i="53"/>
  <c r="AS48" i="53"/>
  <c r="AS49" i="53"/>
  <c r="AS50" i="53"/>
  <c r="AS51" i="53"/>
  <c r="AS52" i="53"/>
  <c r="AS53" i="53"/>
  <c r="AS54" i="53"/>
  <c r="AS55" i="53"/>
  <c r="AS56" i="53"/>
  <c r="AS57" i="53"/>
  <c r="AS58" i="53"/>
  <c r="AS59" i="53"/>
  <c r="AS60" i="53"/>
  <c r="AS61" i="53"/>
  <c r="AS62" i="53"/>
  <c r="AS63" i="53"/>
  <c r="AS64" i="53"/>
  <c r="AS65" i="53"/>
  <c r="AS66" i="53"/>
  <c r="AS67" i="53"/>
  <c r="AS68" i="53"/>
  <c r="AS69" i="53"/>
  <c r="AS70" i="53"/>
  <c r="AS71" i="53"/>
  <c r="AS72" i="53"/>
  <c r="AS73" i="53"/>
  <c r="AS74" i="53"/>
  <c r="AS75" i="53"/>
  <c r="AS76" i="53"/>
  <c r="AS77" i="53"/>
  <c r="AS78" i="53"/>
  <c r="AS79" i="53"/>
  <c r="AS80" i="53"/>
  <c r="AS81" i="53"/>
  <c r="AS82" i="53"/>
  <c r="AS83" i="53"/>
  <c r="AS84" i="53"/>
  <c r="AS85" i="53"/>
  <c r="M86" i="53"/>
  <c r="N92" i="53"/>
  <c r="O92" i="53"/>
  <c r="B97" i="53"/>
  <c r="A97" i="53" s="1"/>
  <c r="B99" i="53"/>
  <c r="A99" i="53" s="1"/>
  <c r="B101" i="53"/>
  <c r="A101" i="53" s="1"/>
  <c r="B103" i="53"/>
  <c r="A103" i="53" s="1"/>
  <c r="B105" i="53"/>
  <c r="A105" i="53" s="1"/>
  <c r="B109" i="53"/>
  <c r="A109" i="53"/>
  <c r="B113" i="53"/>
  <c r="A113" i="53" s="1"/>
  <c r="B117" i="53"/>
  <c r="A117" i="53" s="1"/>
  <c r="B151" i="53"/>
  <c r="G151" i="53"/>
  <c r="H8" i="55"/>
  <c r="B107" i="55" s="1"/>
  <c r="A107" i="55" s="1"/>
  <c r="T10" i="55"/>
  <c r="F11" i="55"/>
  <c r="F12" i="55"/>
  <c r="G12" i="55"/>
  <c r="F14" i="55"/>
  <c r="F15" i="55"/>
  <c r="D16" i="55"/>
  <c r="A14" i="55" s="1"/>
  <c r="R25" i="55"/>
  <c r="AI25" i="55" s="1"/>
  <c r="Y25" i="55"/>
  <c r="AR25" i="55"/>
  <c r="A26" i="55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M26" i="55"/>
  <c r="AR26" i="55"/>
  <c r="AR27" i="55"/>
  <c r="AR28" i="55"/>
  <c r="AR29" i="55"/>
  <c r="AR30" i="55"/>
  <c r="AR31" i="55"/>
  <c r="AR32" i="55"/>
  <c r="AR33" i="55"/>
  <c r="AR34" i="55"/>
  <c r="AR35" i="55"/>
  <c r="AR36" i="55"/>
  <c r="AR37" i="55"/>
  <c r="AR38" i="55"/>
  <c r="AR39" i="55"/>
  <c r="AR40" i="55"/>
  <c r="AR41" i="55"/>
  <c r="AR42" i="55"/>
  <c r="AR43" i="55"/>
  <c r="AR44" i="55"/>
  <c r="AR45" i="55"/>
  <c r="AR46" i="55"/>
  <c r="AR47" i="55"/>
  <c r="AR48" i="55"/>
  <c r="AR49" i="55"/>
  <c r="AR50" i="55"/>
  <c r="AR51" i="55"/>
  <c r="AR52" i="55"/>
  <c r="AR53" i="55"/>
  <c r="AR54" i="55"/>
  <c r="AR55" i="55"/>
  <c r="AR56" i="55"/>
  <c r="AR57" i="55"/>
  <c r="AR58" i="55"/>
  <c r="AR59" i="55"/>
  <c r="AR60" i="55"/>
  <c r="AR61" i="55"/>
  <c r="AR62" i="55"/>
  <c r="AR63" i="55"/>
  <c r="AR64" i="55"/>
  <c r="AR65" i="55"/>
  <c r="AR66" i="55"/>
  <c r="AR67" i="55"/>
  <c r="AR68" i="55"/>
  <c r="AR69" i="55"/>
  <c r="AR70" i="55"/>
  <c r="AR71" i="55"/>
  <c r="AR72" i="55"/>
  <c r="AR73" i="55"/>
  <c r="AR74" i="55"/>
  <c r="AR75" i="55"/>
  <c r="AR76" i="55"/>
  <c r="AR77" i="55"/>
  <c r="AR78" i="55"/>
  <c r="AR79" i="55"/>
  <c r="AR80" i="55"/>
  <c r="AR81" i="55"/>
  <c r="AR82" i="55"/>
  <c r="AR83" i="55"/>
  <c r="AR84" i="55"/>
  <c r="AR85" i="55"/>
  <c r="M86" i="55"/>
  <c r="N92" i="55"/>
  <c r="O92" i="55"/>
  <c r="B151" i="55"/>
  <c r="G151" i="55"/>
  <c r="H8" i="48"/>
  <c r="B97" i="48" s="1"/>
  <c r="A97" i="48" s="1"/>
  <c r="T10" i="48"/>
  <c r="F11" i="48"/>
  <c r="F12" i="48"/>
  <c r="G12" i="48"/>
  <c r="F14" i="48"/>
  <c r="F15" i="48"/>
  <c r="D16" i="48"/>
  <c r="Q12" i="48" s="1"/>
  <c r="R25" i="48"/>
  <c r="AI25" i="48" s="1"/>
  <c r="Y25" i="48"/>
  <c r="AR25" i="48"/>
  <c r="A26" i="48"/>
  <c r="A27" i="48" s="1"/>
  <c r="M26" i="48"/>
  <c r="M27" i="48" s="1"/>
  <c r="AR26" i="48"/>
  <c r="A28" i="48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1" i="48"/>
  <c r="AR42" i="48"/>
  <c r="AR43" i="48"/>
  <c r="AR44" i="48"/>
  <c r="AR45" i="48"/>
  <c r="AR46" i="48"/>
  <c r="AR47" i="48"/>
  <c r="AR48" i="48"/>
  <c r="AR49" i="48"/>
  <c r="AR50" i="48"/>
  <c r="AR51" i="48"/>
  <c r="AR52" i="48"/>
  <c r="AR53" i="48"/>
  <c r="AR54" i="48"/>
  <c r="AR55" i="48"/>
  <c r="AR56" i="48"/>
  <c r="AR57" i="48"/>
  <c r="AR58" i="48"/>
  <c r="AR59" i="48"/>
  <c r="AR60" i="48"/>
  <c r="AR61" i="48"/>
  <c r="AR62" i="48"/>
  <c r="AR63" i="48"/>
  <c r="AR64" i="48"/>
  <c r="AR65" i="48"/>
  <c r="AR66" i="48"/>
  <c r="AR67" i="48"/>
  <c r="AR68" i="48"/>
  <c r="AR69" i="48"/>
  <c r="AR70" i="48"/>
  <c r="AR71" i="48"/>
  <c r="AR72" i="48"/>
  <c r="AR73" i="48"/>
  <c r="AR74" i="48"/>
  <c r="AR75" i="48"/>
  <c r="AR76" i="48"/>
  <c r="AR77" i="48"/>
  <c r="AR78" i="48"/>
  <c r="AR79" i="48"/>
  <c r="AR80" i="48"/>
  <c r="AR81" i="48"/>
  <c r="AR82" i="48"/>
  <c r="AR83" i="48"/>
  <c r="AR84" i="48"/>
  <c r="AR85" i="48"/>
  <c r="M86" i="48"/>
  <c r="N92" i="48"/>
  <c r="O92" i="48"/>
  <c r="B151" i="48"/>
  <c r="G151" i="48"/>
  <c r="M1" i="3"/>
  <c r="M5" i="3" s="1"/>
  <c r="A5" i="3"/>
  <c r="O8" i="3"/>
  <c r="F11" i="3"/>
  <c r="T11" i="3"/>
  <c r="F12" i="3"/>
  <c r="G12" i="3"/>
  <c r="F14" i="3"/>
  <c r="F15" i="3"/>
  <c r="D16" i="3"/>
  <c r="Q12" i="3" s="1"/>
  <c r="R25" i="3"/>
  <c r="AI25" i="3" s="1"/>
  <c r="Y25" i="3"/>
  <c r="AR25" i="3"/>
  <c r="A26" i="3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M26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M86" i="3"/>
  <c r="N92" i="3"/>
  <c r="O92" i="3"/>
  <c r="A96" i="3"/>
  <c r="A97" i="3"/>
  <c r="A98" i="3"/>
  <c r="B99" i="3"/>
  <c r="A99" i="3" s="1"/>
  <c r="B100" i="3"/>
  <c r="A100" i="3" s="1"/>
  <c r="A102" i="3"/>
  <c r="A104" i="3"/>
  <c r="A105" i="3"/>
  <c r="A107" i="3"/>
  <c r="A108" i="3"/>
  <c r="A109" i="3"/>
  <c r="A110" i="3"/>
  <c r="A111" i="3"/>
  <c r="A112" i="3"/>
  <c r="A113" i="3"/>
  <c r="A114" i="3"/>
  <c r="A118" i="3"/>
  <c r="A119" i="3"/>
  <c r="A120" i="3"/>
  <c r="B122" i="3"/>
  <c r="G122" i="3"/>
  <c r="H8" i="39"/>
  <c r="F11" i="39"/>
  <c r="Z11" i="39"/>
  <c r="F12" i="39"/>
  <c r="G12" i="39"/>
  <c r="Z13" i="39"/>
  <c r="F14" i="39"/>
  <c r="F15" i="39"/>
  <c r="D16" i="39"/>
  <c r="R25" i="39"/>
  <c r="AI25" i="39" s="1"/>
  <c r="Y25" i="39"/>
  <c r="AR25" i="39"/>
  <c r="A26" i="39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M26" i="39"/>
  <c r="AR26" i="39"/>
  <c r="AR27" i="39"/>
  <c r="AR28" i="39"/>
  <c r="AR29" i="39"/>
  <c r="AR30" i="39"/>
  <c r="AR31" i="39"/>
  <c r="AR32" i="39"/>
  <c r="AR33" i="39"/>
  <c r="AR34" i="39"/>
  <c r="AR35" i="39"/>
  <c r="AR36" i="39"/>
  <c r="AR37" i="39"/>
  <c r="AR38" i="39"/>
  <c r="AR39" i="39"/>
  <c r="AR40" i="39"/>
  <c r="AR41" i="39"/>
  <c r="AR42" i="39"/>
  <c r="AR43" i="39"/>
  <c r="AR44" i="39"/>
  <c r="AR45" i="39"/>
  <c r="AR46" i="39"/>
  <c r="AR47" i="39"/>
  <c r="AR48" i="39"/>
  <c r="AR49" i="39"/>
  <c r="AR50" i="39"/>
  <c r="AR51" i="39"/>
  <c r="AR52" i="39"/>
  <c r="AR53" i="39"/>
  <c r="AR54" i="39"/>
  <c r="AR55" i="39"/>
  <c r="AR56" i="39"/>
  <c r="AR57" i="39"/>
  <c r="AR58" i="39"/>
  <c r="AR59" i="39"/>
  <c r="AR60" i="39"/>
  <c r="AR61" i="39"/>
  <c r="AR62" i="39"/>
  <c r="AR63" i="39"/>
  <c r="AR64" i="39"/>
  <c r="AR65" i="39"/>
  <c r="AR66" i="39"/>
  <c r="AR67" i="39"/>
  <c r="AR68" i="39"/>
  <c r="AR69" i="39"/>
  <c r="AR70" i="39"/>
  <c r="AR71" i="39"/>
  <c r="AR72" i="39"/>
  <c r="AR73" i="39"/>
  <c r="AR74" i="39"/>
  <c r="AR75" i="39"/>
  <c r="AR76" i="39"/>
  <c r="AR77" i="39"/>
  <c r="AR78" i="39"/>
  <c r="AR79" i="39"/>
  <c r="AR80" i="39"/>
  <c r="AR81" i="39"/>
  <c r="AR82" i="39"/>
  <c r="AR83" i="39"/>
  <c r="AR84" i="39"/>
  <c r="AR85" i="39"/>
  <c r="M86" i="39"/>
  <c r="N92" i="39"/>
  <c r="O92" i="39"/>
  <c r="B150" i="39"/>
  <c r="G150" i="39"/>
  <c r="R62" i="47"/>
  <c r="AJ62" i="47" s="1"/>
  <c r="Y62" i="47"/>
  <c r="AS62" i="47"/>
  <c r="M63" i="47"/>
  <c r="AS63" i="47"/>
  <c r="AS64" i="47"/>
  <c r="AS65" i="47"/>
  <c r="AS66" i="47"/>
  <c r="AS67" i="47"/>
  <c r="AS68" i="47"/>
  <c r="AS69" i="47"/>
  <c r="AS70" i="47"/>
  <c r="AS71" i="47"/>
  <c r="AS72" i="47"/>
  <c r="AS73" i="47"/>
  <c r="AS74" i="47"/>
  <c r="AS75" i="47"/>
  <c r="AS76" i="47"/>
  <c r="AS77" i="47"/>
  <c r="AS78" i="47"/>
  <c r="AS79" i="47"/>
  <c r="AS80" i="47"/>
  <c r="AS81" i="47"/>
  <c r="AS82" i="47"/>
  <c r="AS83" i="47"/>
  <c r="AS84" i="47"/>
  <c r="AS85" i="47"/>
  <c r="AS86" i="47"/>
  <c r="AS87" i="47"/>
  <c r="AS88" i="47"/>
  <c r="AS89" i="47"/>
  <c r="AS90" i="47"/>
  <c r="AS91" i="47"/>
  <c r="AS92" i="47"/>
  <c r="AS93" i="47"/>
  <c r="AS94" i="47"/>
  <c r="AS95" i="47"/>
  <c r="AS96" i="47"/>
  <c r="AS97" i="47"/>
  <c r="AS98" i="47"/>
  <c r="AS99" i="47"/>
  <c r="AS100" i="47"/>
  <c r="AS101" i="47"/>
  <c r="AS102" i="47"/>
  <c r="AS103" i="47"/>
  <c r="AS104" i="47"/>
  <c r="AS105" i="47"/>
  <c r="AS106" i="47"/>
  <c r="AS107" i="47"/>
  <c r="AS108" i="47"/>
  <c r="AS109" i="47"/>
  <c r="AS110" i="47"/>
  <c r="AS111" i="47"/>
  <c r="AS112" i="47"/>
  <c r="AS113" i="47"/>
  <c r="AS114" i="47"/>
  <c r="AS115" i="47"/>
  <c r="AS116" i="47"/>
  <c r="AS117" i="47"/>
  <c r="AS118" i="47"/>
  <c r="AS119" i="47"/>
  <c r="AS120" i="47"/>
  <c r="AS121" i="47"/>
  <c r="AS122" i="47"/>
  <c r="A143" i="47"/>
  <c r="A147" i="47"/>
  <c r="A151" i="47"/>
  <c r="A155" i="47"/>
  <c r="S16" i="57"/>
  <c r="O82" i="57"/>
  <c r="O77" i="57"/>
  <c r="O71" i="57"/>
  <c r="O66" i="57"/>
  <c r="O61" i="57"/>
  <c r="O55" i="57"/>
  <c r="O50" i="57"/>
  <c r="Q11" i="57"/>
  <c r="O25" i="57"/>
  <c r="B102" i="57"/>
  <c r="A102" i="57" s="1"/>
  <c r="B99" i="57"/>
  <c r="A99" i="57" s="1"/>
  <c r="B119" i="57"/>
  <c r="A119" i="57" s="1"/>
  <c r="B116" i="57"/>
  <c r="A116" i="57" s="1"/>
  <c r="B111" i="57"/>
  <c r="A111" i="57" s="1"/>
  <c r="B108" i="57"/>
  <c r="A108" i="57" s="1"/>
  <c r="A24" i="57"/>
  <c r="S26" i="57"/>
  <c r="T26" i="57" s="1"/>
  <c r="Y26" i="57"/>
  <c r="A153" i="47"/>
  <c r="A149" i="47"/>
  <c r="A145" i="47"/>
  <c r="A141" i="47"/>
  <c r="A133" i="47"/>
  <c r="A134" i="47"/>
  <c r="A135" i="47"/>
  <c r="A136" i="47"/>
  <c r="A137" i="47"/>
  <c r="A138" i="47"/>
  <c r="A139" i="47"/>
  <c r="A142" i="47"/>
  <c r="A144" i="47"/>
  <c r="A146" i="47"/>
  <c r="A148" i="47"/>
  <c r="A150" i="47"/>
  <c r="A152" i="47"/>
  <c r="A154" i="47"/>
  <c r="A156" i="47"/>
  <c r="B96" i="55"/>
  <c r="A96" i="55" s="1"/>
  <c r="B97" i="55"/>
  <c r="A97" i="55" s="1"/>
  <c r="B98" i="55"/>
  <c r="A98" i="55" s="1"/>
  <c r="B99" i="55"/>
  <c r="A99" i="55" s="1"/>
  <c r="B100" i="55"/>
  <c r="A100" i="55" s="1"/>
  <c r="B101" i="55"/>
  <c r="A101" i="55" s="1"/>
  <c r="B102" i="55"/>
  <c r="A102" i="55" s="1"/>
  <c r="B103" i="55"/>
  <c r="A103" i="55" s="1"/>
  <c r="B104" i="55"/>
  <c r="Y26" i="52"/>
  <c r="M28" i="26"/>
  <c r="AA28" i="26" s="1"/>
  <c r="AN26" i="26"/>
  <c r="M8" i="26"/>
  <c r="Y26" i="49"/>
  <c r="M1" i="57"/>
  <c r="S27" i="1"/>
  <c r="T27" i="1" s="1"/>
  <c r="M8" i="1"/>
  <c r="N8" i="1" s="1"/>
  <c r="B113" i="1" s="1"/>
  <c r="M1" i="53"/>
  <c r="B8" i="53" s="1"/>
  <c r="B113" i="45"/>
  <c r="A113" i="45" s="1"/>
  <c r="B102" i="45"/>
  <c r="A102" i="45" s="1"/>
  <c r="B100" i="45"/>
  <c r="A100" i="45" s="1"/>
  <c r="B98" i="45"/>
  <c r="A98" i="45" s="1"/>
  <c r="B96" i="45"/>
  <c r="A96" i="45" s="1"/>
  <c r="Y27" i="45"/>
  <c r="Y26" i="45"/>
  <c r="S26" i="50"/>
  <c r="T26" i="50" s="1"/>
  <c r="Y26" i="50"/>
  <c r="A5" i="50"/>
  <c r="M1" i="50"/>
  <c r="B87" i="50" s="1"/>
  <c r="B96" i="50"/>
  <c r="A96" i="50" s="1"/>
  <c r="B97" i="50"/>
  <c r="A97" i="50" s="1"/>
  <c r="B98" i="50"/>
  <c r="A98" i="50" s="1"/>
  <c r="B99" i="50"/>
  <c r="A99" i="50" s="1"/>
  <c r="B100" i="50"/>
  <c r="A100" i="50" s="1"/>
  <c r="B101" i="50"/>
  <c r="A101" i="50" s="1"/>
  <c r="B102" i="50"/>
  <c r="A102" i="50" s="1"/>
  <c r="B103" i="50"/>
  <c r="A103" i="50" s="1"/>
  <c r="B104" i="50"/>
  <c r="B105" i="50"/>
  <c r="A105" i="50"/>
  <c r="B106" i="50"/>
  <c r="A106" i="50" s="1"/>
  <c r="B107" i="50"/>
  <c r="A107" i="50" s="1"/>
  <c r="B108" i="50"/>
  <c r="A108" i="50" s="1"/>
  <c r="B109" i="50"/>
  <c r="A109" i="50"/>
  <c r="B110" i="50"/>
  <c r="A110" i="50" s="1"/>
  <c r="B111" i="50"/>
  <c r="A111" i="50" s="1"/>
  <c r="B112" i="50"/>
  <c r="A112" i="50" s="1"/>
  <c r="B113" i="50"/>
  <c r="A113" i="50"/>
  <c r="B114" i="50"/>
  <c r="A114" i="50" s="1"/>
  <c r="B115" i="50"/>
  <c r="A115" i="50" s="1"/>
  <c r="B116" i="50"/>
  <c r="A116" i="50" s="1"/>
  <c r="B117" i="50"/>
  <c r="A117" i="50"/>
  <c r="B118" i="50"/>
  <c r="A118" i="50" s="1"/>
  <c r="S26" i="49"/>
  <c r="T26" i="49" s="1"/>
  <c r="M27" i="49"/>
  <c r="A5" i="49"/>
  <c r="B105" i="49"/>
  <c r="A105" i="49" s="1"/>
  <c r="B106" i="49"/>
  <c r="A106" i="49" s="1"/>
  <c r="B107" i="49"/>
  <c r="A107" i="49"/>
  <c r="B108" i="49"/>
  <c r="A108" i="49" s="1"/>
  <c r="S27" i="46"/>
  <c r="T27" i="46" s="1"/>
  <c r="Y27" i="46"/>
  <c r="S26" i="52"/>
  <c r="T26" i="52" s="1"/>
  <c r="M27" i="52"/>
  <c r="M1" i="52"/>
  <c r="B117" i="52"/>
  <c r="A117" i="52" s="1"/>
  <c r="B118" i="52"/>
  <c r="A118" i="52" s="1"/>
  <c r="B119" i="52"/>
  <c r="A119" i="52" s="1"/>
  <c r="B96" i="52"/>
  <c r="A96" i="52" s="1"/>
  <c r="B98" i="52"/>
  <c r="A98" i="52" s="1"/>
  <c r="B100" i="52"/>
  <c r="A100" i="52"/>
  <c r="B102" i="52"/>
  <c r="A102" i="52" s="1"/>
  <c r="B104" i="52"/>
  <c r="B106" i="52"/>
  <c r="A106" i="52" s="1"/>
  <c r="B108" i="52"/>
  <c r="A108" i="52" s="1"/>
  <c r="B112" i="52"/>
  <c r="A112" i="52" s="1"/>
  <c r="B114" i="52"/>
  <c r="A114" i="52" s="1"/>
  <c r="B116" i="52"/>
  <c r="A116" i="52" s="1"/>
  <c r="S27" i="51"/>
  <c r="T27" i="51" s="1"/>
  <c r="S26" i="51"/>
  <c r="T26" i="51" s="1"/>
  <c r="Y26" i="51"/>
  <c r="A5" i="51"/>
  <c r="M1" i="51"/>
  <c r="B96" i="51"/>
  <c r="A96" i="51" s="1"/>
  <c r="B97" i="51"/>
  <c r="A97" i="51" s="1"/>
  <c r="B98" i="51"/>
  <c r="A98" i="51" s="1"/>
  <c r="B99" i="51"/>
  <c r="A99" i="51" s="1"/>
  <c r="B100" i="51"/>
  <c r="A100" i="51" s="1"/>
  <c r="B101" i="51"/>
  <c r="A101" i="51" s="1"/>
  <c r="B102" i="51"/>
  <c r="A102" i="51" s="1"/>
  <c r="B103" i="51"/>
  <c r="A103" i="51" s="1"/>
  <c r="B104" i="51"/>
  <c r="B105" i="51"/>
  <c r="A105" i="51"/>
  <c r="B106" i="51"/>
  <c r="A106" i="51" s="1"/>
  <c r="B107" i="51"/>
  <c r="A107" i="51" s="1"/>
  <c r="B108" i="51"/>
  <c r="A108" i="51" s="1"/>
  <c r="B109" i="51"/>
  <c r="A109" i="51"/>
  <c r="B110" i="51"/>
  <c r="A110" i="51" s="1"/>
  <c r="B111" i="51"/>
  <c r="A111" i="51" s="1"/>
  <c r="B112" i="51"/>
  <c r="A112" i="51" s="1"/>
  <c r="B113" i="51"/>
  <c r="A113" i="51"/>
  <c r="B114" i="51"/>
  <c r="A114" i="51" s="1"/>
  <c r="B115" i="51"/>
  <c r="A115" i="51" s="1"/>
  <c r="A17" i="41"/>
  <c r="O25" i="41"/>
  <c r="AU26" i="41"/>
  <c r="AV26" i="41" s="1"/>
  <c r="O50" i="41"/>
  <c r="O51" i="41"/>
  <c r="O54" i="41"/>
  <c r="O55" i="41"/>
  <c r="A24" i="41"/>
  <c r="O49" i="41"/>
  <c r="O56" i="41"/>
  <c r="O57" i="41"/>
  <c r="O58" i="41"/>
  <c r="O59" i="41"/>
  <c r="O60" i="41"/>
  <c r="O61" i="41"/>
  <c r="O62" i="41"/>
  <c r="O63" i="41"/>
  <c r="O64" i="41"/>
  <c r="O65" i="41"/>
  <c r="O66" i="41"/>
  <c r="O67" i="41"/>
  <c r="O68" i="41"/>
  <c r="O69" i="41"/>
  <c r="O70" i="41"/>
  <c r="O71" i="41"/>
  <c r="O72" i="41"/>
  <c r="O73" i="41"/>
  <c r="O74" i="41"/>
  <c r="O75" i="41"/>
  <c r="O76" i="41"/>
  <c r="O77" i="41"/>
  <c r="O78" i="41"/>
  <c r="O79" i="41"/>
  <c r="O80" i="41"/>
  <c r="O81" i="41"/>
  <c r="O82" i="41"/>
  <c r="B10" i="53"/>
  <c r="Z25" i="57"/>
  <c r="AA25" i="57" s="1"/>
  <c r="J25" i="57" s="1"/>
  <c r="B116" i="51"/>
  <c r="A116" i="51" s="1"/>
  <c r="B117" i="51"/>
  <c r="A117" i="51" s="1"/>
  <c r="B119" i="51"/>
  <c r="A119" i="51" s="1"/>
  <c r="B118" i="51"/>
  <c r="A118" i="51" s="1"/>
  <c r="B8" i="3"/>
  <c r="B10" i="3"/>
  <c r="B87" i="3"/>
  <c r="S27" i="48"/>
  <c r="T27" i="48" s="1"/>
  <c r="M1" i="55"/>
  <c r="B105" i="55"/>
  <c r="A105" i="55" s="1"/>
  <c r="B109" i="55"/>
  <c r="A109" i="55" s="1"/>
  <c r="B113" i="55"/>
  <c r="A113" i="55" s="1"/>
  <c r="B117" i="55"/>
  <c r="A117" i="55" s="1"/>
  <c r="A5" i="55"/>
  <c r="B106" i="55"/>
  <c r="A106" i="55" s="1"/>
  <c r="B108" i="55"/>
  <c r="A108" i="55" s="1"/>
  <c r="B110" i="55"/>
  <c r="A110" i="55" s="1"/>
  <c r="B112" i="55"/>
  <c r="A112" i="55" s="1"/>
  <c r="B114" i="55"/>
  <c r="A114" i="55" s="1"/>
  <c r="B116" i="55"/>
  <c r="A116" i="55" s="1"/>
  <c r="B118" i="55"/>
  <c r="A118" i="55" s="1"/>
  <c r="B120" i="55"/>
  <c r="A120" i="55" s="1"/>
  <c r="M30" i="53"/>
  <c r="M31" i="53" s="1"/>
  <c r="M32" i="53" s="1"/>
  <c r="M33" i="53" s="1"/>
  <c r="M34" i="53" s="1"/>
  <c r="M35" i="53" s="1"/>
  <c r="M36" i="53" s="1"/>
  <c r="M37" i="53" s="1"/>
  <c r="M38" i="53" s="1"/>
  <c r="M39" i="53" s="1"/>
  <c r="M40" i="53" s="1"/>
  <c r="M41" i="53" s="1"/>
  <c r="M42" i="53" s="1"/>
  <c r="M43" i="53" s="1"/>
  <c r="M44" i="53" s="1"/>
  <c r="M45" i="53" s="1"/>
  <c r="M46" i="53" s="1"/>
  <c r="M47" i="53" s="1"/>
  <c r="M48" i="53" s="1"/>
  <c r="S27" i="45"/>
  <c r="T27" i="45"/>
  <c r="M28" i="45"/>
  <c r="Y26" i="54"/>
  <c r="M28" i="54"/>
  <c r="M29" i="54" s="1"/>
  <c r="M30" i="54" s="1"/>
  <c r="M31" i="54" s="1"/>
  <c r="M32" i="54" s="1"/>
  <c r="M33" i="54" s="1"/>
  <c r="M34" i="54" s="1"/>
  <c r="M35" i="54" s="1"/>
  <c r="M36" i="54" s="1"/>
  <c r="M37" i="54" s="1"/>
  <c r="M38" i="54"/>
  <c r="M39" i="54" s="1"/>
  <c r="M40" i="54" s="1"/>
  <c r="M41" i="54" s="1"/>
  <c r="M42" i="54" s="1"/>
  <c r="M43" i="54" s="1"/>
  <c r="M44" i="54" s="1"/>
  <c r="M45" i="54" s="1"/>
  <c r="M46" i="54" s="1"/>
  <c r="M47" i="54" s="1"/>
  <c r="M48" i="54" s="1"/>
  <c r="B99" i="52"/>
  <c r="A99" i="52" s="1"/>
  <c r="B103" i="52"/>
  <c r="A103" i="52" s="1"/>
  <c r="B107" i="52"/>
  <c r="A107" i="52" s="1"/>
  <c r="B111" i="52"/>
  <c r="A111" i="52" s="1"/>
  <c r="B109" i="49"/>
  <c r="A109" i="49"/>
  <c r="B111" i="49"/>
  <c r="A111" i="49" s="1"/>
  <c r="B113" i="49"/>
  <c r="A113" i="49" s="1"/>
  <c r="B115" i="49"/>
  <c r="A115" i="49" s="1"/>
  <c r="B8" i="41"/>
  <c r="B10" i="41"/>
  <c r="M5" i="55"/>
  <c r="A41" i="47"/>
  <c r="S63" i="47"/>
  <c r="T63" i="47" s="1"/>
  <c r="M1" i="46"/>
  <c r="A92" i="46" s="1"/>
  <c r="BF27" i="26"/>
  <c r="AA27" i="26"/>
  <c r="M14" i="41"/>
  <c r="N60" i="41"/>
  <c r="N29" i="61"/>
  <c r="N30" i="61" s="1"/>
  <c r="N31" i="61" s="1"/>
  <c r="N32" i="61" s="1"/>
  <c r="D38" i="61"/>
  <c r="A105" i="26"/>
  <c r="A113" i="1"/>
  <c r="A5" i="1"/>
  <c r="A5" i="45"/>
  <c r="B120" i="48"/>
  <c r="A120" i="48"/>
  <c r="B119" i="48"/>
  <c r="A119" i="48" s="1"/>
  <c r="B117" i="48"/>
  <c r="A117" i="48" s="1"/>
  <c r="B116" i="48"/>
  <c r="A116" i="48" s="1"/>
  <c r="B115" i="48"/>
  <c r="A115" i="48" s="1"/>
  <c r="B113" i="48"/>
  <c r="A113" i="48" s="1"/>
  <c r="B112" i="48"/>
  <c r="A112" i="48" s="1"/>
  <c r="B111" i="48"/>
  <c r="A111" i="48" s="1"/>
  <c r="B109" i="48"/>
  <c r="A109" i="48" s="1"/>
  <c r="B108" i="48"/>
  <c r="A108" i="48" s="1"/>
  <c r="B107" i="48"/>
  <c r="A107" i="48" s="1"/>
  <c r="B105" i="48"/>
  <c r="A105" i="48" s="1"/>
  <c r="M1" i="48"/>
  <c r="B10" i="48" s="1"/>
  <c r="B119" i="55"/>
  <c r="A119" i="55"/>
  <c r="B115" i="55"/>
  <c r="A115" i="55" s="1"/>
  <c r="B111" i="55"/>
  <c r="A111" i="55" s="1"/>
  <c r="A5" i="54"/>
  <c r="M1" i="54"/>
  <c r="B96" i="54"/>
  <c r="A96" i="54" s="1"/>
  <c r="B97" i="54"/>
  <c r="A97" i="54" s="1"/>
  <c r="B98" i="54"/>
  <c r="A98" i="54" s="1"/>
  <c r="B99" i="54"/>
  <c r="A99" i="54" s="1"/>
  <c r="B100" i="54"/>
  <c r="A100" i="54" s="1"/>
  <c r="B101" i="54"/>
  <c r="A101" i="54" s="1"/>
  <c r="B102" i="54"/>
  <c r="A102" i="54"/>
  <c r="B103" i="54"/>
  <c r="A103" i="54" s="1"/>
  <c r="B104" i="54"/>
  <c r="B104" i="46"/>
  <c r="B103" i="46"/>
  <c r="A103" i="46" s="1"/>
  <c r="B102" i="46"/>
  <c r="A102" i="46" s="1"/>
  <c r="B101" i="46"/>
  <c r="A101" i="46" s="1"/>
  <c r="B100" i="46"/>
  <c r="A100" i="46" s="1"/>
  <c r="B99" i="46"/>
  <c r="A99" i="46" s="1"/>
  <c r="B98" i="46"/>
  <c r="A98" i="46"/>
  <c r="B97" i="46"/>
  <c r="A97" i="46" s="1"/>
  <c r="B96" i="46"/>
  <c r="A96" i="46" s="1"/>
  <c r="O83" i="41"/>
  <c r="S27" i="52"/>
  <c r="T27" i="52" s="1"/>
  <c r="M28" i="52"/>
  <c r="Y28" i="52" s="1"/>
  <c r="Y27" i="52"/>
  <c r="B99" i="1"/>
  <c r="A99" i="1" s="1"/>
  <c r="B111" i="1"/>
  <c r="A111" i="1" s="1"/>
  <c r="B8" i="55"/>
  <c r="S26" i="39"/>
  <c r="T26" i="39" s="1"/>
  <c r="Y26" i="39"/>
  <c r="M27" i="39"/>
  <c r="M8" i="39"/>
  <c r="M5" i="53"/>
  <c r="B87" i="53"/>
  <c r="B105" i="54"/>
  <c r="A105" i="54" s="1"/>
  <c r="B106" i="54"/>
  <c r="A106" i="54" s="1"/>
  <c r="B107" i="54"/>
  <c r="A107" i="54" s="1"/>
  <c r="B108" i="54"/>
  <c r="A108" i="54" s="1"/>
  <c r="B109" i="54"/>
  <c r="A109" i="54" s="1"/>
  <c r="B110" i="54"/>
  <c r="A110" i="54" s="1"/>
  <c r="B111" i="54"/>
  <c r="A111" i="54" s="1"/>
  <c r="B112" i="54"/>
  <c r="A112" i="54" s="1"/>
  <c r="B113" i="54"/>
  <c r="A113" i="54" s="1"/>
  <c r="B114" i="54"/>
  <c r="A114" i="54" s="1"/>
  <c r="B115" i="54"/>
  <c r="A115" i="54" s="1"/>
  <c r="B116" i="54"/>
  <c r="A116" i="54" s="1"/>
  <c r="B117" i="54"/>
  <c r="A117" i="54"/>
  <c r="B118" i="54"/>
  <c r="A118" i="54" s="1"/>
  <c r="B119" i="54"/>
  <c r="A119" i="54" s="1"/>
  <c r="B120" i="54"/>
  <c r="A120" i="54" s="1"/>
  <c r="N63" i="60"/>
  <c r="N64" i="60" s="1"/>
  <c r="N65" i="60" s="1"/>
  <c r="N66" i="60" s="1"/>
  <c r="N67" i="60" s="1"/>
  <c r="N68" i="60" s="1"/>
  <c r="N69" i="60" s="1"/>
  <c r="N70" i="60" s="1"/>
  <c r="N71" i="60" s="1"/>
  <c r="N72" i="60" s="1"/>
  <c r="N73" i="60" s="1"/>
  <c r="N74" i="60" s="1"/>
  <c r="N75" i="60" s="1"/>
  <c r="N76" i="60" s="1"/>
  <c r="N77" i="60" s="1"/>
  <c r="N78" i="60" s="1"/>
  <c r="N79" i="60" s="1"/>
  <c r="N80" i="60" s="1"/>
  <c r="N81" i="60" s="1"/>
  <c r="N82" i="60" s="1"/>
  <c r="N83" i="60" s="1"/>
  <c r="N84" i="60" s="1"/>
  <c r="Z62" i="60"/>
  <c r="T62" i="60"/>
  <c r="U62" i="60" s="1"/>
  <c r="N64" i="41"/>
  <c r="W63" i="41" s="1"/>
  <c r="X63" i="41" s="1"/>
  <c r="N37" i="41"/>
  <c r="AY37" i="41" s="1"/>
  <c r="N27" i="41"/>
  <c r="W26" i="41" s="1"/>
  <c r="X26" i="41" s="1"/>
  <c r="N83" i="41"/>
  <c r="N69" i="41"/>
  <c r="AE68" i="41" s="1"/>
  <c r="AF68" i="41" s="1"/>
  <c r="M29" i="26"/>
  <c r="AA29" i="26" s="1"/>
  <c r="B87" i="41"/>
  <c r="M5" i="41"/>
  <c r="B92" i="41"/>
  <c r="N36" i="60"/>
  <c r="B2" i="60"/>
  <c r="S27" i="39"/>
  <c r="T27" i="39" s="1"/>
  <c r="B87" i="52"/>
  <c r="O8" i="1"/>
  <c r="B103" i="1"/>
  <c r="A103" i="1" s="1"/>
  <c r="B97" i="1"/>
  <c r="A97" i="1" s="1"/>
  <c r="B101" i="1"/>
  <c r="A101" i="1" s="1"/>
  <c r="B108" i="1"/>
  <c r="A108" i="1" s="1"/>
  <c r="B112" i="1"/>
  <c r="A112" i="1" s="1"/>
  <c r="B116" i="1"/>
  <c r="A116" i="1" s="1"/>
  <c r="B120" i="1"/>
  <c r="A120" i="1" s="1"/>
  <c r="B107" i="1"/>
  <c r="A107" i="1"/>
  <c r="B115" i="1"/>
  <c r="A115" i="1" s="1"/>
  <c r="B100" i="1"/>
  <c r="A100" i="1" s="1"/>
  <c r="B102" i="1"/>
  <c r="B10" i="54"/>
  <c r="A5" i="48"/>
  <c r="B96" i="48"/>
  <c r="A96" i="48" s="1"/>
  <c r="B98" i="48"/>
  <c r="A98" i="48" s="1"/>
  <c r="B100" i="48"/>
  <c r="A100" i="48" s="1"/>
  <c r="B102" i="48"/>
  <c r="A102" i="48" s="1"/>
  <c r="B104" i="48"/>
  <c r="B99" i="48"/>
  <c r="A99" i="48" s="1"/>
  <c r="B103" i="48"/>
  <c r="A103" i="48" s="1"/>
  <c r="B101" i="48"/>
  <c r="A101" i="48" s="1"/>
  <c r="B118" i="48"/>
  <c r="A118" i="48" s="1"/>
  <c r="B114" i="48"/>
  <c r="A114" i="48" s="1"/>
  <c r="B110" i="48"/>
  <c r="A110" i="48" s="1"/>
  <c r="B106" i="48"/>
  <c r="A106" i="48" s="1"/>
  <c r="B87" i="51"/>
  <c r="M28" i="48"/>
  <c r="M29" i="48" s="1"/>
  <c r="Y27" i="48"/>
  <c r="B115" i="45"/>
  <c r="A115" i="45" s="1"/>
  <c r="B112" i="45"/>
  <c r="A112" i="45" s="1"/>
  <c r="B110" i="45"/>
  <c r="A110" i="45" s="1"/>
  <c r="B108" i="45"/>
  <c r="A108" i="45" s="1"/>
  <c r="B106" i="45"/>
  <c r="A106" i="45" s="1"/>
  <c r="B104" i="45"/>
  <c r="B111" i="45"/>
  <c r="A111" i="45" s="1"/>
  <c r="B109" i="45"/>
  <c r="A109" i="45" s="1"/>
  <c r="B107" i="45"/>
  <c r="A107" i="45" s="1"/>
  <c r="B105" i="45"/>
  <c r="A105" i="45" s="1"/>
  <c r="B114" i="45"/>
  <c r="A114" i="45" s="1"/>
  <c r="B101" i="45"/>
  <c r="A101" i="45" s="1"/>
  <c r="B97" i="45"/>
  <c r="A97" i="45" s="1"/>
  <c r="M1" i="45"/>
  <c r="B92" i="45" s="1"/>
  <c r="B117" i="45"/>
  <c r="A117" i="45" s="1"/>
  <c r="B119" i="45"/>
  <c r="A119" i="45" s="1"/>
  <c r="B103" i="45"/>
  <c r="A103" i="45" s="1"/>
  <c r="B99" i="45"/>
  <c r="A99" i="45" s="1"/>
  <c r="B116" i="45"/>
  <c r="A116" i="45" s="1"/>
  <c r="B118" i="45"/>
  <c r="A118" i="45" s="1"/>
  <c r="M1" i="49"/>
  <c r="B87" i="49" s="1"/>
  <c r="B119" i="49"/>
  <c r="A119" i="49" s="1"/>
  <c r="B117" i="49"/>
  <c r="A117" i="49"/>
  <c r="B96" i="49"/>
  <c r="A96" i="49" s="1"/>
  <c r="B98" i="49"/>
  <c r="A98" i="49" s="1"/>
  <c r="B100" i="49"/>
  <c r="A100" i="49" s="1"/>
  <c r="B102" i="49"/>
  <c r="A102" i="49" s="1"/>
  <c r="B104" i="49"/>
  <c r="B116" i="49"/>
  <c r="A116" i="49" s="1"/>
  <c r="B110" i="49"/>
  <c r="A110" i="49" s="1"/>
  <c r="B112" i="49"/>
  <c r="A112" i="49" s="1"/>
  <c r="B114" i="49"/>
  <c r="A114" i="49" s="1"/>
  <c r="B118" i="49"/>
  <c r="A118" i="49" s="1"/>
  <c r="B97" i="49"/>
  <c r="A97" i="49"/>
  <c r="B99" i="49"/>
  <c r="A99" i="49" s="1"/>
  <c r="B101" i="49"/>
  <c r="A101" i="49" s="1"/>
  <c r="B103" i="49"/>
  <c r="A103" i="49" s="1"/>
  <c r="AI25" i="57"/>
  <c r="AJ25" i="57" s="1"/>
  <c r="AC25" i="57" s="1"/>
  <c r="V25" i="57"/>
  <c r="Q25" i="57" s="1"/>
  <c r="AB25" i="57"/>
  <c r="BF28" i="26"/>
  <c r="S28" i="26"/>
  <c r="M27" i="55"/>
  <c r="Y26" i="55"/>
  <c r="S26" i="55"/>
  <c r="T26" i="55" s="1"/>
  <c r="O27" i="57"/>
  <c r="Y27" i="57"/>
  <c r="S27" i="57"/>
  <c r="T27" i="57" s="1"/>
  <c r="M28" i="57"/>
  <c r="B106" i="53"/>
  <c r="A106" i="53" s="1"/>
  <c r="B108" i="53"/>
  <c r="A108" i="53" s="1"/>
  <c r="B110" i="53"/>
  <c r="A110" i="53" s="1"/>
  <c r="B112" i="53"/>
  <c r="A112" i="53" s="1"/>
  <c r="B114" i="53"/>
  <c r="A114" i="53" s="1"/>
  <c r="B116" i="53"/>
  <c r="A116" i="53" s="1"/>
  <c r="B118" i="53"/>
  <c r="A118" i="53" s="1"/>
  <c r="B120" i="53"/>
  <c r="A120" i="53" s="1"/>
  <c r="S26" i="46"/>
  <c r="T26" i="46" s="1"/>
  <c r="Y26" i="46"/>
  <c r="B113" i="52"/>
  <c r="A113" i="52" s="1"/>
  <c r="B105" i="52"/>
  <c r="A105" i="52" s="1"/>
  <c r="T63" i="59"/>
  <c r="U63" i="59" s="1"/>
  <c r="Z63" i="59"/>
  <c r="AE25" i="57"/>
  <c r="AF25" i="57" s="1"/>
  <c r="B8" i="45"/>
  <c r="BA83" i="67"/>
  <c r="BA91" i="67"/>
  <c r="BA100" i="67"/>
  <c r="BA108" i="67"/>
  <c r="BA126" i="67"/>
  <c r="Q11" i="41"/>
  <c r="AG25" i="41" s="1"/>
  <c r="AH25" i="41" s="1"/>
  <c r="O56" i="57"/>
  <c r="O64" i="57"/>
  <c r="O72" i="57"/>
  <c r="T62" i="59"/>
  <c r="N64" i="59"/>
  <c r="BA113" i="67"/>
  <c r="BA101" i="67"/>
  <c r="BA98" i="67"/>
  <c r="BA92" i="67"/>
  <c r="BA84" i="67"/>
  <c r="BA76" i="67"/>
  <c r="BA73" i="67"/>
  <c r="BA71" i="67"/>
  <c r="AJ25" i="41"/>
  <c r="AC25" i="41" s="1"/>
  <c r="BA127" i="67"/>
  <c r="T123" i="67"/>
  <c r="U123" i="67" s="1"/>
  <c r="BA123" i="67"/>
  <c r="BA119" i="67"/>
  <c r="BA115" i="67"/>
  <c r="BA111" i="67"/>
  <c r="BA107" i="67"/>
  <c r="BA103" i="67"/>
  <c r="BA99" i="67"/>
  <c r="BA97" i="67"/>
  <c r="BA95" i="67"/>
  <c r="BA90" i="67"/>
  <c r="BA86" i="67"/>
  <c r="BA82" i="67"/>
  <c r="BA78" i="67"/>
  <c r="BA74" i="67"/>
  <c r="BA72" i="67"/>
  <c r="BA70" i="67"/>
  <c r="T126" i="67"/>
  <c r="U126" i="67" s="1"/>
  <c r="T127" i="67"/>
  <c r="U127" i="67" s="1"/>
  <c r="T130" i="67"/>
  <c r="U130" i="67" s="1"/>
  <c r="T122" i="67"/>
  <c r="U122" i="67" s="1"/>
  <c r="BA93" i="67"/>
  <c r="BA122" i="67"/>
  <c r="BA129" i="67"/>
  <c r="BA125" i="67"/>
  <c r="BA121" i="67"/>
  <c r="BA117" i="67"/>
  <c r="BA109" i="67"/>
  <c r="BA105" i="67"/>
  <c r="BA96" i="67"/>
  <c r="BA88" i="67"/>
  <c r="BA80" i="67"/>
  <c r="BA130" i="67"/>
  <c r="BA116" i="67"/>
  <c r="BA128" i="67"/>
  <c r="BA114" i="67"/>
  <c r="BA85" i="67"/>
  <c r="BA94" i="67"/>
  <c r="BA124" i="67"/>
  <c r="BA75" i="67"/>
  <c r="BA87" i="67"/>
  <c r="BA112" i="67"/>
  <c r="T108" i="67"/>
  <c r="U108" i="67" s="1"/>
  <c r="BA104" i="67"/>
  <c r="BA118" i="67"/>
  <c r="BA81" i="67"/>
  <c r="BA89" i="67"/>
  <c r="BA110" i="67"/>
  <c r="T128" i="67"/>
  <c r="U128" i="67" s="1"/>
  <c r="T129" i="67"/>
  <c r="U129" i="67" s="1"/>
  <c r="T99" i="67"/>
  <c r="U99" i="67" s="1"/>
  <c r="BA106" i="67"/>
  <c r="T114" i="67"/>
  <c r="U114" i="67" s="1"/>
  <c r="T124" i="67"/>
  <c r="U124" i="67" s="1"/>
  <c r="T125" i="67"/>
  <c r="U125" i="67" s="1"/>
  <c r="BA77" i="67"/>
  <c r="T97" i="67"/>
  <c r="U97" i="67" s="1"/>
  <c r="T111" i="67"/>
  <c r="U111" i="67" s="1"/>
  <c r="T105" i="67"/>
  <c r="U105" i="67" s="1"/>
  <c r="T100" i="67"/>
  <c r="U100" i="67" s="1"/>
  <c r="T96" i="67"/>
  <c r="U96" i="67" s="1"/>
  <c r="T103" i="67"/>
  <c r="U103" i="67" s="1"/>
  <c r="T110" i="67"/>
  <c r="U110" i="67" s="1"/>
  <c r="T113" i="67"/>
  <c r="U113" i="67" s="1"/>
  <c r="T104" i="67"/>
  <c r="U104" i="67" s="1"/>
  <c r="T116" i="67"/>
  <c r="U116" i="67" s="1"/>
  <c r="T117" i="67"/>
  <c r="U117" i="67" s="1"/>
  <c r="T112" i="67"/>
  <c r="U112" i="67" s="1"/>
  <c r="BA120" i="67"/>
  <c r="BA102" i="67"/>
  <c r="BA79" i="67"/>
  <c r="T109" i="67"/>
  <c r="U109" i="67" s="1"/>
  <c r="T101" i="67"/>
  <c r="U101" i="67" s="1"/>
  <c r="T98" i="67"/>
  <c r="U98" i="67" s="1"/>
  <c r="T102" i="67"/>
  <c r="U102" i="67" s="1"/>
  <c r="T121" i="67"/>
  <c r="U121" i="67" s="1"/>
  <c r="T115" i="67"/>
  <c r="U115" i="67" s="1"/>
  <c r="T120" i="67"/>
  <c r="U120" i="67" s="1"/>
  <c r="T94" i="67"/>
  <c r="U94" i="67" s="1"/>
  <c r="T106" i="67"/>
  <c r="U106" i="67" s="1"/>
  <c r="T107" i="67"/>
  <c r="U107" i="67" s="1"/>
  <c r="T95" i="67"/>
  <c r="U95" i="67" s="1"/>
  <c r="T118" i="67"/>
  <c r="U118" i="67" s="1"/>
  <c r="T119" i="67"/>
  <c r="U119" i="67" s="1"/>
  <c r="N75" i="68"/>
  <c r="Z74" i="68"/>
  <c r="T74" i="68"/>
  <c r="U74" i="68" s="1"/>
  <c r="N51" i="68"/>
  <c r="P132" i="68"/>
  <c r="P131" i="68"/>
  <c r="P130" i="68"/>
  <c r="P129" i="68"/>
  <c r="P128" i="68"/>
  <c r="P127" i="68"/>
  <c r="P126" i="68"/>
  <c r="P125" i="68"/>
  <c r="P124" i="68"/>
  <c r="P123" i="68"/>
  <c r="P122" i="68"/>
  <c r="P121" i="68"/>
  <c r="P120" i="68"/>
  <c r="P119" i="68"/>
  <c r="P118" i="68"/>
  <c r="P117" i="68"/>
  <c r="P116" i="68"/>
  <c r="P115" i="68"/>
  <c r="P114" i="68"/>
  <c r="P113" i="68"/>
  <c r="P112" i="68"/>
  <c r="P111" i="68"/>
  <c r="P110" i="68"/>
  <c r="P109" i="68"/>
  <c r="P108" i="68"/>
  <c r="P107" i="68"/>
  <c r="P106" i="68"/>
  <c r="P105" i="68"/>
  <c r="P104" i="68"/>
  <c r="P103" i="68"/>
  <c r="P102" i="68"/>
  <c r="P101" i="68"/>
  <c r="N60" i="68"/>
  <c r="O98" i="68" s="1"/>
  <c r="N62" i="68"/>
  <c r="A63" i="68"/>
  <c r="A71" i="68"/>
  <c r="P72" i="68"/>
  <c r="P73" i="68"/>
  <c r="T73" i="68"/>
  <c r="U73" i="68" s="1"/>
  <c r="Z73" i="68"/>
  <c r="AW73" i="68"/>
  <c r="AX73" i="68" s="1"/>
  <c r="P74" i="68"/>
  <c r="O80" i="68"/>
  <c r="AG79" i="68" s="1"/>
  <c r="AH79" i="68" s="1"/>
  <c r="P96" i="68"/>
  <c r="P97" i="68"/>
  <c r="P98" i="68"/>
  <c r="P100" i="68"/>
  <c r="O107" i="68"/>
  <c r="BA107" i="68" s="1"/>
  <c r="O116" i="68"/>
  <c r="O128" i="68"/>
  <c r="S128" i="68" s="1"/>
  <c r="AK128" i="68" s="1"/>
  <c r="Z94" i="67"/>
  <c r="Z95" i="67"/>
  <c r="Z96" i="67"/>
  <c r="Z97" i="67"/>
  <c r="Z98" i="67"/>
  <c r="Z99" i="67"/>
  <c r="Z100" i="67"/>
  <c r="Z101" i="67"/>
  <c r="Z102" i="67"/>
  <c r="Z103" i="67"/>
  <c r="Z104" i="67"/>
  <c r="Z105" i="67"/>
  <c r="Z106" i="67"/>
  <c r="Z107" i="67"/>
  <c r="Z108" i="67"/>
  <c r="Z109" i="67"/>
  <c r="Z110" i="67"/>
  <c r="Z111" i="67"/>
  <c r="Z112" i="67"/>
  <c r="Z113" i="67"/>
  <c r="Z114" i="67"/>
  <c r="Z115" i="67"/>
  <c r="Z116" i="67"/>
  <c r="Z117" i="67"/>
  <c r="Z118" i="67"/>
  <c r="Z119" i="67"/>
  <c r="Z120" i="67"/>
  <c r="Z121" i="67"/>
  <c r="Z122" i="67"/>
  <c r="Z123" i="67"/>
  <c r="Z124" i="67"/>
  <c r="Z125" i="67"/>
  <c r="Z126" i="67"/>
  <c r="Z127" i="67"/>
  <c r="Z128" i="67"/>
  <c r="Z129" i="67"/>
  <c r="Z130" i="67"/>
  <c r="A50" i="67"/>
  <c r="AK70" i="67"/>
  <c r="T71" i="67"/>
  <c r="U71" i="67" s="1"/>
  <c r="T70" i="67"/>
  <c r="Z71" i="67"/>
  <c r="O130" i="68"/>
  <c r="O94" i="68"/>
  <c r="O117" i="68"/>
  <c r="S117" i="68" s="1"/>
  <c r="AK117" i="68" s="1"/>
  <c r="O81" i="68"/>
  <c r="AG80" i="68" s="1"/>
  <c r="AH80" i="68" s="1"/>
  <c r="O109" i="68"/>
  <c r="AN109" i="68" s="1"/>
  <c r="AO109" i="68" s="1"/>
  <c r="AQ109" i="68" s="1"/>
  <c r="O72" i="68"/>
  <c r="BA72" i="68" s="1"/>
  <c r="O74" i="68"/>
  <c r="X73" i="68" s="1"/>
  <c r="Y73" i="68" s="1"/>
  <c r="S28" i="52"/>
  <c r="T28" i="52" s="1"/>
  <c r="B106" i="1"/>
  <c r="A106" i="1" s="1"/>
  <c r="B118" i="1"/>
  <c r="A118" i="1" s="1"/>
  <c r="B119" i="1"/>
  <c r="A119" i="1" s="1"/>
  <c r="B104" i="1"/>
  <c r="A104" i="1"/>
  <c r="B110" i="1"/>
  <c r="A110" i="1" s="1"/>
  <c r="B98" i="1"/>
  <c r="A98" i="1" s="1"/>
  <c r="B105" i="1"/>
  <c r="B117" i="1"/>
  <c r="A117" i="1" s="1"/>
  <c r="N8" i="39"/>
  <c r="B113" i="39" s="1"/>
  <c r="A113" i="39" s="1"/>
  <c r="M1" i="39"/>
  <c r="A5" i="39"/>
  <c r="M28" i="46"/>
  <c r="S28" i="46" s="1"/>
  <c r="T28" i="46" s="1"/>
  <c r="B92" i="53"/>
  <c r="M14" i="57"/>
  <c r="AG25" i="57"/>
  <c r="AH25" i="57" s="1"/>
  <c r="U25" i="57"/>
  <c r="S17" i="57"/>
  <c r="S26" i="48"/>
  <c r="T26" i="48" s="1"/>
  <c r="S26" i="45"/>
  <c r="T26" i="45" s="1"/>
  <c r="B2" i="68"/>
  <c r="B4" i="68"/>
  <c r="A5" i="46"/>
  <c r="B106" i="46"/>
  <c r="A106" i="46"/>
  <c r="B109" i="46"/>
  <c r="A109" i="46" s="1"/>
  <c r="B112" i="46"/>
  <c r="A112" i="46" s="1"/>
  <c r="B115" i="46"/>
  <c r="A115" i="46" s="1"/>
  <c r="B118" i="46"/>
  <c r="A118" i="46" s="1"/>
  <c r="B107" i="46"/>
  <c r="A107" i="46" s="1"/>
  <c r="B110" i="46"/>
  <c r="A110" i="46" s="1"/>
  <c r="B113" i="46"/>
  <c r="A113" i="46" s="1"/>
  <c r="B116" i="46"/>
  <c r="A116" i="46" s="1"/>
  <c r="B119" i="46"/>
  <c r="A119" i="46" s="1"/>
  <c r="O53" i="41"/>
  <c r="O85" i="41"/>
  <c r="M16" i="41"/>
  <c r="B109" i="52"/>
  <c r="A109" i="52" s="1"/>
  <c r="B97" i="52"/>
  <c r="A97" i="52" s="1"/>
  <c r="O80" i="57"/>
  <c r="O60" i="57"/>
  <c r="O76" i="57"/>
  <c r="O52" i="57"/>
  <c r="O68" i="57"/>
  <c r="M29" i="46"/>
  <c r="Y29" i="46" s="1"/>
  <c r="A92" i="39"/>
  <c r="P25" i="57"/>
  <c r="BA81" i="68"/>
  <c r="X80" i="68"/>
  <c r="Y80" i="68" s="1"/>
  <c r="B109" i="39"/>
  <c r="A109" i="39" s="1"/>
  <c r="B104" i="39"/>
  <c r="J109" i="68"/>
  <c r="AP109" i="68"/>
  <c r="AR109" i="68" s="1"/>
  <c r="AP72" i="68"/>
  <c r="AR72" i="68" s="1"/>
  <c r="B117" i="68"/>
  <c r="AN117" i="68"/>
  <c r="AO117" i="68" s="1"/>
  <c r="BA117" i="68"/>
  <c r="X93" i="68"/>
  <c r="Y93" i="68" s="1"/>
  <c r="AA73" i="68"/>
  <c r="AB73" i="68" s="1"/>
  <c r="K73" i="68" s="1"/>
  <c r="AI73" i="68"/>
  <c r="AJ73" i="68" s="1"/>
  <c r="S29" i="46"/>
  <c r="T29" i="46" s="1"/>
  <c r="G23" i="67"/>
  <c r="N30" i="57"/>
  <c r="N43" i="57"/>
  <c r="N85" i="57"/>
  <c r="N40" i="57"/>
  <c r="N47" i="57"/>
  <c r="N73" i="57"/>
  <c r="N29" i="57"/>
  <c r="N65" i="57"/>
  <c r="N84" i="57"/>
  <c r="N52" i="57"/>
  <c r="N38" i="57"/>
  <c r="N67" i="57"/>
  <c r="N80" i="57"/>
  <c r="N68" i="57"/>
  <c r="N64" i="57"/>
  <c r="N45" i="57"/>
  <c r="N36" i="57"/>
  <c r="N66" i="57"/>
  <c r="N70" i="57"/>
  <c r="N42" i="57"/>
  <c r="N71" i="57"/>
  <c r="N50" i="57"/>
  <c r="N69" i="57"/>
  <c r="N39" i="57"/>
  <c r="N53" i="57"/>
  <c r="N78" i="57"/>
  <c r="N62" i="57"/>
  <c r="N74" i="57"/>
  <c r="N72" i="57"/>
  <c r="N51" i="57"/>
  <c r="N44" i="57"/>
  <c r="N83" i="57"/>
  <c r="N34" i="57"/>
  <c r="N33" i="57"/>
  <c r="N46" i="57"/>
  <c r="N32" i="57"/>
  <c r="N60" i="57"/>
  <c r="N56" i="57"/>
  <c r="N26" i="57"/>
  <c r="N63" i="57"/>
  <c r="N75" i="57"/>
  <c r="N58" i="57"/>
  <c r="N55" i="57"/>
  <c r="N61" i="57"/>
  <c r="N28" i="57"/>
  <c r="N54" i="57"/>
  <c r="N41" i="57"/>
  <c r="N59" i="57"/>
  <c r="N35" i="57"/>
  <c r="N27" i="57"/>
  <c r="N25" i="57"/>
  <c r="N76" i="57"/>
  <c r="N31" i="57"/>
  <c r="N81" i="57"/>
  <c r="N57" i="57"/>
  <c r="N79" i="57"/>
  <c r="N37" i="57"/>
  <c r="AE36" i="57" s="1"/>
  <c r="AF36" i="57" s="1"/>
  <c r="N82" i="57"/>
  <c r="N77" i="57"/>
  <c r="AI25" i="50"/>
  <c r="AG106" i="68"/>
  <c r="AH106" i="68" s="1"/>
  <c r="X106" i="68"/>
  <c r="Y106" i="68" s="1"/>
  <c r="A63" i="61"/>
  <c r="B62" i="61"/>
  <c r="O28" i="57"/>
  <c r="S28" i="57"/>
  <c r="T28" i="57" s="1"/>
  <c r="I28" i="57" s="1"/>
  <c r="M29" i="57"/>
  <c r="Y28" i="57"/>
  <c r="S27" i="55"/>
  <c r="T27" i="55" s="1"/>
  <c r="M28" i="55"/>
  <c r="Y27" i="55"/>
  <c r="N76" i="68"/>
  <c r="Z75" i="68"/>
  <c r="T28" i="26"/>
  <c r="U28" i="26" s="1"/>
  <c r="I28" i="26" s="1"/>
  <c r="S29" i="26" s="1"/>
  <c r="T29" i="26" s="1"/>
  <c r="U29" i="26" s="1"/>
  <c r="I29" i="26" s="1"/>
  <c r="Y28" i="48"/>
  <c r="S28" i="48"/>
  <c r="T28" i="48" s="1"/>
  <c r="AY69" i="41"/>
  <c r="W68" i="41"/>
  <c r="X68" i="41" s="1"/>
  <c r="Z25" i="41"/>
  <c r="AA25" i="41" s="1"/>
  <c r="AB25" i="41"/>
  <c r="M30" i="48"/>
  <c r="M31" i="48" s="1"/>
  <c r="S31" i="48" s="1"/>
  <c r="T31" i="48" s="1"/>
  <c r="Y29" i="48"/>
  <c r="S29" i="48"/>
  <c r="T29" i="48" s="1"/>
  <c r="AY83" i="41"/>
  <c r="N40" i="60"/>
  <c r="B4" i="60"/>
  <c r="AE26" i="41"/>
  <c r="AF26" i="41" s="1"/>
  <c r="AY27" i="41"/>
  <c r="AE63" i="41"/>
  <c r="AF63" i="41" s="1"/>
  <c r="W59" i="41"/>
  <c r="X59" i="41" s="1"/>
  <c r="AE59" i="41"/>
  <c r="AF59" i="41" s="1"/>
  <c r="AY60" i="41"/>
  <c r="M5" i="46"/>
  <c r="B8" i="46"/>
  <c r="B87" i="46"/>
  <c r="B10" i="46"/>
  <c r="B92" i="46"/>
  <c r="N57" i="41"/>
  <c r="N63" i="41"/>
  <c r="W62" i="41" s="1"/>
  <c r="X62" i="41" s="1"/>
  <c r="N71" i="41"/>
  <c r="N81" i="41"/>
  <c r="AY81" i="41" s="1"/>
  <c r="N33" i="41"/>
  <c r="N38" i="41"/>
  <c r="AE37" i="41" s="1"/>
  <c r="AF37" i="41" s="1"/>
  <c r="N51" i="41"/>
  <c r="N68" i="41"/>
  <c r="N26" i="41"/>
  <c r="N78" i="41"/>
  <c r="W77" i="41" s="1"/>
  <c r="N82" i="41"/>
  <c r="N56" i="41"/>
  <c r="N70" i="41"/>
  <c r="N47" i="41"/>
  <c r="AY47" i="41" s="1"/>
  <c r="N43" i="41"/>
  <c r="N59" i="41"/>
  <c r="N67" i="41"/>
  <c r="N75" i="41"/>
  <c r="AE74" i="41" s="1"/>
  <c r="AF74" i="41" s="1"/>
  <c r="N50" i="41"/>
  <c r="N66" i="41"/>
  <c r="N30" i="41"/>
  <c r="N36" i="41"/>
  <c r="AY36" i="41" s="1"/>
  <c r="N72" i="41"/>
  <c r="N25" i="41"/>
  <c r="B25" i="41" s="1"/>
  <c r="N79" i="41"/>
  <c r="N84" i="41"/>
  <c r="W83" i="41" s="1"/>
  <c r="X83" i="41" s="1"/>
  <c r="N31" i="41"/>
  <c r="N54" i="41"/>
  <c r="W53" i="41" s="1"/>
  <c r="X53" i="41" s="1"/>
  <c r="N35" i="41"/>
  <c r="N42" i="41"/>
  <c r="W41" i="41" s="1"/>
  <c r="X41" i="41" s="1"/>
  <c r="N53" i="41"/>
  <c r="N74" i="41"/>
  <c r="A92" i="50"/>
  <c r="B10" i="50"/>
  <c r="B8" i="50"/>
  <c r="M1" i="26"/>
  <c r="M5" i="26" s="1"/>
  <c r="A5" i="26"/>
  <c r="N8" i="26"/>
  <c r="O8" i="26" s="1"/>
  <c r="S26" i="3"/>
  <c r="T26" i="3"/>
  <c r="M27" i="3"/>
  <c r="S27" i="3" s="1"/>
  <c r="T27" i="3" s="1"/>
  <c r="Y26" i="3"/>
  <c r="M28" i="1"/>
  <c r="Y27" i="1"/>
  <c r="B92" i="54"/>
  <c r="B87" i="54"/>
  <c r="N39" i="41"/>
  <c r="A41" i="59"/>
  <c r="N37" i="59"/>
  <c r="M5" i="48"/>
  <c r="B104" i="53"/>
  <c r="B102" i="53"/>
  <c r="A102" i="53" s="1"/>
  <c r="B100" i="53"/>
  <c r="A100" i="53" s="1"/>
  <c r="B98" i="53"/>
  <c r="A98" i="53" s="1"/>
  <c r="B96" i="53"/>
  <c r="A96" i="53" s="1"/>
  <c r="B119" i="53"/>
  <c r="A119" i="53" s="1"/>
  <c r="B115" i="53"/>
  <c r="A115" i="53"/>
  <c r="B111" i="53"/>
  <c r="A111" i="53" s="1"/>
  <c r="B8" i="26"/>
  <c r="W80" i="41"/>
  <c r="X80" i="41" s="1"/>
  <c r="AE52" i="41"/>
  <c r="AF52" i="41"/>
  <c r="AY53" i="41"/>
  <c r="W52" i="41"/>
  <c r="X52" i="41" s="1"/>
  <c r="W30" i="41"/>
  <c r="X30" i="41" s="1"/>
  <c r="AE30" i="41"/>
  <c r="AF30" i="41" s="1"/>
  <c r="AY31" i="41"/>
  <c r="W71" i="41"/>
  <c r="X71" i="41" s="1"/>
  <c r="AE71" i="41"/>
  <c r="AF71" i="41" s="1"/>
  <c r="AY72" i="41"/>
  <c r="AE49" i="41"/>
  <c r="AF49" i="41" s="1"/>
  <c r="W49" i="41"/>
  <c r="X49" i="41" s="1"/>
  <c r="AY50" i="41"/>
  <c r="AE42" i="41"/>
  <c r="AF42" i="41" s="1"/>
  <c r="W42" i="41"/>
  <c r="X42" i="41" s="1"/>
  <c r="AY43" i="41"/>
  <c r="AY82" i="41"/>
  <c r="AE81" i="41"/>
  <c r="AF81" i="41" s="1"/>
  <c r="W81" i="41"/>
  <c r="X81" i="41" s="1"/>
  <c r="AE50" i="41"/>
  <c r="AF50" i="41" s="1"/>
  <c r="W50" i="41"/>
  <c r="X50" i="41" s="1"/>
  <c r="AY51" i="41"/>
  <c r="AE70" i="41"/>
  <c r="AF70" i="41" s="1"/>
  <c r="W70" i="41"/>
  <c r="X70" i="41" s="1"/>
  <c r="AY71" i="41"/>
  <c r="S29" i="57"/>
  <c r="T29" i="57" s="1"/>
  <c r="M30" i="57"/>
  <c r="O30" i="57" s="1"/>
  <c r="Y29" i="57"/>
  <c r="O29" i="57"/>
  <c r="AY37" i="57"/>
  <c r="W36" i="57"/>
  <c r="X36" i="57" s="1"/>
  <c r="W30" i="57"/>
  <c r="X30" i="57" s="1"/>
  <c r="AY31" i="57"/>
  <c r="AE30" i="57"/>
  <c r="AF30" i="57" s="1"/>
  <c r="AY35" i="57"/>
  <c r="AE34" i="57"/>
  <c r="AF34" i="57" s="1"/>
  <c r="W34" i="57"/>
  <c r="X34" i="57" s="1"/>
  <c r="AY28" i="57"/>
  <c r="AG27" i="57"/>
  <c r="AH27" i="57" s="1"/>
  <c r="Z27" i="57"/>
  <c r="AA27" i="57"/>
  <c r="J27" i="57" s="1"/>
  <c r="W27" i="57"/>
  <c r="X27" i="57"/>
  <c r="AE27" i="57"/>
  <c r="AF27" i="57" s="1"/>
  <c r="AY75" i="57"/>
  <c r="AG74" i="57"/>
  <c r="AH74" i="57" s="1"/>
  <c r="U74" i="57"/>
  <c r="P74" i="57" s="1"/>
  <c r="AJ74" i="57"/>
  <c r="AC74" i="57" s="1"/>
  <c r="I75" i="57"/>
  <c r="F75" i="57"/>
  <c r="R75" i="57"/>
  <c r="AN75" i="57"/>
  <c r="AP75" i="57"/>
  <c r="AL75" i="57"/>
  <c r="AM75" i="57" s="1"/>
  <c r="W74" i="57"/>
  <c r="X74" i="57" s="1"/>
  <c r="Z74" i="57"/>
  <c r="AA74" i="57" s="1"/>
  <c r="J74" i="57" s="1"/>
  <c r="I60" i="57"/>
  <c r="AN60" i="57"/>
  <c r="AP60" i="57" s="1"/>
  <c r="AY60" i="57"/>
  <c r="R60" i="57"/>
  <c r="AE59" i="57"/>
  <c r="AF59" i="57" s="1"/>
  <c r="AL60" i="57"/>
  <c r="AM60" i="57" s="1"/>
  <c r="AO60" i="57" s="1"/>
  <c r="W59" i="57"/>
  <c r="X59" i="57" s="1"/>
  <c r="B60" i="57"/>
  <c r="AK59" i="57"/>
  <c r="AD59" i="57" s="1"/>
  <c r="F60" i="57"/>
  <c r="D60" i="57"/>
  <c r="V59" i="57"/>
  <c r="Q59" i="57" s="1"/>
  <c r="U59" i="57"/>
  <c r="P59" i="57" s="1"/>
  <c r="AY34" i="57"/>
  <c r="W33" i="57"/>
  <c r="X33" i="57" s="1"/>
  <c r="AE33" i="57"/>
  <c r="AF33" i="57" s="1"/>
  <c r="V71" i="57"/>
  <c r="Q71" i="57" s="1"/>
  <c r="F72" i="57"/>
  <c r="I72" i="57"/>
  <c r="AJ71" i="57"/>
  <c r="AC71" i="57" s="1"/>
  <c r="R72" i="57"/>
  <c r="AL72" i="57"/>
  <c r="AM72" i="57" s="1"/>
  <c r="Z71" i="57"/>
  <c r="AA71" i="57" s="1"/>
  <c r="J71" i="57" s="1"/>
  <c r="AK71" i="57"/>
  <c r="AD71" i="57" s="1"/>
  <c r="D72" i="57"/>
  <c r="AN72" i="57"/>
  <c r="AP72" i="57" s="1"/>
  <c r="AE71" i="57"/>
  <c r="AF71" i="57"/>
  <c r="U71" i="57"/>
  <c r="P71" i="57" s="1"/>
  <c r="AY72" i="57"/>
  <c r="B72" i="57"/>
  <c r="W71" i="57"/>
  <c r="X71" i="57" s="1"/>
  <c r="AG71" i="57"/>
  <c r="AH71" i="57" s="1"/>
  <c r="AL53" i="57"/>
  <c r="AM53" i="57" s="1"/>
  <c r="AJ52" i="57"/>
  <c r="AC52" i="57" s="1"/>
  <c r="AE52" i="57"/>
  <c r="AF52" i="57" s="1"/>
  <c r="Z52" i="57"/>
  <c r="AA52" i="57"/>
  <c r="J52" i="57" s="1"/>
  <c r="AN53" i="57"/>
  <c r="AP53" i="57" s="1"/>
  <c r="AY53" i="57"/>
  <c r="AK52" i="57"/>
  <c r="AD52" i="57" s="1"/>
  <c r="W52" i="57"/>
  <c r="X52" i="57" s="1"/>
  <c r="F53" i="57"/>
  <c r="B53" i="57"/>
  <c r="I53" i="57"/>
  <c r="AG52" i="57"/>
  <c r="AH52" i="57" s="1"/>
  <c r="D53" i="57"/>
  <c r="U52" i="57"/>
  <c r="P52" i="57" s="1"/>
  <c r="V52" i="57"/>
  <c r="Q52" i="57" s="1"/>
  <c r="R53" i="57"/>
  <c r="R71" i="57"/>
  <c r="AL71" i="57"/>
  <c r="AM71" i="57" s="1"/>
  <c r="AG70" i="57"/>
  <c r="AH70" i="57"/>
  <c r="I71" i="57"/>
  <c r="AY71" i="57"/>
  <c r="W70" i="57"/>
  <c r="X70" i="57"/>
  <c r="AJ70" i="57"/>
  <c r="AC70" i="57" s="1"/>
  <c r="AK70" i="57"/>
  <c r="AD70" i="57" s="1"/>
  <c r="Z70" i="57"/>
  <c r="AA70" i="57" s="1"/>
  <c r="J70" i="57"/>
  <c r="V70" i="57"/>
  <c r="Q70" i="57" s="1"/>
  <c r="AN71" i="57"/>
  <c r="AP71" i="57" s="1"/>
  <c r="F71" i="57"/>
  <c r="AE70" i="57"/>
  <c r="AF70" i="57" s="1"/>
  <c r="U70" i="57"/>
  <c r="P70" i="57" s="1"/>
  <c r="D71" i="57"/>
  <c r="B71" i="57"/>
  <c r="AY36" i="57"/>
  <c r="W35" i="57"/>
  <c r="X35" i="57" s="1"/>
  <c r="AE35" i="57"/>
  <c r="AF35" i="57" s="1"/>
  <c r="B80" i="57"/>
  <c r="AK79" i="57"/>
  <c r="AD79" i="57" s="1"/>
  <c r="R80" i="57"/>
  <c r="AI80" i="57" s="1"/>
  <c r="AG79" i="57"/>
  <c r="AH79" i="57" s="1"/>
  <c r="I80" i="57"/>
  <c r="AY80" i="57"/>
  <c r="W79" i="57"/>
  <c r="X79" i="57" s="1"/>
  <c r="D80" i="57"/>
  <c r="Z79" i="57"/>
  <c r="AA79" i="57" s="1"/>
  <c r="J79" i="57" s="1"/>
  <c r="V79" i="57"/>
  <c r="Q79" i="57"/>
  <c r="AE79" i="57"/>
  <c r="AF79" i="57" s="1"/>
  <c r="AL80" i="57"/>
  <c r="AM80" i="57" s="1"/>
  <c r="AO80" i="57" s="1"/>
  <c r="U79" i="57"/>
  <c r="P79" i="57" s="1"/>
  <c r="AN80" i="57"/>
  <c r="AP80" i="57" s="1"/>
  <c r="AJ79" i="57"/>
  <c r="AC79" i="57" s="1"/>
  <c r="F80" i="57"/>
  <c r="AK83" i="57"/>
  <c r="AD83" i="57" s="1"/>
  <c r="AY84" i="57"/>
  <c r="AJ83" i="57"/>
  <c r="AC83" i="57" s="1"/>
  <c r="AN84" i="57"/>
  <c r="AP84" i="57" s="1"/>
  <c r="AE83" i="57"/>
  <c r="AF83" i="57" s="1"/>
  <c r="F84" i="57"/>
  <c r="V83" i="57"/>
  <c r="Q83" i="57" s="1"/>
  <c r="B84" i="57"/>
  <c r="W83" i="57"/>
  <c r="X83" i="57" s="1"/>
  <c r="AG83" i="57"/>
  <c r="AH83" i="57" s="1"/>
  <c r="AL84" i="57"/>
  <c r="AM84" i="57" s="1"/>
  <c r="Z83" i="57"/>
  <c r="AA83" i="57" s="1"/>
  <c r="J83" i="57" s="1"/>
  <c r="L83" i="57" s="1"/>
  <c r="U83" i="57"/>
  <c r="P83" i="57" s="1"/>
  <c r="D84" i="57"/>
  <c r="I84" i="57"/>
  <c r="R84" i="57"/>
  <c r="W46" i="57"/>
  <c r="X46" i="57"/>
  <c r="AY47" i="57"/>
  <c r="AE46" i="57"/>
  <c r="AF46" i="57" s="1"/>
  <c r="W29" i="57"/>
  <c r="X29" i="57" s="1"/>
  <c r="AE29" i="57"/>
  <c r="AF29" i="57" s="1"/>
  <c r="AY30" i="57"/>
  <c r="B2" i="59"/>
  <c r="B4" i="59"/>
  <c r="N41" i="59"/>
  <c r="AY54" i="41"/>
  <c r="AE53" i="41"/>
  <c r="AF53" i="41" s="1"/>
  <c r="AY59" i="41"/>
  <c r="W58" i="41"/>
  <c r="X58" i="41" s="1"/>
  <c r="AE58" i="41"/>
  <c r="AF58" i="41" s="1"/>
  <c r="AE67" i="41"/>
  <c r="AF67" i="41" s="1"/>
  <c r="AY68" i="41"/>
  <c r="W67" i="41"/>
  <c r="X67" i="41" s="1"/>
  <c r="AL79" i="57"/>
  <c r="AM79" i="57" s="1"/>
  <c r="AO79" i="57" s="1"/>
  <c r="F79" i="57"/>
  <c r="Z78" i="57"/>
  <c r="AA78" i="57" s="1"/>
  <c r="J78" i="57" s="1"/>
  <c r="R79" i="57"/>
  <c r="AI79" i="57" s="1"/>
  <c r="AE78" i="57"/>
  <c r="AF78" i="57" s="1"/>
  <c r="U78" i="57"/>
  <c r="P78" i="57" s="1"/>
  <c r="AJ78" i="57"/>
  <c r="AC78" i="57" s="1"/>
  <c r="AG78" i="57"/>
  <c r="AH78" i="57" s="1"/>
  <c r="B79" i="57"/>
  <c r="AK78" i="57"/>
  <c r="AD78" i="57" s="1"/>
  <c r="AN79" i="57"/>
  <c r="AP79" i="57"/>
  <c r="AY79" i="57"/>
  <c r="D79" i="57"/>
  <c r="W78" i="57"/>
  <c r="X78" i="57"/>
  <c r="V78" i="57"/>
  <c r="Q78" i="57" s="1"/>
  <c r="I79" i="57"/>
  <c r="R76" i="57"/>
  <c r="AK75" i="57"/>
  <c r="AD75" i="57" s="1"/>
  <c r="AJ75" i="57"/>
  <c r="AC75" i="57" s="1"/>
  <c r="AG75" i="57"/>
  <c r="AH75" i="57" s="1"/>
  <c r="B76" i="57"/>
  <c r="U75" i="57"/>
  <c r="P75" i="57" s="1"/>
  <c r="AY76" i="57"/>
  <c r="AE75" i="57"/>
  <c r="AF75" i="57" s="1"/>
  <c r="AN76" i="57"/>
  <c r="AP76" i="57" s="1"/>
  <c r="I76" i="57"/>
  <c r="D76" i="57"/>
  <c r="W75" i="57"/>
  <c r="X75" i="57" s="1"/>
  <c r="V75" i="57"/>
  <c r="Q75" i="57" s="1"/>
  <c r="AL76" i="57"/>
  <c r="AM76" i="57" s="1"/>
  <c r="Z75" i="57"/>
  <c r="AA75" i="57" s="1"/>
  <c r="J75" i="57" s="1"/>
  <c r="L75" i="57" s="1"/>
  <c r="F76" i="57"/>
  <c r="H76" i="57" s="1"/>
  <c r="AG58" i="57"/>
  <c r="AH58" i="57" s="1"/>
  <c r="Z58" i="57"/>
  <c r="AA58" i="57" s="1"/>
  <c r="J58" i="57" s="1"/>
  <c r="AJ58" i="57"/>
  <c r="AC58" i="57" s="1"/>
  <c r="AK58" i="57"/>
  <c r="AD58" i="57" s="1"/>
  <c r="W58" i="57"/>
  <c r="X58" i="57" s="1"/>
  <c r="U58" i="57"/>
  <c r="P58" i="57" s="1"/>
  <c r="AL59" i="57"/>
  <c r="AM59" i="57" s="1"/>
  <c r="AE58" i="57"/>
  <c r="AF58" i="57" s="1"/>
  <c r="R59" i="57"/>
  <c r="AB59" i="57" s="1"/>
  <c r="I59" i="57"/>
  <c r="F59" i="57"/>
  <c r="D59" i="57"/>
  <c r="AY59" i="57"/>
  <c r="V58" i="57"/>
  <c r="Q58" i="57"/>
  <c r="AN59" i="57"/>
  <c r="AP59" i="57" s="1"/>
  <c r="B59" i="57"/>
  <c r="U60" i="57"/>
  <c r="P60" i="57" s="1"/>
  <c r="AY61" i="57"/>
  <c r="AN61" i="57"/>
  <c r="AP61" i="57" s="1"/>
  <c r="B61" i="57"/>
  <c r="R61" i="57"/>
  <c r="AK60" i="57"/>
  <c r="AD60" i="57" s="1"/>
  <c r="AE60" i="57"/>
  <c r="AF60" i="57" s="1"/>
  <c r="V60" i="57"/>
  <c r="Q60" i="57" s="1"/>
  <c r="D61" i="57"/>
  <c r="I61" i="57"/>
  <c r="Z60" i="57"/>
  <c r="AA60" i="57" s="1"/>
  <c r="J60" i="57" s="1"/>
  <c r="L60" i="57" s="1"/>
  <c r="F61" i="57"/>
  <c r="AL61" i="57"/>
  <c r="AM61" i="57"/>
  <c r="AQ61" i="57" s="1"/>
  <c r="AS62" i="57" s="1"/>
  <c r="W60" i="57"/>
  <c r="X60" i="57" s="1"/>
  <c r="AJ60" i="57"/>
  <c r="AC60" i="57" s="1"/>
  <c r="AG60" i="57"/>
  <c r="AH60" i="57" s="1"/>
  <c r="F63" i="57"/>
  <c r="W62" i="57"/>
  <c r="X62" i="57" s="1"/>
  <c r="AY63" i="57"/>
  <c r="D63" i="57"/>
  <c r="H63" i="57" s="1"/>
  <c r="AJ62" i="57"/>
  <c r="AC62" i="57" s="1"/>
  <c r="AL63" i="57"/>
  <c r="AM63" i="57" s="1"/>
  <c r="AQ63" i="57" s="1"/>
  <c r="AS64" i="57" s="1"/>
  <c r="Z62" i="57"/>
  <c r="AA62" i="57" s="1"/>
  <c r="J62" i="57" s="1"/>
  <c r="AG62" i="57"/>
  <c r="AH62" i="57" s="1"/>
  <c r="AE62" i="57"/>
  <c r="AF62" i="57" s="1"/>
  <c r="V62" i="57"/>
  <c r="Q62" i="57" s="1"/>
  <c r="B63" i="57"/>
  <c r="R63" i="57"/>
  <c r="AK62" i="57"/>
  <c r="AD62" i="57" s="1"/>
  <c r="U62" i="57"/>
  <c r="P62" i="57" s="1"/>
  <c r="I63" i="57"/>
  <c r="AN63" i="57"/>
  <c r="AP63" i="57" s="1"/>
  <c r="AY32" i="57"/>
  <c r="W31" i="57"/>
  <c r="X31" i="57" s="1"/>
  <c r="AE31" i="57"/>
  <c r="AF31" i="57" s="1"/>
  <c r="AK82" i="57"/>
  <c r="AD82" i="57" s="1"/>
  <c r="AJ82" i="57"/>
  <c r="AC82" i="57" s="1"/>
  <c r="Z82" i="57"/>
  <c r="AA82" i="57" s="1"/>
  <c r="J82" i="57" s="1"/>
  <c r="AY83" i="57"/>
  <c r="D83" i="57"/>
  <c r="V82" i="57"/>
  <c r="Q82" i="57" s="1"/>
  <c r="AG82" i="57"/>
  <c r="AH82" i="57" s="1"/>
  <c r="B83" i="57"/>
  <c r="U82" i="57"/>
  <c r="P82" i="57" s="1"/>
  <c r="R83" i="57"/>
  <c r="AE82" i="57"/>
  <c r="AF82" i="57" s="1"/>
  <c r="AN83" i="57"/>
  <c r="AP83" i="57" s="1"/>
  <c r="W82" i="57"/>
  <c r="X82" i="57" s="1"/>
  <c r="AL83" i="57"/>
  <c r="AM83" i="57" s="1"/>
  <c r="I83" i="57"/>
  <c r="F83" i="57"/>
  <c r="H83" i="57" s="1"/>
  <c r="U73" i="57"/>
  <c r="P73" i="57"/>
  <c r="F74" i="57"/>
  <c r="Z73" i="57"/>
  <c r="AA73" i="57" s="1"/>
  <c r="J73" i="57" s="1"/>
  <c r="L73" i="57" s="1"/>
  <c r="B74" i="57"/>
  <c r="AJ73" i="57"/>
  <c r="AC73" i="57" s="1"/>
  <c r="AG73" i="57"/>
  <c r="AH73" i="57" s="1"/>
  <c r="V73" i="57"/>
  <c r="Q73" i="57" s="1"/>
  <c r="D74" i="57"/>
  <c r="I74" i="57"/>
  <c r="AL74" i="57"/>
  <c r="AM74" i="57"/>
  <c r="AQ74" i="57" s="1"/>
  <c r="AS75" i="57" s="1"/>
  <c r="R74" i="57"/>
  <c r="AY74" i="57"/>
  <c r="AK73" i="57"/>
  <c r="AD73" i="57"/>
  <c r="AN74" i="57"/>
  <c r="AP74" i="57" s="1"/>
  <c r="W73" i="57"/>
  <c r="X73" i="57" s="1"/>
  <c r="AE73" i="57"/>
  <c r="AF73" i="57" s="1"/>
  <c r="AY39" i="57"/>
  <c r="W38" i="57"/>
  <c r="X38" i="57" s="1"/>
  <c r="AE38" i="57"/>
  <c r="AF38" i="57" s="1"/>
  <c r="AE41" i="57"/>
  <c r="AF41" i="57" s="1"/>
  <c r="AY42" i="57"/>
  <c r="W41" i="57"/>
  <c r="X41" i="57" s="1"/>
  <c r="W44" i="57"/>
  <c r="X44" i="57" s="1"/>
  <c r="AE44" i="57"/>
  <c r="AF44" i="57"/>
  <c r="AY45" i="57"/>
  <c r="AN67" i="57"/>
  <c r="AP67" i="57" s="1"/>
  <c r="W66" i="57"/>
  <c r="X66" i="57"/>
  <c r="AY67" i="57"/>
  <c r="AG66" i="57"/>
  <c r="AH66" i="57" s="1"/>
  <c r="B67" i="57"/>
  <c r="AL67" i="57"/>
  <c r="AM67" i="57" s="1"/>
  <c r="AK66" i="57"/>
  <c r="AD66" i="57" s="1"/>
  <c r="V66" i="57"/>
  <c r="Q66" i="57" s="1"/>
  <c r="AJ66" i="57"/>
  <c r="AC66" i="57" s="1"/>
  <c r="D67" i="57"/>
  <c r="AE66" i="57"/>
  <c r="AF66" i="57" s="1"/>
  <c r="R67" i="57"/>
  <c r="Z66" i="57"/>
  <c r="AA66" i="57" s="1"/>
  <c r="J66" i="57"/>
  <c r="F67" i="57"/>
  <c r="U66" i="57"/>
  <c r="P66" i="57" s="1"/>
  <c r="I67" i="57"/>
  <c r="B65" i="57"/>
  <c r="AG64" i="57"/>
  <c r="AH64" i="57" s="1"/>
  <c r="AJ64" i="57"/>
  <c r="AC64" i="57" s="1"/>
  <c r="AK64" i="57"/>
  <c r="AD64" i="57" s="1"/>
  <c r="W64" i="57"/>
  <c r="X64" i="57" s="1"/>
  <c r="V64" i="57"/>
  <c r="Q64" i="57" s="1"/>
  <c r="AL65" i="57"/>
  <c r="AM65" i="57" s="1"/>
  <c r="F65" i="57"/>
  <c r="H65" i="57" s="1"/>
  <c r="AE64" i="57"/>
  <c r="AF64" i="57"/>
  <c r="R65" i="57"/>
  <c r="AN65" i="57"/>
  <c r="AP65" i="57" s="1"/>
  <c r="D65" i="57"/>
  <c r="I65" i="57"/>
  <c r="U64" i="57"/>
  <c r="P64" i="57"/>
  <c r="AY65" i="57"/>
  <c r="Z64" i="57"/>
  <c r="AA64" i="57" s="1"/>
  <c r="J64" i="57" s="1"/>
  <c r="AY40" i="57"/>
  <c r="AE39" i="57"/>
  <c r="AF39" i="57" s="1"/>
  <c r="W39" i="57"/>
  <c r="X39" i="57" s="1"/>
  <c r="Y27" i="3"/>
  <c r="M28" i="3"/>
  <c r="W73" i="41"/>
  <c r="X73" i="41" s="1"/>
  <c r="AE73" i="41"/>
  <c r="AF73" i="41" s="1"/>
  <c r="AY74" i="41"/>
  <c r="W65" i="41"/>
  <c r="X65" i="41" s="1"/>
  <c r="AE65" i="41"/>
  <c r="AF65" i="41" s="1"/>
  <c r="AY66" i="41"/>
  <c r="AE55" i="41"/>
  <c r="AF55" i="41" s="1"/>
  <c r="W55" i="41"/>
  <c r="X55" i="41" s="1"/>
  <c r="AY56" i="41"/>
  <c r="I82" i="57"/>
  <c r="F82" i="57"/>
  <c r="AE81" i="57"/>
  <c r="AF81" i="57" s="1"/>
  <c r="AJ81" i="57"/>
  <c r="AC81" i="57" s="1"/>
  <c r="AN82" i="57"/>
  <c r="AP82" i="57" s="1"/>
  <c r="W81" i="57"/>
  <c r="X81" i="57"/>
  <c r="Z81" i="57"/>
  <c r="AA81" i="57" s="1"/>
  <c r="J81" i="57" s="1"/>
  <c r="B82" i="57"/>
  <c r="V81" i="57"/>
  <c r="Q81" i="57" s="1"/>
  <c r="R82" i="57"/>
  <c r="AB81" i="57" s="1"/>
  <c r="AG81" i="57"/>
  <c r="AH81" i="57"/>
  <c r="AL82" i="57"/>
  <c r="AM82" i="57" s="1"/>
  <c r="AK81" i="57"/>
  <c r="AD81" i="57" s="1"/>
  <c r="D82" i="57"/>
  <c r="AY82" i="57"/>
  <c r="U81" i="57"/>
  <c r="P81" i="57" s="1"/>
  <c r="F81" i="57"/>
  <c r="Z80" i="57"/>
  <c r="AA80" i="57"/>
  <c r="J80" i="57" s="1"/>
  <c r="L80" i="57" s="1"/>
  <c r="B81" i="57"/>
  <c r="AN81" i="57"/>
  <c r="AP81" i="57" s="1"/>
  <c r="D81" i="57"/>
  <c r="R81" i="57"/>
  <c r="AY81" i="57"/>
  <c r="AE80" i="57"/>
  <c r="AF80" i="57" s="1"/>
  <c r="AK80" i="57"/>
  <c r="AD80" i="57" s="1"/>
  <c r="AL81" i="57"/>
  <c r="AM81" i="57"/>
  <c r="I81" i="57"/>
  <c r="L81" i="57" s="1"/>
  <c r="U80" i="57"/>
  <c r="P80" i="57" s="1"/>
  <c r="AG80" i="57"/>
  <c r="AH80" i="57" s="1"/>
  <c r="V80" i="57"/>
  <c r="Q80" i="57"/>
  <c r="AJ80" i="57"/>
  <c r="AC80" i="57" s="1"/>
  <c r="W80" i="57"/>
  <c r="X80" i="57" s="1"/>
  <c r="Z26" i="57"/>
  <c r="AA26" i="57" s="1"/>
  <c r="J26" i="57" s="1"/>
  <c r="AY27" i="57"/>
  <c r="AG26" i="57"/>
  <c r="AH26" i="57" s="1"/>
  <c r="AE26" i="57"/>
  <c r="I27" i="57"/>
  <c r="L27" i="57" s="1"/>
  <c r="W26" i="57"/>
  <c r="V53" i="57"/>
  <c r="Q53" i="57" s="1"/>
  <c r="AN54" i="57"/>
  <c r="AP54" i="57" s="1"/>
  <c r="F54" i="57"/>
  <c r="R54" i="57"/>
  <c r="AY54" i="57"/>
  <c r="U53" i="57"/>
  <c r="P53" i="57" s="1"/>
  <c r="AK53" i="57"/>
  <c r="AD53" i="57" s="1"/>
  <c r="Z53" i="57"/>
  <c r="AA53" i="57"/>
  <c r="J53" i="57" s="1"/>
  <c r="L53" i="57" s="1"/>
  <c r="I54" i="57"/>
  <c r="AG53" i="57"/>
  <c r="AH53" i="57"/>
  <c r="B54" i="57"/>
  <c r="AJ53" i="57"/>
  <c r="AC53" i="57" s="1"/>
  <c r="W53" i="57"/>
  <c r="X53" i="57" s="1"/>
  <c r="D54" i="57"/>
  <c r="AL54" i="57"/>
  <c r="AM54" i="57"/>
  <c r="AO54" i="57" s="1"/>
  <c r="AE53" i="57"/>
  <c r="AF53" i="57" s="1"/>
  <c r="F58" i="57"/>
  <c r="D58" i="57"/>
  <c r="AG57" i="57"/>
  <c r="AH57" i="57" s="1"/>
  <c r="AN58" i="57"/>
  <c r="AP58" i="57"/>
  <c r="R58" i="57"/>
  <c r="AY58" i="57"/>
  <c r="I58" i="57"/>
  <c r="V57" i="57"/>
  <c r="Q57" i="57" s="1"/>
  <c r="AL58" i="57"/>
  <c r="AM58" i="57"/>
  <c r="AQ58" i="57" s="1"/>
  <c r="AS59" i="57" s="1"/>
  <c r="U57" i="57"/>
  <c r="P57" i="57" s="1"/>
  <c r="Z57" i="57"/>
  <c r="AA57" i="57" s="1"/>
  <c r="J57" i="57" s="1"/>
  <c r="W57" i="57"/>
  <c r="X57" i="57" s="1"/>
  <c r="AK57" i="57"/>
  <c r="AD57" i="57" s="1"/>
  <c r="B58" i="57"/>
  <c r="AJ57" i="57"/>
  <c r="AC57" i="57"/>
  <c r="AE57" i="57"/>
  <c r="AF57" i="57" s="1"/>
  <c r="I56" i="57"/>
  <c r="R56" i="57"/>
  <c r="AK55" i="57"/>
  <c r="AD55" i="57" s="1"/>
  <c r="AN56" i="57"/>
  <c r="AP56" i="57"/>
  <c r="AG55" i="57"/>
  <c r="AH55" i="57" s="1"/>
  <c r="AE55" i="57"/>
  <c r="AF55" i="57" s="1"/>
  <c r="U55" i="57"/>
  <c r="P55" i="57" s="1"/>
  <c r="Z55" i="57"/>
  <c r="AA55" i="57" s="1"/>
  <c r="J55" i="57" s="1"/>
  <c r="B56" i="57"/>
  <c r="V55" i="57"/>
  <c r="Q55" i="57"/>
  <c r="AY56" i="57"/>
  <c r="AJ55" i="57"/>
  <c r="AC55" i="57" s="1"/>
  <c r="D56" i="57"/>
  <c r="F56" i="57"/>
  <c r="W55" i="57"/>
  <c r="X55" i="57" s="1"/>
  <c r="AL56" i="57"/>
  <c r="AM56" i="57" s="1"/>
  <c r="W32" i="57"/>
  <c r="X32" i="57" s="1"/>
  <c r="AY33" i="57"/>
  <c r="AE32" i="57"/>
  <c r="AF32" i="57" s="1"/>
  <c r="AG50" i="57"/>
  <c r="AH50" i="57"/>
  <c r="B51" i="57"/>
  <c r="AL51" i="57"/>
  <c r="AM51" i="57" s="1"/>
  <c r="AQ51" i="57" s="1"/>
  <c r="AS52" i="57" s="1"/>
  <c r="AE50" i="57"/>
  <c r="AF50" i="57"/>
  <c r="AY51" i="57"/>
  <c r="I51" i="57"/>
  <c r="U50" i="57"/>
  <c r="P50" i="57" s="1"/>
  <c r="AK50" i="57"/>
  <c r="AD50" i="57" s="1"/>
  <c r="AJ50" i="57"/>
  <c r="AC50" i="57" s="1"/>
  <c r="F51" i="57"/>
  <c r="D51" i="57"/>
  <c r="S51" i="57" s="1"/>
  <c r="T51" i="57" s="1"/>
  <c r="AN51" i="57"/>
  <c r="AP51" i="57" s="1"/>
  <c r="V50" i="57"/>
  <c r="Q50" i="57" s="1"/>
  <c r="R51" i="57"/>
  <c r="W50" i="57"/>
  <c r="X50" i="57" s="1"/>
  <c r="Z50" i="57"/>
  <c r="AA50" i="57" s="1"/>
  <c r="J50" i="57" s="1"/>
  <c r="U77" i="57"/>
  <c r="P77" i="57" s="1"/>
  <c r="AJ77" i="57"/>
  <c r="AC77" i="57" s="1"/>
  <c r="AL78" i="57"/>
  <c r="AM78" i="57"/>
  <c r="V77" i="57"/>
  <c r="Q77" i="57" s="1"/>
  <c r="AN78" i="57"/>
  <c r="AP78" i="57" s="1"/>
  <c r="F78" i="57"/>
  <c r="AG77" i="57"/>
  <c r="AH77" i="57" s="1"/>
  <c r="Z77" i="57"/>
  <c r="AA77" i="57" s="1"/>
  <c r="J77" i="57" s="1"/>
  <c r="AE77" i="57"/>
  <c r="AF77" i="57" s="1"/>
  <c r="W77" i="57"/>
  <c r="X77" i="57" s="1"/>
  <c r="B78" i="57"/>
  <c r="I78" i="57"/>
  <c r="AY78" i="57"/>
  <c r="AK77" i="57"/>
  <c r="AD77" i="57" s="1"/>
  <c r="D78" i="57"/>
  <c r="H78" i="57" s="1"/>
  <c r="R78" i="57"/>
  <c r="AI78" i="57" s="1"/>
  <c r="AN50" i="57"/>
  <c r="AP50" i="57" s="1"/>
  <c r="R50" i="57"/>
  <c r="AI50" i="57" s="1"/>
  <c r="AY50" i="57"/>
  <c r="I50" i="57"/>
  <c r="AL50" i="57"/>
  <c r="AM50" i="57" s="1"/>
  <c r="U65" i="57"/>
  <c r="P65" i="57" s="1"/>
  <c r="AL66" i="57"/>
  <c r="AM66" i="57" s="1"/>
  <c r="AQ66" i="57" s="1"/>
  <c r="AS67" i="57" s="1"/>
  <c r="R66" i="57"/>
  <c r="AE65" i="57"/>
  <c r="AF65" i="57" s="1"/>
  <c r="I66" i="57"/>
  <c r="AK65" i="57"/>
  <c r="AD65" i="57" s="1"/>
  <c r="Z65" i="57"/>
  <c r="AA65" i="57" s="1"/>
  <c r="J65" i="57" s="1"/>
  <c r="B66" i="57"/>
  <c r="W65" i="57"/>
  <c r="X65" i="57" s="1"/>
  <c r="F66" i="57"/>
  <c r="AN66" i="57"/>
  <c r="AP66" i="57" s="1"/>
  <c r="AY66" i="57"/>
  <c r="D66" i="57"/>
  <c r="H66" i="57" s="1"/>
  <c r="AG65" i="57"/>
  <c r="AH65" i="57" s="1"/>
  <c r="AJ65" i="57"/>
  <c r="AC65" i="57" s="1"/>
  <c r="V65" i="57"/>
  <c r="Q65" i="57" s="1"/>
  <c r="AK67" i="57"/>
  <c r="AD67" i="57" s="1"/>
  <c r="AN68" i="57"/>
  <c r="AP68" i="57"/>
  <c r="AG67" i="57"/>
  <c r="AH67" i="57" s="1"/>
  <c r="AL68" i="57"/>
  <c r="AM68" i="57" s="1"/>
  <c r="I68" i="57"/>
  <c r="AE67" i="57"/>
  <c r="AF67" i="57" s="1"/>
  <c r="R68" i="57"/>
  <c r="F68" i="57"/>
  <c r="H68" i="57" s="1"/>
  <c r="AJ67" i="57"/>
  <c r="AC67" i="57" s="1"/>
  <c r="V67" i="57"/>
  <c r="Q67" i="57" s="1"/>
  <c r="Z67" i="57"/>
  <c r="AA67" i="57"/>
  <c r="J67" i="57" s="1"/>
  <c r="L67" i="57" s="1"/>
  <c r="D68" i="57"/>
  <c r="AY68" i="57"/>
  <c r="W67" i="57"/>
  <c r="X67" i="57" s="1"/>
  <c r="B68" i="57"/>
  <c r="U67" i="57"/>
  <c r="P67" i="57"/>
  <c r="AY52" i="57"/>
  <c r="AJ51" i="57"/>
  <c r="AC51" i="57" s="1"/>
  <c r="F52" i="57"/>
  <c r="AL52" i="57"/>
  <c r="AM52" i="57" s="1"/>
  <c r="Z51" i="57"/>
  <c r="AA51" i="57"/>
  <c r="J51" i="57" s="1"/>
  <c r="L51" i="57" s="1"/>
  <c r="AG51" i="57"/>
  <c r="AH51" i="57" s="1"/>
  <c r="R52" i="57"/>
  <c r="AE51" i="57"/>
  <c r="AF51" i="57" s="1"/>
  <c r="D52" i="57"/>
  <c r="AN52" i="57"/>
  <c r="AP52" i="57" s="1"/>
  <c r="B52" i="57"/>
  <c r="I52" i="57"/>
  <c r="U51" i="57"/>
  <c r="P51" i="57" s="1"/>
  <c r="V51" i="57"/>
  <c r="Q51" i="57"/>
  <c r="W51" i="57"/>
  <c r="X51" i="57" s="1"/>
  <c r="AK51" i="57"/>
  <c r="AD51" i="57" s="1"/>
  <c r="AG72" i="57"/>
  <c r="AH72" i="57" s="1"/>
  <c r="B73" i="57"/>
  <c r="AK72" i="57"/>
  <c r="AD72" i="57" s="1"/>
  <c r="Z72" i="57"/>
  <c r="AA72" i="57" s="1"/>
  <c r="J72" i="57" s="1"/>
  <c r="D73" i="57"/>
  <c r="W72" i="57"/>
  <c r="X72" i="57" s="1"/>
  <c r="R73" i="57"/>
  <c r="AI73" i="57" s="1"/>
  <c r="AY73" i="57"/>
  <c r="AL73" i="57"/>
  <c r="AM73" i="57" s="1"/>
  <c r="AQ73" i="57" s="1"/>
  <c r="AS74" i="57" s="1"/>
  <c r="AE72" i="57"/>
  <c r="AF72" i="57" s="1"/>
  <c r="AN73" i="57"/>
  <c r="AP73" i="57" s="1"/>
  <c r="V72" i="57"/>
  <c r="Q72" i="57" s="1"/>
  <c r="F73" i="57"/>
  <c r="I73" i="57"/>
  <c r="U72" i="57"/>
  <c r="P72" i="57" s="1"/>
  <c r="AJ72" i="57"/>
  <c r="AC72" i="57"/>
  <c r="AY43" i="57"/>
  <c r="W42" i="57"/>
  <c r="X42" i="57" s="1"/>
  <c r="AE42" i="57"/>
  <c r="AF42" i="57" s="1"/>
  <c r="Y28" i="1"/>
  <c r="M29" i="1"/>
  <c r="S28" i="1"/>
  <c r="T28" i="1" s="1"/>
  <c r="AY42" i="41"/>
  <c r="AE41" i="41"/>
  <c r="AF41" i="41" s="1"/>
  <c r="AE83" i="41"/>
  <c r="AF83" i="41" s="1"/>
  <c r="AY84" i="41"/>
  <c r="W35" i="41"/>
  <c r="X35" i="41" s="1"/>
  <c r="AY75" i="41"/>
  <c r="W46" i="41"/>
  <c r="X46" i="41" s="1"/>
  <c r="AE46" i="41"/>
  <c r="AF46" i="41" s="1"/>
  <c r="X77" i="41"/>
  <c r="AE77" i="41"/>
  <c r="AF77" i="41" s="1"/>
  <c r="AY38" i="41"/>
  <c r="W37" i="41"/>
  <c r="X37" i="41" s="1"/>
  <c r="AE62" i="41"/>
  <c r="AF62" i="41" s="1"/>
  <c r="S30" i="48"/>
  <c r="T30" i="48" s="1"/>
  <c r="AD74" i="68"/>
  <c r="E62" i="61"/>
  <c r="D62" i="61"/>
  <c r="C62" i="61"/>
  <c r="AE38" i="41"/>
  <c r="AF38" i="41" s="1"/>
  <c r="AY39" i="41"/>
  <c r="W38" i="41"/>
  <c r="X38" i="41" s="1"/>
  <c r="AY35" i="41"/>
  <c r="AE34" i="41"/>
  <c r="AF34" i="41"/>
  <c r="W34" i="41"/>
  <c r="X34" i="41" s="1"/>
  <c r="AY79" i="41"/>
  <c r="W78" i="41"/>
  <c r="X78" i="41" s="1"/>
  <c r="AE78" i="41"/>
  <c r="AF78" i="41" s="1"/>
  <c r="AE29" i="41"/>
  <c r="AF29" i="41" s="1"/>
  <c r="AY30" i="41"/>
  <c r="W29" i="41"/>
  <c r="X29" i="41" s="1"/>
  <c r="W66" i="41"/>
  <c r="X66" i="41" s="1"/>
  <c r="AY67" i="41"/>
  <c r="AE66" i="41"/>
  <c r="AF66" i="41" s="1"/>
  <c r="W69" i="41"/>
  <c r="X69" i="41" s="1"/>
  <c r="AY70" i="41"/>
  <c r="AE69" i="41"/>
  <c r="AF69" i="41" s="1"/>
  <c r="R26" i="41"/>
  <c r="U26" i="41" s="1"/>
  <c r="P26" i="41" s="1"/>
  <c r="AY26" i="41"/>
  <c r="AY33" i="41"/>
  <c r="AE32" i="41"/>
  <c r="AF32" i="41" s="1"/>
  <c r="W32" i="41"/>
  <c r="X32" i="41" s="1"/>
  <c r="W56" i="41"/>
  <c r="X56" i="41" s="1"/>
  <c r="AY57" i="41"/>
  <c r="AE56" i="41"/>
  <c r="AF56" i="41" s="1"/>
  <c r="N77" i="68"/>
  <c r="P76" i="68"/>
  <c r="B63" i="61"/>
  <c r="A64" i="61"/>
  <c r="A65" i="61" s="1"/>
  <c r="V76" i="57"/>
  <c r="Q76" i="57" s="1"/>
  <c r="B77" i="57"/>
  <c r="AL77" i="57"/>
  <c r="AM77" i="57" s="1"/>
  <c r="AJ76" i="57"/>
  <c r="AC76" i="57" s="1"/>
  <c r="AE76" i="57"/>
  <c r="AF76" i="57" s="1"/>
  <c r="AG76" i="57"/>
  <c r="AH76" i="57" s="1"/>
  <c r="Z76" i="57"/>
  <c r="AA76" i="57"/>
  <c r="J76" i="57" s="1"/>
  <c r="L76" i="57" s="1"/>
  <c r="D77" i="57"/>
  <c r="F77" i="57"/>
  <c r="I77" i="57"/>
  <c r="R77" i="57"/>
  <c r="AI77" i="57" s="1"/>
  <c r="AK76" i="57"/>
  <c r="AD76" i="57" s="1"/>
  <c r="AY77" i="57"/>
  <c r="W76" i="57"/>
  <c r="X76" i="57" s="1"/>
  <c r="U76" i="57"/>
  <c r="P76" i="57" s="1"/>
  <c r="AN77" i="57"/>
  <c r="AP77" i="57" s="1"/>
  <c r="AN57" i="57"/>
  <c r="AP57" i="57" s="1"/>
  <c r="W56" i="57"/>
  <c r="X56" i="57" s="1"/>
  <c r="AY57" i="57"/>
  <c r="V56" i="57"/>
  <c r="Q56" i="57" s="1"/>
  <c r="AE56" i="57"/>
  <c r="AF56" i="57" s="1"/>
  <c r="AG56" i="57"/>
  <c r="AH56" i="57" s="1"/>
  <c r="AJ56" i="57"/>
  <c r="AC56" i="57"/>
  <c r="AL57" i="57"/>
  <c r="AM57" i="57" s="1"/>
  <c r="Z56" i="57"/>
  <c r="AA56" i="57" s="1"/>
  <c r="J56" i="57" s="1"/>
  <c r="L56" i="57" s="1"/>
  <c r="I57" i="57"/>
  <c r="D57" i="57"/>
  <c r="B57" i="57"/>
  <c r="U56" i="57"/>
  <c r="P56" i="57" s="1"/>
  <c r="AK56" i="57"/>
  <c r="AD56" i="57" s="1"/>
  <c r="F57" i="57"/>
  <c r="R57" i="57"/>
  <c r="AL25" i="57"/>
  <c r="AM25" i="57" s="1"/>
  <c r="AN25" i="57"/>
  <c r="AP25" i="57" s="1"/>
  <c r="AY25" i="57"/>
  <c r="AU25" i="57"/>
  <c r="B25" i="57"/>
  <c r="AL26" i="57" s="1"/>
  <c r="AM26" i="57" s="1"/>
  <c r="AQ26" i="57" s="1"/>
  <c r="AS27" i="57" s="1"/>
  <c r="AY41" i="57"/>
  <c r="AE40" i="57"/>
  <c r="W40" i="57"/>
  <c r="X40" i="57" s="1"/>
  <c r="AG54" i="57"/>
  <c r="AH54" i="57" s="1"/>
  <c r="AY55" i="57"/>
  <c r="D55" i="57"/>
  <c r="S55" i="57" s="1"/>
  <c r="T55" i="57" s="1"/>
  <c r="AJ54" i="57"/>
  <c r="AC54" i="57" s="1"/>
  <c r="AK54" i="57"/>
  <c r="AD54" i="57" s="1"/>
  <c r="R55" i="57"/>
  <c r="AN55" i="57"/>
  <c r="AP55" i="57" s="1"/>
  <c r="U54" i="57"/>
  <c r="P54" i="57" s="1"/>
  <c r="AL55" i="57"/>
  <c r="AM55" i="57" s="1"/>
  <c r="AQ55" i="57" s="1"/>
  <c r="I55" i="57"/>
  <c r="F55" i="57"/>
  <c r="W54" i="57"/>
  <c r="X54" i="57" s="1"/>
  <c r="Z54" i="57"/>
  <c r="AA54" i="57" s="1"/>
  <c r="J54" i="57" s="1"/>
  <c r="AE54" i="57"/>
  <c r="AF54" i="57" s="1"/>
  <c r="V54" i="57"/>
  <c r="Q54" i="57" s="1"/>
  <c r="B55" i="57"/>
  <c r="I26" i="57"/>
  <c r="L26" i="57" s="1"/>
  <c r="AN26" i="57"/>
  <c r="AP26" i="57" s="1"/>
  <c r="AY26" i="57"/>
  <c r="AE45" i="57"/>
  <c r="AF45" i="57" s="1"/>
  <c r="AY46" i="57"/>
  <c r="W45" i="57"/>
  <c r="X45" i="57" s="1"/>
  <c r="AE43" i="57"/>
  <c r="AF43" i="57" s="1"/>
  <c r="AY44" i="57"/>
  <c r="W43" i="57"/>
  <c r="X43" i="57" s="1"/>
  <c r="U61" i="57"/>
  <c r="P61" i="57" s="1"/>
  <c r="Z61" i="57"/>
  <c r="AA61" i="57" s="1"/>
  <c r="J61" i="57" s="1"/>
  <c r="R62" i="57"/>
  <c r="B62" i="57"/>
  <c r="I62" i="57"/>
  <c r="F62" i="57"/>
  <c r="V61" i="57"/>
  <c r="Q61" i="57" s="1"/>
  <c r="D62" i="57"/>
  <c r="S62" i="57" s="1"/>
  <c r="T62" i="57" s="1"/>
  <c r="AY62" i="57"/>
  <c r="W61" i="57"/>
  <c r="X61" i="57" s="1"/>
  <c r="AE61" i="57"/>
  <c r="AF61" i="57"/>
  <c r="AG61" i="57"/>
  <c r="AH61" i="57" s="1"/>
  <c r="AL62" i="57"/>
  <c r="AM62" i="57" s="1"/>
  <c r="AQ62" i="57" s="1"/>
  <c r="AS63" i="57" s="1"/>
  <c r="AN62" i="57"/>
  <c r="AK61" i="57"/>
  <c r="AD61" i="57" s="1"/>
  <c r="AJ61" i="57"/>
  <c r="AC61" i="57" s="1"/>
  <c r="W68" i="57"/>
  <c r="X68" i="57" s="1"/>
  <c r="AY69" i="57"/>
  <c r="V68" i="57"/>
  <c r="Q68" i="57" s="1"/>
  <c r="AL69" i="57"/>
  <c r="AM69" i="57" s="1"/>
  <c r="I69" i="57"/>
  <c r="AK68" i="57"/>
  <c r="AD68" i="57" s="1"/>
  <c r="AE68" i="57"/>
  <c r="AF68" i="57" s="1"/>
  <c r="B69" i="57"/>
  <c r="R69" i="57"/>
  <c r="AB68" i="57" s="1"/>
  <c r="Z68" i="57"/>
  <c r="AA68" i="57" s="1"/>
  <c r="J68" i="57" s="1"/>
  <c r="L68" i="57" s="1"/>
  <c r="AG68" i="57"/>
  <c r="AH68" i="57" s="1"/>
  <c r="AJ68" i="57"/>
  <c r="AC68" i="57" s="1"/>
  <c r="U68" i="57"/>
  <c r="P68" i="57" s="1"/>
  <c r="D69" i="57"/>
  <c r="H69" i="57" s="1"/>
  <c r="F69" i="57"/>
  <c r="AN69" i="57"/>
  <c r="AP69" i="57" s="1"/>
  <c r="I70" i="57"/>
  <c r="L70" i="57" s="1"/>
  <c r="AK69" i="57"/>
  <c r="AD69" i="57" s="1"/>
  <c r="W69" i="57"/>
  <c r="X69" i="57" s="1"/>
  <c r="V69" i="57"/>
  <c r="Q69" i="57" s="1"/>
  <c r="R70" i="57"/>
  <c r="AI70" i="57" s="1"/>
  <c r="AJ69" i="57"/>
  <c r="AC69" i="57"/>
  <c r="AY70" i="57"/>
  <c r="U69" i="57"/>
  <c r="P69" i="57" s="1"/>
  <c r="AG69" i="57"/>
  <c r="AH69" i="57" s="1"/>
  <c r="Z69" i="57"/>
  <c r="AA69" i="57" s="1"/>
  <c r="J69" i="57" s="1"/>
  <c r="AL70" i="57"/>
  <c r="AM70" i="57" s="1"/>
  <c r="AN70" i="57"/>
  <c r="AP70" i="57"/>
  <c r="B70" i="57"/>
  <c r="AE69" i="57"/>
  <c r="AF69" i="57" s="1"/>
  <c r="D70" i="57"/>
  <c r="S70" i="57" s="1"/>
  <c r="F70" i="57"/>
  <c r="F64" i="57"/>
  <c r="R64" i="57"/>
  <c r="AI64" i="57" s="1"/>
  <c r="AJ63" i="57"/>
  <c r="AC63" i="57" s="1"/>
  <c r="AE63" i="57"/>
  <c r="AF63" i="57" s="1"/>
  <c r="AN64" i="57"/>
  <c r="AP64" i="57" s="1"/>
  <c r="B64" i="57"/>
  <c r="I64" i="57"/>
  <c r="V63" i="57"/>
  <c r="Q63" i="57" s="1"/>
  <c r="AK63" i="57"/>
  <c r="AD63" i="57" s="1"/>
  <c r="AL64" i="57"/>
  <c r="AM64" i="57" s="1"/>
  <c r="AY64" i="57"/>
  <c r="W63" i="57"/>
  <c r="X63" i="57" s="1"/>
  <c r="Z63" i="57"/>
  <c r="AA63" i="57" s="1"/>
  <c r="J63" i="57" s="1"/>
  <c r="L63" i="57" s="1"/>
  <c r="AG63" i="57"/>
  <c r="AH63" i="57" s="1"/>
  <c r="D64" i="57"/>
  <c r="S64" i="57" s="1"/>
  <c r="T64" i="57" s="1"/>
  <c r="U63" i="57"/>
  <c r="P63" i="57" s="1"/>
  <c r="AE37" i="57"/>
  <c r="AF37" i="57" s="1"/>
  <c r="AY38" i="57"/>
  <c r="W37" i="57"/>
  <c r="X37" i="57" s="1"/>
  <c r="Z28" i="57"/>
  <c r="AA28" i="57" s="1"/>
  <c r="J28" i="57" s="1"/>
  <c r="AE28" i="57"/>
  <c r="AF28" i="57" s="1"/>
  <c r="I29" i="57"/>
  <c r="W28" i="57"/>
  <c r="X28" i="57" s="1"/>
  <c r="AG28" i="57"/>
  <c r="AH28" i="57" s="1"/>
  <c r="AY29" i="57"/>
  <c r="I85" i="57"/>
  <c r="AE85" i="57"/>
  <c r="AF85" i="57" s="1"/>
  <c r="AY85" i="57"/>
  <c r="W84" i="57"/>
  <c r="X84" i="57" s="1"/>
  <c r="B85" i="57"/>
  <c r="V85" i="57"/>
  <c r="Q85" i="57" s="1"/>
  <c r="F86" i="57"/>
  <c r="AG85" i="57"/>
  <c r="AH85" i="57"/>
  <c r="AN85" i="57"/>
  <c r="AP85" i="57" s="1"/>
  <c r="Z84" i="57"/>
  <c r="AA84" i="57" s="1"/>
  <c r="J84" i="57" s="1"/>
  <c r="L84" i="57" s="1"/>
  <c r="AL85" i="57"/>
  <c r="AM85" i="57"/>
  <c r="Z85" i="57"/>
  <c r="AA85" i="57" s="1"/>
  <c r="J85" i="57" s="1"/>
  <c r="L85" i="57" s="1"/>
  <c r="B86" i="57"/>
  <c r="W85" i="57"/>
  <c r="X85" i="57" s="1"/>
  <c r="F85" i="57"/>
  <c r="U84" i="57"/>
  <c r="P84" i="57" s="1"/>
  <c r="AG84" i="57"/>
  <c r="AH84" i="57" s="1"/>
  <c r="AK85" i="57"/>
  <c r="AD85" i="57" s="1"/>
  <c r="D86" i="57"/>
  <c r="H86" i="57" s="1"/>
  <c r="D85" i="57"/>
  <c r="U85" i="57"/>
  <c r="P85" i="57" s="1"/>
  <c r="AJ84" i="57"/>
  <c r="AC84" i="57"/>
  <c r="V84" i="57"/>
  <c r="Q84" i="57" s="1"/>
  <c r="AE84" i="57"/>
  <c r="AF84" i="57" s="1"/>
  <c r="AK84" i="57"/>
  <c r="AD84" i="57" s="1"/>
  <c r="AJ85" i="57"/>
  <c r="AC85" i="57" s="1"/>
  <c r="R85" i="57"/>
  <c r="T25" i="57"/>
  <c r="I25" i="57" s="1"/>
  <c r="L25" i="57" s="1"/>
  <c r="AI57" i="57"/>
  <c r="H77" i="57"/>
  <c r="S77" i="57"/>
  <c r="T77" i="57" s="1"/>
  <c r="M30" i="1"/>
  <c r="S30" i="1" s="1"/>
  <c r="T30" i="1" s="1"/>
  <c r="S29" i="1"/>
  <c r="T29" i="1" s="1"/>
  <c r="Y29" i="1"/>
  <c r="AB60" i="57"/>
  <c r="AI61" i="57"/>
  <c r="AQ71" i="57"/>
  <c r="AS72" i="57" s="1"/>
  <c r="AO71" i="57"/>
  <c r="S60" i="57"/>
  <c r="T60" i="57" s="1"/>
  <c r="H60" i="57"/>
  <c r="AB69" i="57"/>
  <c r="AS56" i="57"/>
  <c r="N78" i="68"/>
  <c r="P78" i="68" s="1"/>
  <c r="AI26" i="41"/>
  <c r="AO73" i="57"/>
  <c r="S73" i="57"/>
  <c r="T73" i="57" s="1"/>
  <c r="S52" i="57"/>
  <c r="T52" i="57" s="1"/>
  <c r="S66" i="57"/>
  <c r="T66" i="57" s="1"/>
  <c r="S56" i="57"/>
  <c r="T56" i="57" s="1"/>
  <c r="AI58" i="57"/>
  <c r="AB57" i="57"/>
  <c r="S81" i="57"/>
  <c r="T81" i="57" s="1"/>
  <c r="S65" i="57"/>
  <c r="T65" i="57" s="1"/>
  <c r="AB66" i="57"/>
  <c r="AI67" i="57"/>
  <c r="S74" i="57"/>
  <c r="T74" i="57" s="1"/>
  <c r="AI63" i="57"/>
  <c r="S59" i="57"/>
  <c r="T59" i="57" s="1"/>
  <c r="AG29" i="57"/>
  <c r="AH29" i="57" s="1"/>
  <c r="AI71" i="57"/>
  <c r="H53" i="57"/>
  <c r="S53" i="57"/>
  <c r="T53" i="57" s="1"/>
  <c r="AO53" i="57"/>
  <c r="AQ53" i="57"/>
  <c r="AS54" i="57" s="1"/>
  <c r="AI72" i="57"/>
  <c r="AQ60" i="57"/>
  <c r="AS61" i="57" s="1"/>
  <c r="AI60" i="57"/>
  <c r="AO75" i="57"/>
  <c r="AQ75" i="57"/>
  <c r="AS76" i="57" s="1"/>
  <c r="Y30" i="57"/>
  <c r="S30" i="57"/>
  <c r="T30" i="57" s="1"/>
  <c r="AB63" i="57"/>
  <c r="AI55" i="57"/>
  <c r="B64" i="61"/>
  <c r="D64" i="61" s="1"/>
  <c r="H54" i="57"/>
  <c r="S54" i="57"/>
  <c r="T54" i="57" s="1"/>
  <c r="AB80" i="57"/>
  <c r="AI81" i="57"/>
  <c r="S61" i="57"/>
  <c r="T61" i="57"/>
  <c r="AI76" i="57"/>
  <c r="AB75" i="57"/>
  <c r="H84" i="57"/>
  <c r="S84" i="57"/>
  <c r="T84" i="57" s="1"/>
  <c r="AQ72" i="57"/>
  <c r="AS73" i="57" s="1"/>
  <c r="H62" i="57"/>
  <c r="M32" i="48"/>
  <c r="Y31" i="48"/>
  <c r="S68" i="57"/>
  <c r="T68" i="57"/>
  <c r="AB53" i="57"/>
  <c r="X26" i="57"/>
  <c r="AF26" i="57"/>
  <c r="AQ82" i="57"/>
  <c r="AS83" i="57" s="1"/>
  <c r="M29" i="3"/>
  <c r="Y29" i="3" s="1"/>
  <c r="Y28" i="3"/>
  <c r="S28" i="3"/>
  <c r="T28" i="3" s="1"/>
  <c r="AI74" i="57"/>
  <c r="S76" i="57"/>
  <c r="T76" i="57" s="1"/>
  <c r="AB83" i="57"/>
  <c r="AI84" i="57"/>
  <c r="AQ80" i="57"/>
  <c r="AS81" i="57" s="1"/>
  <c r="S80" i="57"/>
  <c r="T80" i="57" s="1"/>
  <c r="H80" i="57"/>
  <c r="AB52" i="57"/>
  <c r="AI53" i="57"/>
  <c r="AQ57" i="57"/>
  <c r="AS58" i="57" s="1"/>
  <c r="S82" i="57"/>
  <c r="T82" i="57" s="1"/>
  <c r="AI82" i="57"/>
  <c r="S83" i="57"/>
  <c r="T83" i="57" s="1"/>
  <c r="AI59" i="57"/>
  <c r="H79" i="57"/>
  <c r="S79" i="57"/>
  <c r="T79" i="57" s="1"/>
  <c r="AB85" i="57"/>
  <c r="T70" i="57"/>
  <c r="H70" i="57"/>
  <c r="AI62" i="57"/>
  <c r="AQ25" i="57"/>
  <c r="AS26" i="57" s="1"/>
  <c r="AI68" i="57"/>
  <c r="AB67" i="57"/>
  <c r="AI66" i="57"/>
  <c r="S78" i="57"/>
  <c r="T78" i="57" s="1"/>
  <c r="AQ78" i="57"/>
  <c r="AS79" i="57" s="1"/>
  <c r="H51" i="57"/>
  <c r="AQ54" i="57"/>
  <c r="AS55" i="57" s="1"/>
  <c r="S67" i="57"/>
  <c r="T67" i="57" s="1"/>
  <c r="H67" i="57"/>
  <c r="AO74" i="57"/>
  <c r="AQ83" i="57"/>
  <c r="AS84" i="57" s="1"/>
  <c r="AO83" i="57"/>
  <c r="AI83" i="57"/>
  <c r="AO63" i="57"/>
  <c r="L61" i="57"/>
  <c r="AQ76" i="57"/>
  <c r="AS77" i="57" s="1"/>
  <c r="S71" i="57"/>
  <c r="T71" i="57" s="1"/>
  <c r="H71" i="57"/>
  <c r="AI75" i="57"/>
  <c r="AB74" i="57"/>
  <c r="C64" i="61"/>
  <c r="Z30" i="57"/>
  <c r="AA30" i="57" s="1"/>
  <c r="J30" i="57" s="1"/>
  <c r="N79" i="68"/>
  <c r="P79" i="68" s="1"/>
  <c r="M30" i="3"/>
  <c r="S30" i="3" s="1"/>
  <c r="T30" i="3" s="1"/>
  <c r="P127" i="67"/>
  <c r="A69" i="67"/>
  <c r="AW71" i="67"/>
  <c r="AX71" i="67" s="1"/>
  <c r="A62" i="67"/>
  <c r="P71" i="67"/>
  <c r="N61" i="67"/>
  <c r="A66" i="61" l="1"/>
  <c r="B65" i="61"/>
  <c r="L78" i="57"/>
  <c r="S29" i="3"/>
  <c r="T29" i="3" s="1"/>
  <c r="E64" i="61"/>
  <c r="AB72" i="57"/>
  <c r="H55" i="57"/>
  <c r="AO55" i="57"/>
  <c r="AI69" i="57"/>
  <c r="S69" i="57"/>
  <c r="T69" i="57" s="1"/>
  <c r="H85" i="57"/>
  <c r="L66" i="57"/>
  <c r="AO82" i="57"/>
  <c r="H59" i="57"/>
  <c r="L52" i="57"/>
  <c r="AO72" i="57"/>
  <c r="BA98" i="68"/>
  <c r="X97" i="68"/>
  <c r="Y97" i="68" s="1"/>
  <c r="AO78" i="57"/>
  <c r="H61" i="57"/>
  <c r="L79" i="57"/>
  <c r="AE80" i="41"/>
  <c r="AF80" i="41" s="1"/>
  <c r="AY25" i="41"/>
  <c r="AL116" i="68"/>
  <c r="AE116" i="68" s="1"/>
  <c r="J117" i="68"/>
  <c r="S109" i="68"/>
  <c r="AK109" i="68" s="1"/>
  <c r="BA109" i="68"/>
  <c r="B10" i="39"/>
  <c r="M5" i="39"/>
  <c r="B92" i="39"/>
  <c r="O77" i="68"/>
  <c r="O84" i="68"/>
  <c r="O91" i="68"/>
  <c r="AG90" i="68" s="1"/>
  <c r="AH90" i="68" s="1"/>
  <c r="O121" i="68"/>
  <c r="O105" i="68"/>
  <c r="O76" i="68"/>
  <c r="O106" i="68"/>
  <c r="BA106" i="68" s="1"/>
  <c r="J128" i="68"/>
  <c r="O125" i="68"/>
  <c r="O113" i="68"/>
  <c r="X79" i="68"/>
  <c r="Y79" i="68" s="1"/>
  <c r="O100" i="68"/>
  <c r="BA100" i="68" s="1"/>
  <c r="AK25" i="57"/>
  <c r="AD25" i="57" s="1"/>
  <c r="M28" i="39"/>
  <c r="Y27" i="39"/>
  <c r="S27" i="49"/>
  <c r="T27" i="49" s="1"/>
  <c r="M28" i="49"/>
  <c r="M29" i="49" s="1"/>
  <c r="M30" i="49" s="1"/>
  <c r="M31" i="49" s="1"/>
  <c r="M32" i="49" s="1"/>
  <c r="M33" i="49" s="1"/>
  <c r="M34" i="49" s="1"/>
  <c r="M35" i="49" s="1"/>
  <c r="M36" i="49" s="1"/>
  <c r="M37" i="49" s="1"/>
  <c r="M38" i="49" s="1"/>
  <c r="M39" i="49" s="1"/>
  <c r="M40" i="49" s="1"/>
  <c r="M41" i="49" s="1"/>
  <c r="M42" i="49" s="1"/>
  <c r="M43" i="49" s="1"/>
  <c r="M44" i="49" s="1"/>
  <c r="M45" i="49" s="1"/>
  <c r="M46" i="49" s="1"/>
  <c r="M47" i="49" s="1"/>
  <c r="M48" i="49" s="1"/>
  <c r="Y27" i="49"/>
  <c r="J130" i="68"/>
  <c r="BA128" i="68"/>
  <c r="AN128" i="68"/>
  <c r="AO128" i="68" s="1"/>
  <c r="O73" i="68"/>
  <c r="O75" i="68"/>
  <c r="J74" i="68" s="1"/>
  <c r="O92" i="68"/>
  <c r="O101" i="68"/>
  <c r="O110" i="68"/>
  <c r="O114" i="68"/>
  <c r="O119" i="68"/>
  <c r="O126" i="68"/>
  <c r="O124" i="68"/>
  <c r="O99" i="68"/>
  <c r="J98" i="68" s="1"/>
  <c r="O82" i="68"/>
  <c r="O129" i="68"/>
  <c r="D130" i="68" s="1"/>
  <c r="T130" i="68" s="1"/>
  <c r="U130" i="68" s="1"/>
  <c r="O111" i="68"/>
  <c r="O87" i="68"/>
  <c r="BA87" i="68" s="1"/>
  <c r="O132" i="68"/>
  <c r="O115" i="68"/>
  <c r="O103" i="68"/>
  <c r="O79" i="68"/>
  <c r="O97" i="68"/>
  <c r="AG96" i="68" s="1"/>
  <c r="AH96" i="68" s="1"/>
  <c r="O78" i="68"/>
  <c r="J78" i="68" s="1"/>
  <c r="O83" i="68"/>
  <c r="B8" i="54"/>
  <c r="M5" i="54"/>
  <c r="B8" i="52"/>
  <c r="A92" i="52"/>
  <c r="Y26" i="48"/>
  <c r="B72" i="68"/>
  <c r="AD73" i="68"/>
  <c r="C38" i="61"/>
  <c r="AA11" i="39"/>
  <c r="A51" i="68"/>
  <c r="P99" i="68"/>
  <c r="AN26" i="41"/>
  <c r="AP26" i="41" s="1"/>
  <c r="AL26" i="41"/>
  <c r="AM26" i="41" s="1"/>
  <c r="L71" i="57"/>
  <c r="AJ59" i="57"/>
  <c r="AC59" i="57" s="1"/>
  <c r="AG59" i="57"/>
  <c r="AH59" i="57" s="1"/>
  <c r="Z59" i="57"/>
  <c r="AA59" i="57" s="1"/>
  <c r="J59" i="57" s="1"/>
  <c r="D75" i="57"/>
  <c r="AK74" i="57"/>
  <c r="AD74" i="57" s="1"/>
  <c r="AE74" i="57"/>
  <c r="AF74" i="57" s="1"/>
  <c r="B75" i="57"/>
  <c r="V74" i="57"/>
  <c r="Q74" i="57" s="1"/>
  <c r="L55" i="57"/>
  <c r="AO58" i="57"/>
  <c r="AO85" i="57"/>
  <c r="L54" i="57"/>
  <c r="H73" i="57"/>
  <c r="L64" i="57"/>
  <c r="L58" i="57"/>
  <c r="AO76" i="57"/>
  <c r="AB82" i="57"/>
  <c r="AQ79" i="57"/>
  <c r="AS80" i="57" s="1"/>
  <c r="AB77" i="57"/>
  <c r="AO51" i="57"/>
  <c r="H64" i="57"/>
  <c r="S85" i="57"/>
  <c r="T85" i="57" s="1"/>
  <c r="AB78" i="57"/>
  <c r="S63" i="57"/>
  <c r="T63" i="57" s="1"/>
  <c r="AB76" i="57"/>
  <c r="AO26" i="57"/>
  <c r="AO25" i="57"/>
  <c r="L50" i="57"/>
  <c r="H82" i="57"/>
  <c r="L59" i="57"/>
  <c r="B10" i="26"/>
  <c r="AS109" i="68"/>
  <c r="AU110" i="68" s="1"/>
  <c r="J121" i="68"/>
  <c r="AP121" i="68"/>
  <c r="AR121" i="68" s="1"/>
  <c r="X105" i="68"/>
  <c r="Y105" i="68" s="1"/>
  <c r="AG105" i="68"/>
  <c r="AH105" i="68" s="1"/>
  <c r="Y28" i="39"/>
  <c r="M29" i="39"/>
  <c r="S29" i="39" s="1"/>
  <c r="T29" i="39" s="1"/>
  <c r="S28" i="39"/>
  <c r="T28" i="39" s="1"/>
  <c r="M31" i="3"/>
  <c r="Y30" i="3"/>
  <c r="AB79" i="57"/>
  <c r="AO61" i="57"/>
  <c r="H52" i="57"/>
  <c r="H81" i="57"/>
  <c r="L82" i="57"/>
  <c r="L72" i="57"/>
  <c r="AU25" i="41"/>
  <c r="AV25" i="41" s="1"/>
  <c r="AW25" i="41" s="1"/>
  <c r="AN25" i="41"/>
  <c r="AP25" i="41" s="1"/>
  <c r="AL25" i="41"/>
  <c r="AM25" i="41" s="1"/>
  <c r="BA83" i="68"/>
  <c r="AG82" i="68"/>
  <c r="AH82" i="68" s="1"/>
  <c r="X82" i="68"/>
  <c r="Y82" i="68" s="1"/>
  <c r="BA97" i="68"/>
  <c r="X96" i="68"/>
  <c r="Y96" i="68" s="1"/>
  <c r="BA103" i="68"/>
  <c r="AG102" i="68"/>
  <c r="AH102" i="68" s="1"/>
  <c r="J119" i="68"/>
  <c r="AN119" i="68"/>
  <c r="AO119" i="68" s="1"/>
  <c r="BA119" i="68"/>
  <c r="AP119" i="68"/>
  <c r="AR119" i="68" s="1"/>
  <c r="V109" i="68"/>
  <c r="Q109" i="68" s="1"/>
  <c r="AI110" i="68"/>
  <c r="AJ110" i="68" s="1"/>
  <c r="AL109" i="68"/>
  <c r="AE109" i="68" s="1"/>
  <c r="G111" i="68"/>
  <c r="AA110" i="68"/>
  <c r="AB110" i="68" s="1"/>
  <c r="K110" i="68" s="1"/>
  <c r="AL110" i="68"/>
  <c r="AE110" i="68" s="1"/>
  <c r="AA109" i="68"/>
  <c r="AB109" i="68" s="1"/>
  <c r="K109" i="68" s="1"/>
  <c r="BA110" i="68"/>
  <c r="W109" i="68"/>
  <c r="R109" i="68" s="1"/>
  <c r="D110" i="68"/>
  <c r="T110" i="68" s="1"/>
  <c r="U110" i="68" s="1"/>
  <c r="V110" i="68"/>
  <c r="Q110" i="68" s="1"/>
  <c r="X109" i="68"/>
  <c r="Y109" i="68" s="1"/>
  <c r="BA73" i="68"/>
  <c r="AN73" i="68"/>
  <c r="AO73" i="68" s="1"/>
  <c r="AP73" i="68"/>
  <c r="AR73" i="68" s="1"/>
  <c r="T63" i="60"/>
  <c r="U63" i="60" s="1"/>
  <c r="Z63" i="60"/>
  <c r="B8" i="51"/>
  <c r="A92" i="51"/>
  <c r="B10" i="51"/>
  <c r="W25" i="41"/>
  <c r="V25" i="41"/>
  <c r="Q25" i="41" s="1"/>
  <c r="F25" i="41" s="1"/>
  <c r="M30" i="46"/>
  <c r="S30" i="46" s="1"/>
  <c r="T30" i="46" s="1"/>
  <c r="M109" i="68"/>
  <c r="AG76" i="68"/>
  <c r="AH76" i="68" s="1"/>
  <c r="X90" i="68"/>
  <c r="Y90" i="68" s="1"/>
  <c r="AL128" i="68"/>
  <c r="AE128" i="68" s="1"/>
  <c r="AI128" i="68"/>
  <c r="AJ128" i="68" s="1"/>
  <c r="AM128" i="68"/>
  <c r="AF128" i="68" s="1"/>
  <c r="B129" i="68"/>
  <c r="AA129" i="68"/>
  <c r="AB129" i="68" s="1"/>
  <c r="K129" i="68" s="1"/>
  <c r="J125" i="68"/>
  <c r="B126" i="68"/>
  <c r="J126" i="68"/>
  <c r="BA80" i="68"/>
  <c r="X25" i="41"/>
  <c r="J25" i="41" s="1"/>
  <c r="B8" i="49"/>
  <c r="N80" i="41"/>
  <c r="N34" i="41"/>
  <c r="N61" i="41"/>
  <c r="M41" i="47"/>
  <c r="U25" i="41"/>
  <c r="P25" i="41" s="1"/>
  <c r="AE25" i="41"/>
  <c r="AF25" i="41" s="1"/>
  <c r="K25" i="41" s="1"/>
  <c r="S115" i="68"/>
  <c r="BA77" i="68"/>
  <c r="BA91" i="68"/>
  <c r="W128" i="68"/>
  <c r="R128" i="68" s="1"/>
  <c r="AN129" i="68"/>
  <c r="AO129" i="68" s="1"/>
  <c r="AS129" i="68" s="1"/>
  <c r="AU130" i="68" s="1"/>
  <c r="G129" i="68"/>
  <c r="AL129" i="68"/>
  <c r="AE129" i="68" s="1"/>
  <c r="V125" i="68"/>
  <c r="Q125" i="68" s="1"/>
  <c r="AK25" i="41"/>
  <c r="AD25" i="41" s="1"/>
  <c r="G25" i="41" s="1"/>
  <c r="Z64" i="60"/>
  <c r="AD63" i="60" s="1"/>
  <c r="M5" i="49"/>
  <c r="B4" i="47"/>
  <c r="B10" i="55"/>
  <c r="B92" i="55"/>
  <c r="AD62" i="60"/>
  <c r="B92" i="51"/>
  <c r="O26" i="57"/>
  <c r="B26" i="57" s="1"/>
  <c r="B105" i="57"/>
  <c r="A105" i="57" s="1"/>
  <c r="B110" i="57"/>
  <c r="A110" i="57" s="1"/>
  <c r="B113" i="57"/>
  <c r="A113" i="57" s="1"/>
  <c r="B118" i="57"/>
  <c r="A118" i="57" s="1"/>
  <c r="B96" i="57"/>
  <c r="A96" i="57" s="1"/>
  <c r="B101" i="57"/>
  <c r="A101" i="57" s="1"/>
  <c r="AU26" i="57"/>
  <c r="AV26" i="57" s="1"/>
  <c r="O49" i="57"/>
  <c r="O54" i="57"/>
  <c r="O59" i="57"/>
  <c r="O65" i="57"/>
  <c r="O70" i="57"/>
  <c r="O75" i="57"/>
  <c r="O81" i="57"/>
  <c r="O84" i="57"/>
  <c r="B39" i="61"/>
  <c r="B40" i="61" s="1"/>
  <c r="N72" i="67"/>
  <c r="R57" i="68"/>
  <c r="P75" i="68"/>
  <c r="A5" i="57"/>
  <c r="M16" i="57"/>
  <c r="B106" i="57"/>
  <c r="A106" i="57" s="1"/>
  <c r="B109" i="57"/>
  <c r="A109" i="57" s="1"/>
  <c r="B114" i="57"/>
  <c r="A114" i="57" s="1"/>
  <c r="B117" i="57"/>
  <c r="A117" i="57" s="1"/>
  <c r="B97" i="57"/>
  <c r="A97" i="57" s="1"/>
  <c r="B100" i="57"/>
  <c r="A100" i="57" s="1"/>
  <c r="A17" i="57"/>
  <c r="O51" i="57"/>
  <c r="O57" i="57"/>
  <c r="O62" i="57"/>
  <c r="O67" i="57"/>
  <c r="O73" i="57"/>
  <c r="O78" i="57"/>
  <c r="O83" i="57"/>
  <c r="O56" i="55"/>
  <c r="B115" i="52"/>
  <c r="A115" i="52" s="1"/>
  <c r="Y26" i="53"/>
  <c r="B110" i="52"/>
  <c r="A110" i="52" s="1"/>
  <c r="A5" i="52"/>
  <c r="B104" i="57"/>
  <c r="B107" i="57"/>
  <c r="A107" i="57" s="1"/>
  <c r="B112" i="57"/>
  <c r="A112" i="57" s="1"/>
  <c r="B115" i="57"/>
  <c r="A115" i="57" s="1"/>
  <c r="B120" i="57"/>
  <c r="A120" i="57" s="1"/>
  <c r="B98" i="57"/>
  <c r="A98" i="57" s="1"/>
  <c r="O53" i="57"/>
  <c r="O58" i="57"/>
  <c r="O63" i="57"/>
  <c r="O69" i="57"/>
  <c r="O74" i="57"/>
  <c r="O79" i="57"/>
  <c r="P99" i="67"/>
  <c r="R56" i="67"/>
  <c r="V70" i="67" s="1"/>
  <c r="Q70" i="67" s="1"/>
  <c r="G70" i="67" s="1"/>
  <c r="P111" i="67"/>
  <c r="P105" i="67"/>
  <c r="P129" i="67"/>
  <c r="P95" i="67"/>
  <c r="P119" i="67"/>
  <c r="P125" i="67"/>
  <c r="P117" i="67"/>
  <c r="P110" i="67"/>
  <c r="P103" i="67"/>
  <c r="P123" i="67"/>
  <c r="P115" i="67"/>
  <c r="P109" i="67"/>
  <c r="P101" i="67"/>
  <c r="P70" i="67"/>
  <c r="P121" i="67"/>
  <c r="P113" i="67"/>
  <c r="P107" i="67"/>
  <c r="A14" i="48"/>
  <c r="O73" i="48" s="1"/>
  <c r="P128" i="67"/>
  <c r="P124" i="67"/>
  <c r="P120" i="67"/>
  <c r="P116" i="67"/>
  <c r="P112" i="67"/>
  <c r="P108" i="67"/>
  <c r="P104" i="67"/>
  <c r="P100" i="67"/>
  <c r="P96" i="67"/>
  <c r="P72" i="67"/>
  <c r="A49" i="60"/>
  <c r="P64" i="60" s="1"/>
  <c r="A14" i="46"/>
  <c r="O78" i="46" s="1"/>
  <c r="Q12" i="46"/>
  <c r="Q11" i="46" s="1"/>
  <c r="X25" i="46" s="1"/>
  <c r="R47" i="60"/>
  <c r="R46" i="60" s="1"/>
  <c r="X61" i="60" s="1"/>
  <c r="O78" i="53"/>
  <c r="O31" i="53"/>
  <c r="O44" i="53"/>
  <c r="O42" i="53"/>
  <c r="O48" i="53"/>
  <c r="O62" i="53"/>
  <c r="O72" i="53"/>
  <c r="O54" i="53"/>
  <c r="R11" i="48"/>
  <c r="Q11" i="48" s="1"/>
  <c r="R11" i="53"/>
  <c r="A14" i="49"/>
  <c r="O57" i="49" s="1"/>
  <c r="O34" i="53"/>
  <c r="O82" i="53"/>
  <c r="O29" i="53"/>
  <c r="O77" i="53"/>
  <c r="R11" i="45"/>
  <c r="Q11" i="45" s="1"/>
  <c r="W25" i="45" s="1"/>
  <c r="O32" i="53"/>
  <c r="M16" i="53"/>
  <c r="O69" i="53"/>
  <c r="O63" i="53"/>
  <c r="B3" i="67"/>
  <c r="B1" i="67"/>
  <c r="N50" i="67"/>
  <c r="N59" i="67"/>
  <c r="O82" i="67" s="1"/>
  <c r="Q12" i="55"/>
  <c r="A14" i="1"/>
  <c r="O67" i="1" s="1"/>
  <c r="Q12" i="1"/>
  <c r="Q11" i="1" s="1"/>
  <c r="A14" i="54"/>
  <c r="O64" i="54" s="1"/>
  <c r="R11" i="55"/>
  <c r="S47" i="59"/>
  <c r="R47" i="59" s="1"/>
  <c r="AI62" i="59" s="1"/>
  <c r="AJ62" i="59" s="1"/>
  <c r="A50" i="59"/>
  <c r="P105" i="59" s="1"/>
  <c r="R11" i="54"/>
  <c r="Q11" i="54" s="1"/>
  <c r="AB25" i="54" s="1"/>
  <c r="O61" i="53"/>
  <c r="O52" i="53"/>
  <c r="O51" i="53"/>
  <c r="O67" i="53"/>
  <c r="O73" i="53"/>
  <c r="O38" i="53"/>
  <c r="O27" i="53"/>
  <c r="O59" i="53"/>
  <c r="O39" i="53"/>
  <c r="O70" i="53"/>
  <c r="O68" i="53"/>
  <c r="O45" i="53"/>
  <c r="O58" i="53"/>
  <c r="O36" i="53"/>
  <c r="O25" i="53"/>
  <c r="A14" i="3"/>
  <c r="O56" i="3" s="1"/>
  <c r="O76" i="53"/>
  <c r="Q12" i="53"/>
  <c r="M34" i="61"/>
  <c r="R11" i="49"/>
  <c r="Q11" i="49" s="1"/>
  <c r="O85" i="53"/>
  <c r="A24" i="53"/>
  <c r="A14" i="45"/>
  <c r="O62" i="45" s="1"/>
  <c r="O33" i="53"/>
  <c r="O75" i="53"/>
  <c r="O50" i="53"/>
  <c r="O60" i="53"/>
  <c r="M14" i="53"/>
  <c r="N34" i="53" s="1"/>
  <c r="AV26" i="53"/>
  <c r="AW26" i="53" s="1"/>
  <c r="O46" i="53"/>
  <c r="O26" i="53"/>
  <c r="O71" i="53"/>
  <c r="O79" i="53"/>
  <c r="O55" i="53"/>
  <c r="O49" i="53"/>
  <c r="O74" i="53"/>
  <c r="R11" i="3"/>
  <c r="Q11" i="3" s="1"/>
  <c r="X25" i="3" s="1"/>
  <c r="O30" i="53"/>
  <c r="O80" i="53"/>
  <c r="O28" i="53"/>
  <c r="O66" i="53"/>
  <c r="O53" i="53"/>
  <c r="O83" i="53"/>
  <c r="O81" i="53"/>
  <c r="O65" i="53"/>
  <c r="O84" i="53"/>
  <c r="O56" i="53"/>
  <c r="O37" i="53"/>
  <c r="O40" i="53"/>
  <c r="O35" i="53"/>
  <c r="O64" i="53"/>
  <c r="O41" i="53"/>
  <c r="O47" i="53"/>
  <c r="O57" i="53"/>
  <c r="O43" i="53"/>
  <c r="R11" i="39"/>
  <c r="A14" i="39"/>
  <c r="O80" i="39" s="1"/>
  <c r="O50" i="55"/>
  <c r="O62" i="55"/>
  <c r="O79" i="55"/>
  <c r="O75" i="55"/>
  <c r="O71" i="55"/>
  <c r="O85" i="55"/>
  <c r="M16" i="55"/>
  <c r="A17" i="55"/>
  <c r="O84" i="55"/>
  <c r="O66" i="55"/>
  <c r="O58" i="55"/>
  <c r="A14" i="52"/>
  <c r="Q12" i="52"/>
  <c r="R11" i="26"/>
  <c r="Q11" i="26" s="1"/>
  <c r="A14" i="26"/>
  <c r="O26" i="26" s="1"/>
  <c r="Q12" i="39"/>
  <c r="R11" i="52"/>
  <c r="P130" i="67"/>
  <c r="P126" i="67"/>
  <c r="P122" i="67"/>
  <c r="P118" i="67"/>
  <c r="P114" i="67"/>
  <c r="P106" i="67"/>
  <c r="P102" i="67"/>
  <c r="P98" i="67"/>
  <c r="P94" i="67"/>
  <c r="Q12" i="50"/>
  <c r="A14" i="50"/>
  <c r="R11" i="50"/>
  <c r="R11" i="51"/>
  <c r="Q11" i="51" s="1"/>
  <c r="A14" i="51"/>
  <c r="O26" i="51" s="1"/>
  <c r="A50" i="47"/>
  <c r="Q48" i="47"/>
  <c r="R47" i="47"/>
  <c r="M14" i="55"/>
  <c r="O52" i="55"/>
  <c r="O51" i="55"/>
  <c r="O68" i="55"/>
  <c r="AU26" i="55"/>
  <c r="AV26" i="55" s="1"/>
  <c r="O72" i="55"/>
  <c r="O60" i="55"/>
  <c r="O54" i="55"/>
  <c r="O57" i="55"/>
  <c r="O53" i="55"/>
  <c r="O61" i="55"/>
  <c r="O25" i="55"/>
  <c r="O49" i="55"/>
  <c r="A24" i="55"/>
  <c r="O59" i="55"/>
  <c r="O26" i="55"/>
  <c r="O73" i="55"/>
  <c r="O70" i="55"/>
  <c r="O78" i="55"/>
  <c r="O74" i="55"/>
  <c r="O76" i="55"/>
  <c r="O77" i="55"/>
  <c r="O65" i="55"/>
  <c r="O67" i="55"/>
  <c r="O55" i="55"/>
  <c r="O27" i="55"/>
  <c r="O82" i="55"/>
  <c r="O69" i="55"/>
  <c r="O63" i="55"/>
  <c r="O80" i="55"/>
  <c r="O81" i="55"/>
  <c r="O64" i="55"/>
  <c r="O83" i="55"/>
  <c r="S26" i="41"/>
  <c r="T26" i="41" s="1"/>
  <c r="O26" i="41"/>
  <c r="B26" i="41" s="1"/>
  <c r="M27" i="41"/>
  <c r="J26" i="41"/>
  <c r="Y26" i="41"/>
  <c r="K26" i="41"/>
  <c r="AB65" i="57"/>
  <c r="AI65" i="57"/>
  <c r="AB64" i="57"/>
  <c r="AO65" i="57"/>
  <c r="AQ65" i="57"/>
  <c r="AS66" i="57" s="1"/>
  <c r="AO67" i="57"/>
  <c r="AQ67" i="57"/>
  <c r="AS68" i="57" s="1"/>
  <c r="H72" i="57"/>
  <c r="S72" i="57"/>
  <c r="T72" i="57" s="1"/>
  <c r="AO69" i="57"/>
  <c r="AQ69" i="57"/>
  <c r="AS70" i="57" s="1"/>
  <c r="AP62" i="57"/>
  <c r="AO62" i="57"/>
  <c r="AF40" i="57"/>
  <c r="AQ64" i="57"/>
  <c r="AS65" i="57" s="1"/>
  <c r="AO64" i="57"/>
  <c r="AI54" i="57"/>
  <c r="AB54" i="57"/>
  <c r="AO81" i="57"/>
  <c r="AQ81" i="57"/>
  <c r="AS82" i="57" s="1"/>
  <c r="AO77" i="57"/>
  <c r="AQ77" i="57"/>
  <c r="AS78" i="57" s="1"/>
  <c r="AI56" i="57"/>
  <c r="AB55" i="57"/>
  <c r="AB56" i="57"/>
  <c r="C63" i="61"/>
  <c r="D63" i="61"/>
  <c r="E63" i="61"/>
  <c r="M33" i="48"/>
  <c r="S32" i="48"/>
  <c r="T32" i="48" s="1"/>
  <c r="Y32" i="48"/>
  <c r="R27" i="41"/>
  <c r="V26" i="41"/>
  <c r="AO56" i="57"/>
  <c r="AQ56" i="57"/>
  <c r="AS57" i="57" s="1"/>
  <c r="H56" i="57"/>
  <c r="H58" i="57"/>
  <c r="S58" i="57"/>
  <c r="T58" i="57" s="1"/>
  <c r="Y28" i="55"/>
  <c r="O28" i="55"/>
  <c r="M29" i="55"/>
  <c r="S28" i="55"/>
  <c r="T28" i="55" s="1"/>
  <c r="L28" i="57"/>
  <c r="AQ85" i="57"/>
  <c r="AO57" i="57"/>
  <c r="AO70" i="57"/>
  <c r="AQ70" i="57"/>
  <c r="AS71" i="57" s="1"/>
  <c r="N80" i="68"/>
  <c r="J79" i="68"/>
  <c r="C65" i="61"/>
  <c r="D65" i="61"/>
  <c r="E65" i="61"/>
  <c r="AJ26" i="41"/>
  <c r="AK26" i="41"/>
  <c r="L62" i="57"/>
  <c r="L77" i="57"/>
  <c r="AO52" i="57"/>
  <c r="AQ52" i="57"/>
  <c r="AS53" i="57" s="1"/>
  <c r="AQ68" i="57"/>
  <c r="AS69" i="57" s="1"/>
  <c r="AO68" i="57"/>
  <c r="B66" i="61"/>
  <c r="A67" i="61"/>
  <c r="M31" i="1"/>
  <c r="Y30" i="1"/>
  <c r="AB61" i="57"/>
  <c r="AB62" i="57"/>
  <c r="H57" i="57"/>
  <c r="S57" i="57"/>
  <c r="T57" i="57" s="1"/>
  <c r="AO50" i="57"/>
  <c r="AQ50" i="57"/>
  <c r="AS51" i="57" s="1"/>
  <c r="AO59" i="57"/>
  <c r="AQ59" i="57"/>
  <c r="AS60" i="57" s="1"/>
  <c r="AB70" i="57"/>
  <c r="AB71" i="57"/>
  <c r="Z29" i="57"/>
  <c r="AA29" i="57" s="1"/>
  <c r="J29" i="57" s="1"/>
  <c r="AG30" i="57"/>
  <c r="AH30" i="57" s="1"/>
  <c r="AI85" i="57"/>
  <c r="AB84" i="57"/>
  <c r="L29" i="57"/>
  <c r="L69" i="57"/>
  <c r="AV25" i="57"/>
  <c r="AW25" i="57" s="1"/>
  <c r="AX25" i="57" s="1"/>
  <c r="D25" i="57" s="1"/>
  <c r="S25" i="57"/>
  <c r="L57" i="57"/>
  <c r="P77" i="68"/>
  <c r="AB51" i="57"/>
  <c r="AI52" i="57"/>
  <c r="AO66" i="57"/>
  <c r="AB50" i="57"/>
  <c r="AI51" i="57"/>
  <c r="AB73" i="57"/>
  <c r="H74" i="57"/>
  <c r="AO84" i="57"/>
  <c r="AQ84" i="57"/>
  <c r="AS85" i="57" s="1"/>
  <c r="L65" i="57"/>
  <c r="AS128" i="68"/>
  <c r="AU129" i="68" s="1"/>
  <c r="AB58" i="57"/>
  <c r="I30" i="57"/>
  <c r="L30" i="57" s="1"/>
  <c r="M31" i="57"/>
  <c r="Y30" i="48"/>
  <c r="AY63" i="41"/>
  <c r="AY78" i="41"/>
  <c r="W74" i="41"/>
  <c r="X74" i="41" s="1"/>
  <c r="AE35" i="41"/>
  <c r="AF35" i="41" s="1"/>
  <c r="AX25" i="41"/>
  <c r="D37" i="41" s="1"/>
  <c r="I74" i="41" s="1"/>
  <c r="L38" i="61"/>
  <c r="E38" i="61"/>
  <c r="L74" i="57"/>
  <c r="Y30" i="46"/>
  <c r="M31" i="46"/>
  <c r="M29" i="45"/>
  <c r="Y28" i="45"/>
  <c r="AY64" i="41"/>
  <c r="AS73" i="68"/>
  <c r="AU74" i="68" s="1"/>
  <c r="AQ73" i="68"/>
  <c r="BA121" i="68"/>
  <c r="AN121" i="68"/>
  <c r="AO121" i="68" s="1"/>
  <c r="S121" i="68"/>
  <c r="AG104" i="68"/>
  <c r="AH104" i="68" s="1"/>
  <c r="BA105" i="68"/>
  <c r="X104" i="68"/>
  <c r="Y104" i="68" s="1"/>
  <c r="J105" i="68"/>
  <c r="BA76" i="68"/>
  <c r="X75" i="68"/>
  <c r="Y75" i="68" s="1"/>
  <c r="AG75" i="68"/>
  <c r="AH75" i="68" s="1"/>
  <c r="AN116" i="68"/>
  <c r="AO116" i="68" s="1"/>
  <c r="S116" i="68"/>
  <c r="B116" i="68"/>
  <c r="V115" i="68"/>
  <c r="Q115" i="68" s="1"/>
  <c r="AG115" i="68"/>
  <c r="AH115" i="68" s="1"/>
  <c r="G116" i="68"/>
  <c r="AP116" i="68"/>
  <c r="AR116" i="68" s="1"/>
  <c r="W115" i="68"/>
  <c r="R115" i="68" s="1"/>
  <c r="AA115" i="68"/>
  <c r="AB115" i="68" s="1"/>
  <c r="K115" i="68" s="1"/>
  <c r="AM116" i="68"/>
  <c r="AF116" i="68" s="1"/>
  <c r="AI116" i="68"/>
  <c r="AJ116" i="68" s="1"/>
  <c r="BA116" i="68"/>
  <c r="J116" i="68"/>
  <c r="X115" i="68"/>
  <c r="Y115" i="68" s="1"/>
  <c r="AI115" i="68"/>
  <c r="AJ115" i="68" s="1"/>
  <c r="D116" i="68"/>
  <c r="V116" i="68"/>
  <c r="Q116" i="68" s="1"/>
  <c r="AG116" i="68"/>
  <c r="AH116" i="68" s="1"/>
  <c r="W116" i="68"/>
  <c r="R116" i="68" s="1"/>
  <c r="AL115" i="68"/>
  <c r="AE115" i="68" s="1"/>
  <c r="X91" i="68"/>
  <c r="Y91" i="68" s="1"/>
  <c r="AG91" i="68"/>
  <c r="AH91" i="68" s="1"/>
  <c r="BA92" i="68"/>
  <c r="Z64" i="59"/>
  <c r="AD63" i="59" s="1"/>
  <c r="T64" i="59"/>
  <c r="U64" i="59" s="1"/>
  <c r="N65" i="59"/>
  <c r="AS117" i="68"/>
  <c r="AU118" i="68" s="1"/>
  <c r="B108" i="39"/>
  <c r="A108" i="39" s="1"/>
  <c r="B97" i="39"/>
  <c r="A97" i="39" s="1"/>
  <c r="B118" i="39"/>
  <c r="A118" i="39" s="1"/>
  <c r="B116" i="39"/>
  <c r="A116" i="39" s="1"/>
  <c r="B96" i="39"/>
  <c r="A96" i="39" s="1"/>
  <c r="B99" i="39"/>
  <c r="A99" i="39" s="1"/>
  <c r="B100" i="39"/>
  <c r="A100" i="39" s="1"/>
  <c r="B103" i="39"/>
  <c r="A103" i="39" s="1"/>
  <c r="B112" i="39"/>
  <c r="A112" i="39" s="1"/>
  <c r="B114" i="39"/>
  <c r="A114" i="39" s="1"/>
  <c r="B102" i="39"/>
  <c r="A102" i="39" s="1"/>
  <c r="B119" i="39"/>
  <c r="A119" i="39" s="1"/>
  <c r="B111" i="39"/>
  <c r="A111" i="39" s="1"/>
  <c r="B106" i="39"/>
  <c r="A106" i="39" s="1"/>
  <c r="B110" i="39"/>
  <c r="A110" i="39" s="1"/>
  <c r="B107" i="39"/>
  <c r="A107" i="39" s="1"/>
  <c r="B105" i="39"/>
  <c r="A105" i="39" s="1"/>
  <c r="B115" i="39"/>
  <c r="A115" i="39" s="1"/>
  <c r="B117" i="39"/>
  <c r="A117" i="39" s="1"/>
  <c r="O8" i="39"/>
  <c r="B101" i="39"/>
  <c r="A101" i="39" s="1"/>
  <c r="B98" i="39"/>
  <c r="A98" i="39" s="1"/>
  <c r="X100" i="68"/>
  <c r="Y100" i="68" s="1"/>
  <c r="BA101" i="68"/>
  <c r="AG100" i="68"/>
  <c r="AH100" i="68" s="1"/>
  <c r="AG97" i="68"/>
  <c r="AH97" i="68" s="1"/>
  <c r="J97" i="68"/>
  <c r="J99" i="68"/>
  <c r="J106" i="68"/>
  <c r="X77" i="68"/>
  <c r="Y77" i="68" s="1"/>
  <c r="BA78" i="68"/>
  <c r="AG77" i="68"/>
  <c r="AH77" i="68" s="1"/>
  <c r="AS119" i="68"/>
  <c r="AU120" i="68" s="1"/>
  <c r="AQ119" i="68"/>
  <c r="X86" i="68"/>
  <c r="Y86" i="68" s="1"/>
  <c r="AG86" i="68"/>
  <c r="AH86" i="68" s="1"/>
  <c r="J124" i="68"/>
  <c r="B125" i="68"/>
  <c r="G125" i="68"/>
  <c r="AM124" i="68"/>
  <c r="AF124" i="68" s="1"/>
  <c r="D125" i="68"/>
  <c r="V124" i="68"/>
  <c r="Q124" i="68" s="1"/>
  <c r="AP110" i="68"/>
  <c r="AR110" i="68" s="1"/>
  <c r="AM109" i="68"/>
  <c r="AF109" i="68" s="1"/>
  <c r="AI109" i="68"/>
  <c r="AJ109" i="68" s="1"/>
  <c r="AG109" i="68"/>
  <c r="AH109" i="68" s="1"/>
  <c r="G110" i="68"/>
  <c r="I110" i="68" s="1"/>
  <c r="AN110" i="68"/>
  <c r="AO110" i="68" s="1"/>
  <c r="J110" i="68"/>
  <c r="M110" i="68" s="1"/>
  <c r="X110" i="68"/>
  <c r="Y110" i="68" s="1"/>
  <c r="AG110" i="68"/>
  <c r="AH110" i="68" s="1"/>
  <c r="D111" i="68"/>
  <c r="S110" i="68"/>
  <c r="B110" i="68"/>
  <c r="AI74" i="68"/>
  <c r="AJ74" i="68" s="1"/>
  <c r="AA74" i="68"/>
  <c r="AB74" i="68" s="1"/>
  <c r="K74" i="68" s="1"/>
  <c r="AG74" i="68"/>
  <c r="AH74" i="68" s="1"/>
  <c r="X74" i="68"/>
  <c r="BA75" i="68"/>
  <c r="J75" i="68"/>
  <c r="AE82" i="41"/>
  <c r="AF82" i="41" s="1"/>
  <c r="W82" i="41"/>
  <c r="X82" i="41" s="1"/>
  <c r="B111" i="68"/>
  <c r="AM110" i="68"/>
  <c r="AF110" i="68" s="1"/>
  <c r="AN111" i="68"/>
  <c r="AO111" i="68" s="1"/>
  <c r="J111" i="68"/>
  <c r="BA130" i="68"/>
  <c r="G130" i="68"/>
  <c r="X129" i="68"/>
  <c r="Y129" i="68" s="1"/>
  <c r="AM129" i="68"/>
  <c r="AF129" i="68" s="1"/>
  <c r="AP130" i="68"/>
  <c r="AR130" i="68" s="1"/>
  <c r="B92" i="49"/>
  <c r="A92" i="49"/>
  <c r="B87" i="45"/>
  <c r="A92" i="45"/>
  <c r="B10" i="45"/>
  <c r="B8" i="48"/>
  <c r="B92" i="48"/>
  <c r="B87" i="48"/>
  <c r="B10" i="52"/>
  <c r="B92" i="52"/>
  <c r="M5" i="52"/>
  <c r="M28" i="51"/>
  <c r="Y27" i="51"/>
  <c r="B8" i="39"/>
  <c r="Y28" i="46"/>
  <c r="S130" i="68"/>
  <c r="AN130" i="68"/>
  <c r="AO130" i="68" s="1"/>
  <c r="W129" i="68"/>
  <c r="R129" i="68" s="1"/>
  <c r="AG132" i="68"/>
  <c r="AH132" i="68" s="1"/>
  <c r="G117" i="68"/>
  <c r="X116" i="68"/>
  <c r="Y116" i="68" s="1"/>
  <c r="AA116" i="68"/>
  <c r="AB116" i="68" s="1"/>
  <c r="K116" i="68" s="1"/>
  <c r="D117" i="68"/>
  <c r="AP117" i="68"/>
  <c r="AR117" i="68" s="1"/>
  <c r="AG93" i="68"/>
  <c r="AH93" i="68" s="1"/>
  <c r="BA94" i="68"/>
  <c r="AP125" i="68"/>
  <c r="AR125" i="68" s="1"/>
  <c r="AG125" i="68"/>
  <c r="AH125" i="68" s="1"/>
  <c r="X125" i="68"/>
  <c r="Y125" i="68" s="1"/>
  <c r="D126" i="68"/>
  <c r="AN113" i="68"/>
  <c r="AO113" i="68" s="1"/>
  <c r="S119" i="68"/>
  <c r="AP128" i="68"/>
  <c r="AR128" i="68" s="1"/>
  <c r="S126" i="68"/>
  <c r="AI125" i="68"/>
  <c r="AJ125" i="68" s="1"/>
  <c r="J100" i="68"/>
  <c r="X99" i="68"/>
  <c r="Y99" i="68" s="1"/>
  <c r="AG99" i="68"/>
  <c r="AH99" i="68" s="1"/>
  <c r="O102" i="68"/>
  <c r="J101" i="68" s="1"/>
  <c r="O86" i="68"/>
  <c r="O104" i="68"/>
  <c r="J103" i="68" s="1"/>
  <c r="O108" i="68"/>
  <c r="O120" i="68"/>
  <c r="V120" i="68" s="1"/>
  <c r="Q120" i="68" s="1"/>
  <c r="O122" i="68"/>
  <c r="O131" i="68"/>
  <c r="O118" i="68"/>
  <c r="W118" i="68" s="1"/>
  <c r="R118" i="68" s="1"/>
  <c r="O112" i="68"/>
  <c r="O88" i="68"/>
  <c r="O123" i="68"/>
  <c r="V123" i="68" s="1"/>
  <c r="Q123" i="68" s="1"/>
  <c r="O93" i="68"/>
  <c r="O127" i="68"/>
  <c r="B128" i="68" s="1"/>
  <c r="O85" i="68"/>
  <c r="O90" i="68"/>
  <c r="O89" i="68"/>
  <c r="M5" i="45"/>
  <c r="B10" i="49"/>
  <c r="N41" i="41"/>
  <c r="N55" i="41"/>
  <c r="N76" i="41"/>
  <c r="N46" i="41"/>
  <c r="N52" i="41"/>
  <c r="N45" i="41"/>
  <c r="N77" i="41"/>
  <c r="N65" i="41"/>
  <c r="N28" i="41"/>
  <c r="N62" i="41"/>
  <c r="N58" i="41"/>
  <c r="N85" i="41"/>
  <c r="N40" i="41"/>
  <c r="N32" i="41"/>
  <c r="N29" i="41"/>
  <c r="N44" i="41"/>
  <c r="N73" i="41"/>
  <c r="AG73" i="68"/>
  <c r="BA74" i="68"/>
  <c r="AW72" i="68"/>
  <c r="AN72" i="68"/>
  <c r="AO72" i="68" s="1"/>
  <c r="X102" i="68"/>
  <c r="Y102" i="68" s="1"/>
  <c r="V128" i="68"/>
  <c r="Q128" i="68" s="1"/>
  <c r="AA128" i="68"/>
  <c r="AB128" i="68" s="1"/>
  <c r="K128" i="68" s="1"/>
  <c r="M128" i="68" s="1"/>
  <c r="D129" i="68"/>
  <c r="AP129" i="68"/>
  <c r="J73" i="68"/>
  <c r="M73" i="68" s="1"/>
  <c r="AN125" i="68"/>
  <c r="AO125" i="68" s="1"/>
  <c r="S125" i="68"/>
  <c r="BA125" i="68"/>
  <c r="W124" i="68"/>
  <c r="R124" i="68" s="1"/>
  <c r="J113" i="68"/>
  <c r="Y29" i="39"/>
  <c r="M30" i="39"/>
  <c r="M30" i="26"/>
  <c r="BF29" i="26"/>
  <c r="W36" i="41"/>
  <c r="X36" i="41" s="1"/>
  <c r="AE36" i="41"/>
  <c r="AF36" i="41" s="1"/>
  <c r="M29" i="52"/>
  <c r="B87" i="57"/>
  <c r="B10" i="57"/>
  <c r="F25" i="57"/>
  <c r="B92" i="57"/>
  <c r="M5" i="57"/>
  <c r="B8" i="57"/>
  <c r="M64" i="47"/>
  <c r="Y63" i="47"/>
  <c r="S62" i="47"/>
  <c r="M28" i="50"/>
  <c r="Y27" i="50"/>
  <c r="S27" i="50"/>
  <c r="T27" i="50" s="1"/>
  <c r="Y28" i="49"/>
  <c r="B87" i="55"/>
  <c r="M5" i="51"/>
  <c r="M5" i="50"/>
  <c r="B92" i="50"/>
  <c r="M1" i="1"/>
  <c r="B114" i="1"/>
  <c r="A114" i="1" s="1"/>
  <c r="B109" i="1"/>
  <c r="A109" i="1" s="1"/>
  <c r="W25" i="57"/>
  <c r="X25" i="57"/>
  <c r="AN132" i="68" l="1"/>
  <c r="AO132" i="68" s="1"/>
  <c r="X132" i="68"/>
  <c r="Y132" i="68" s="1"/>
  <c r="AM132" i="68"/>
  <c r="AF132" i="68" s="1"/>
  <c r="BA132" i="68"/>
  <c r="AP132" i="68"/>
  <c r="AR132" i="68" s="1"/>
  <c r="AA132" i="68"/>
  <c r="AB132" i="68" s="1"/>
  <c r="K132" i="68" s="1"/>
  <c r="S132" i="68"/>
  <c r="W132" i="68"/>
  <c r="R132" i="68" s="1"/>
  <c r="V132" i="68"/>
  <c r="Q132" i="68" s="1"/>
  <c r="AI132" i="68"/>
  <c r="AJ132" i="68" s="1"/>
  <c r="J132" i="68"/>
  <c r="M132" i="68" s="1"/>
  <c r="AL132" i="68"/>
  <c r="AE132" i="68" s="1"/>
  <c r="BA111" i="68"/>
  <c r="AP111" i="68"/>
  <c r="AR111" i="68" s="1"/>
  <c r="S111" i="68"/>
  <c r="AK111" i="68" s="1"/>
  <c r="W110" i="68"/>
  <c r="R110" i="68" s="1"/>
  <c r="X81" i="68"/>
  <c r="Y81" i="68" s="1"/>
  <c r="AG81" i="68"/>
  <c r="AH81" i="68" s="1"/>
  <c r="BA82" i="68"/>
  <c r="AP124" i="68"/>
  <c r="AR124" i="68" s="1"/>
  <c r="BA124" i="68"/>
  <c r="AN124" i="68"/>
  <c r="AO124" i="68" s="1"/>
  <c r="S124" i="68"/>
  <c r="AK124" i="68" s="1"/>
  <c r="B73" i="68"/>
  <c r="S113" i="68"/>
  <c r="AK113" i="68" s="1"/>
  <c r="AP113" i="68"/>
  <c r="AR113" i="68" s="1"/>
  <c r="BA113" i="68"/>
  <c r="AA75" i="68"/>
  <c r="AB75" i="68" s="1"/>
  <c r="K75" i="68" s="1"/>
  <c r="AI75" i="68"/>
  <c r="AJ75" i="68" s="1"/>
  <c r="J76" i="68"/>
  <c r="X83" i="68"/>
  <c r="Y83" i="68" s="1"/>
  <c r="AG83" i="68"/>
  <c r="AH83" i="68" s="1"/>
  <c r="BA84" i="68"/>
  <c r="I130" i="68"/>
  <c r="L25" i="41"/>
  <c r="BA79" i="68"/>
  <c r="X78" i="68"/>
  <c r="Y78" i="68" s="1"/>
  <c r="AG78" i="68"/>
  <c r="AH78" i="68" s="1"/>
  <c r="AN115" i="68"/>
  <c r="AO115" i="68" s="1"/>
  <c r="BA115" i="68"/>
  <c r="AM115" i="68"/>
  <c r="AF115" i="68" s="1"/>
  <c r="B115" i="68"/>
  <c r="V114" i="68"/>
  <c r="Q114" i="68" s="1"/>
  <c r="X114" i="68"/>
  <c r="Y114" i="68" s="1"/>
  <c r="AI114" i="68"/>
  <c r="AJ114" i="68" s="1"/>
  <c r="AL114" i="68"/>
  <c r="AE114" i="68" s="1"/>
  <c r="J115" i="68"/>
  <c r="M115" i="68" s="1"/>
  <c r="AP115" i="68"/>
  <c r="AR115" i="68" s="1"/>
  <c r="G115" i="68"/>
  <c r="AG114" i="68"/>
  <c r="AH114" i="68" s="1"/>
  <c r="D115" i="68"/>
  <c r="AM114" i="68"/>
  <c r="AF114" i="68" s="1"/>
  <c r="W114" i="68"/>
  <c r="R114" i="68" s="1"/>
  <c r="AA114" i="68"/>
  <c r="AB114" i="68" s="1"/>
  <c r="K114" i="68" s="1"/>
  <c r="AI129" i="68"/>
  <c r="AJ129" i="68" s="1"/>
  <c r="S129" i="68"/>
  <c r="J129" i="68"/>
  <c r="M129" i="68" s="1"/>
  <c r="B130" i="68"/>
  <c r="AG128" i="68"/>
  <c r="AH128" i="68" s="1"/>
  <c r="X128" i="68"/>
  <c r="Y128" i="68" s="1"/>
  <c r="BA129" i="68"/>
  <c r="AG98" i="68"/>
  <c r="AH98" i="68" s="1"/>
  <c r="BA99" i="68"/>
  <c r="X98" i="68"/>
  <c r="Y98" i="68" s="1"/>
  <c r="AA125" i="68"/>
  <c r="AB125" i="68" s="1"/>
  <c r="K125" i="68" s="1"/>
  <c r="M125" i="68" s="1"/>
  <c r="AP126" i="68"/>
  <c r="AR126" i="68" s="1"/>
  <c r="BA126" i="68"/>
  <c r="G126" i="68"/>
  <c r="AN126" i="68"/>
  <c r="AO126" i="68" s="1"/>
  <c r="AL125" i="68"/>
  <c r="AE125" i="68" s="1"/>
  <c r="AM125" i="68"/>
  <c r="AF125" i="68" s="1"/>
  <c r="AP114" i="68"/>
  <c r="AR114" i="68" s="1"/>
  <c r="AI113" i="68"/>
  <c r="AJ113" i="68" s="1"/>
  <c r="AM113" i="68"/>
  <c r="AF113" i="68" s="1"/>
  <c r="D114" i="68"/>
  <c r="G114" i="68"/>
  <c r="AN114" i="68"/>
  <c r="AO114" i="68" s="1"/>
  <c r="AL113" i="68"/>
  <c r="AE113" i="68" s="1"/>
  <c r="AG113" i="68"/>
  <c r="AH113" i="68" s="1"/>
  <c r="BA114" i="68"/>
  <c r="J114" i="68"/>
  <c r="M114" i="68" s="1"/>
  <c r="B114" i="68"/>
  <c r="W113" i="68"/>
  <c r="R113" i="68" s="1"/>
  <c r="X113" i="68"/>
  <c r="Y113" i="68" s="1"/>
  <c r="AA113" i="68"/>
  <c r="AB113" i="68" s="1"/>
  <c r="K113" i="68" s="1"/>
  <c r="M113" i="68" s="1"/>
  <c r="V113" i="68"/>
  <c r="Q113" i="68" s="1"/>
  <c r="S114" i="68"/>
  <c r="AG129" i="68"/>
  <c r="AH129" i="68" s="1"/>
  <c r="W125" i="68"/>
  <c r="R125" i="68" s="1"/>
  <c r="AA124" i="68"/>
  <c r="AB124" i="68" s="1"/>
  <c r="K124" i="68" s="1"/>
  <c r="M124" i="68" s="1"/>
  <c r="X124" i="68"/>
  <c r="Y124" i="68" s="1"/>
  <c r="AG124" i="68"/>
  <c r="AH124" i="68" s="1"/>
  <c r="AL124" i="68"/>
  <c r="AE124" i="68" s="1"/>
  <c r="AI124" i="68"/>
  <c r="AJ124" i="68" s="1"/>
  <c r="X76" i="68"/>
  <c r="Y76" i="68" s="1"/>
  <c r="J77" i="68"/>
  <c r="V129" i="68"/>
  <c r="Q129" i="68" s="1"/>
  <c r="AM70" i="67"/>
  <c r="AY34" i="41"/>
  <c r="W33" i="41"/>
  <c r="X33" i="41" s="1"/>
  <c r="AE33" i="41"/>
  <c r="AF33" i="41" s="1"/>
  <c r="Y72" i="68"/>
  <c r="AL72" i="68"/>
  <c r="AE72" i="68" s="1"/>
  <c r="V72" i="68"/>
  <c r="Q72" i="68" s="1"/>
  <c r="X72" i="68"/>
  <c r="AC72" i="68"/>
  <c r="AG72" i="68"/>
  <c r="AH72" i="68" s="1"/>
  <c r="W72" i="68"/>
  <c r="R72" i="68" s="1"/>
  <c r="G72" i="68" s="1"/>
  <c r="AA72" i="68"/>
  <c r="AB72" i="68" s="1"/>
  <c r="K72" i="68" s="1"/>
  <c r="AD72" i="68"/>
  <c r="AI72" i="68"/>
  <c r="AJ72" i="68" s="1"/>
  <c r="AM72" i="68"/>
  <c r="AF72" i="68" s="1"/>
  <c r="W79" i="41"/>
  <c r="X79" i="41" s="1"/>
  <c r="AE79" i="41"/>
  <c r="AF79" i="41" s="1"/>
  <c r="AY80" i="41"/>
  <c r="Y31" i="3"/>
  <c r="M32" i="3"/>
  <c r="M33" i="3" s="1"/>
  <c r="M34" i="3" s="1"/>
  <c r="M35" i="3" s="1"/>
  <c r="M36" i="3" s="1"/>
  <c r="I38" i="41"/>
  <c r="S25" i="41"/>
  <c r="W70" i="67"/>
  <c r="R70" i="67" s="1"/>
  <c r="D72" i="67"/>
  <c r="N73" i="67"/>
  <c r="T72" i="67"/>
  <c r="U72" i="67" s="1"/>
  <c r="Z72" i="67"/>
  <c r="AD71" i="67" s="1"/>
  <c r="AO26" i="41"/>
  <c r="AQ26" i="41"/>
  <c r="AS27" i="41" s="1"/>
  <c r="B27" i="57"/>
  <c r="AN27" i="57"/>
  <c r="AP27" i="57" s="1"/>
  <c r="AL27" i="57"/>
  <c r="AM27" i="57" s="1"/>
  <c r="AK115" i="68"/>
  <c r="AC114" i="68"/>
  <c r="AY61" i="41"/>
  <c r="W60" i="41"/>
  <c r="X60" i="41" s="1"/>
  <c r="AE60" i="41"/>
  <c r="AF60" i="41" s="1"/>
  <c r="H25" i="41"/>
  <c r="AO25" i="41"/>
  <c r="AQ25" i="41"/>
  <c r="AS26" i="41" s="1"/>
  <c r="S75" i="57"/>
  <c r="T75" i="57" s="1"/>
  <c r="H75" i="57"/>
  <c r="X70" i="67"/>
  <c r="AA70" i="67"/>
  <c r="AB70" i="67" s="1"/>
  <c r="K70" i="67" s="1"/>
  <c r="K68" i="67" s="1"/>
  <c r="K131" i="67" s="1"/>
  <c r="AD70" i="67"/>
  <c r="Y70" i="67"/>
  <c r="AC70" i="67"/>
  <c r="AL70" i="67"/>
  <c r="AE70" i="67" s="1"/>
  <c r="AG70" i="67"/>
  <c r="AH70" i="67" s="1"/>
  <c r="AI70" i="67"/>
  <c r="AJ70" i="67" s="1"/>
  <c r="O27" i="48"/>
  <c r="O70" i="48"/>
  <c r="O80" i="67"/>
  <c r="X79" i="67" s="1"/>
  <c r="Y79" i="67" s="1"/>
  <c r="O29" i="48"/>
  <c r="O54" i="48"/>
  <c r="A24" i="48"/>
  <c r="O82" i="48"/>
  <c r="AU26" i="48"/>
  <c r="AV26" i="48" s="1"/>
  <c r="O30" i="48"/>
  <c r="O58" i="48"/>
  <c r="O85" i="48"/>
  <c r="O26" i="48"/>
  <c r="O49" i="48"/>
  <c r="O79" i="48"/>
  <c r="O64" i="48"/>
  <c r="M16" i="48"/>
  <c r="O53" i="48"/>
  <c r="O62" i="48"/>
  <c r="O76" i="48"/>
  <c r="X25" i="45"/>
  <c r="O52" i="48"/>
  <c r="O68" i="48"/>
  <c r="O74" i="48"/>
  <c r="O78" i="48"/>
  <c r="O31" i="48"/>
  <c r="A17" i="48"/>
  <c r="P63" i="60"/>
  <c r="P71" i="60"/>
  <c r="O63" i="48"/>
  <c r="O65" i="48"/>
  <c r="O72" i="48"/>
  <c r="O71" i="48"/>
  <c r="O25" i="48"/>
  <c r="O84" i="48"/>
  <c r="O57" i="48"/>
  <c r="O81" i="48"/>
  <c r="O69" i="48"/>
  <c r="O60" i="48"/>
  <c r="O59" i="48"/>
  <c r="O32" i="48"/>
  <c r="P72" i="60"/>
  <c r="O50" i="48"/>
  <c r="O77" i="48"/>
  <c r="O55" i="48"/>
  <c r="O51" i="48"/>
  <c r="M14" i="48"/>
  <c r="N42" i="48" s="1"/>
  <c r="O75" i="48"/>
  <c r="O61" i="48"/>
  <c r="O66" i="48"/>
  <c r="O80" i="48"/>
  <c r="O83" i="48"/>
  <c r="O56" i="48"/>
  <c r="O28" i="48"/>
  <c r="O99" i="67"/>
  <c r="O67" i="48"/>
  <c r="P108" i="60"/>
  <c r="P99" i="60"/>
  <c r="P76" i="60"/>
  <c r="P70" i="60"/>
  <c r="P97" i="60"/>
  <c r="A60" i="60"/>
  <c r="P80" i="60"/>
  <c r="P98" i="60"/>
  <c r="P119" i="60"/>
  <c r="N51" i="60"/>
  <c r="P100" i="60"/>
  <c r="P77" i="60"/>
  <c r="AW62" i="60"/>
  <c r="AX62" i="60" s="1"/>
  <c r="O77" i="46"/>
  <c r="M16" i="46"/>
  <c r="O50" i="46"/>
  <c r="P121" i="60"/>
  <c r="P86" i="60"/>
  <c r="P120" i="60"/>
  <c r="P94" i="60"/>
  <c r="A52" i="60"/>
  <c r="P116" i="60"/>
  <c r="P91" i="60"/>
  <c r="P79" i="60"/>
  <c r="P117" i="60"/>
  <c r="P111" i="60"/>
  <c r="P93" i="60"/>
  <c r="O118" i="67"/>
  <c r="O78" i="67"/>
  <c r="O69" i="46"/>
  <c r="O71" i="46"/>
  <c r="O102" i="67"/>
  <c r="O86" i="67"/>
  <c r="O81" i="67"/>
  <c r="O59" i="46"/>
  <c r="O79" i="46"/>
  <c r="O120" i="67"/>
  <c r="J120" i="67" s="1"/>
  <c r="P62" i="60"/>
  <c r="P83" i="60"/>
  <c r="P110" i="60"/>
  <c r="P69" i="60"/>
  <c r="P107" i="60"/>
  <c r="P114" i="60"/>
  <c r="P73" i="60"/>
  <c r="P90" i="60"/>
  <c r="P115" i="60"/>
  <c r="P109" i="60"/>
  <c r="P61" i="60"/>
  <c r="P87" i="60"/>
  <c r="P96" i="60"/>
  <c r="O88" i="67"/>
  <c r="O72" i="67"/>
  <c r="O52" i="46"/>
  <c r="O57" i="46"/>
  <c r="O84" i="46"/>
  <c r="O105" i="67"/>
  <c r="P113" i="60"/>
  <c r="N49" i="60"/>
  <c r="O61" i="60" s="1"/>
  <c r="P66" i="60"/>
  <c r="P68" i="60"/>
  <c r="P112" i="60"/>
  <c r="P103" i="60"/>
  <c r="P92" i="60"/>
  <c r="P102" i="60"/>
  <c r="P81" i="60"/>
  <c r="P88" i="60"/>
  <c r="P84" i="60"/>
  <c r="P101" i="60"/>
  <c r="P104" i="60"/>
  <c r="P67" i="60"/>
  <c r="P89" i="60"/>
  <c r="O65" i="46"/>
  <c r="P95" i="60"/>
  <c r="P74" i="60"/>
  <c r="AM61" i="60"/>
  <c r="AF61" i="60" s="1"/>
  <c r="AF122" i="60" s="1"/>
  <c r="P105" i="60"/>
  <c r="P75" i="60"/>
  <c r="P85" i="60"/>
  <c r="AI61" i="60"/>
  <c r="AJ61" i="60" s="1"/>
  <c r="P118" i="60"/>
  <c r="P65" i="60"/>
  <c r="P78" i="60"/>
  <c r="P82" i="60"/>
  <c r="P106" i="60"/>
  <c r="O63" i="1"/>
  <c r="V61" i="60"/>
  <c r="Q61" i="60" s="1"/>
  <c r="Y61" i="60"/>
  <c r="AC61" i="60"/>
  <c r="O66" i="46"/>
  <c r="O83" i="46"/>
  <c r="O67" i="46"/>
  <c r="O61" i="46"/>
  <c r="O85" i="46"/>
  <c r="O63" i="46"/>
  <c r="O80" i="46"/>
  <c r="O49" i="46"/>
  <c r="O81" i="46"/>
  <c r="O77" i="49"/>
  <c r="O72" i="46"/>
  <c r="O64" i="46"/>
  <c r="M14" i="46"/>
  <c r="N57" i="46" s="1"/>
  <c r="I57" i="46" s="1"/>
  <c r="O74" i="46"/>
  <c r="O25" i="46"/>
  <c r="O27" i="46"/>
  <c r="O56" i="46"/>
  <c r="A24" i="46"/>
  <c r="O54" i="46"/>
  <c r="AU26" i="46"/>
  <c r="AV26" i="46" s="1"/>
  <c r="O60" i="46"/>
  <c r="O26" i="46"/>
  <c r="O73" i="46"/>
  <c r="O76" i="46"/>
  <c r="O51" i="46"/>
  <c r="O62" i="46"/>
  <c r="O53" i="46"/>
  <c r="O55" i="46"/>
  <c r="O30" i="46"/>
  <c r="O28" i="46"/>
  <c r="O70" i="46"/>
  <c r="O29" i="46"/>
  <c r="O75" i="46"/>
  <c r="O58" i="46"/>
  <c r="O68" i="46"/>
  <c r="A17" i="46"/>
  <c r="O82" i="46"/>
  <c r="AA61" i="60"/>
  <c r="AB61" i="60" s="1"/>
  <c r="K61" i="60" s="1"/>
  <c r="O78" i="1"/>
  <c r="AD61" i="60"/>
  <c r="W61" i="60"/>
  <c r="R61" i="60" s="1"/>
  <c r="G61" i="60" s="1"/>
  <c r="AL61" i="60"/>
  <c r="AL122" i="60" s="1"/>
  <c r="O64" i="1"/>
  <c r="AG61" i="60"/>
  <c r="AH61" i="60" s="1"/>
  <c r="AH122" i="60" s="1"/>
  <c r="O31" i="49"/>
  <c r="Q11" i="53"/>
  <c r="AB25" i="53" s="1"/>
  <c r="O47" i="49"/>
  <c r="AJ25" i="45"/>
  <c r="AC25" i="45" s="1"/>
  <c r="O29" i="1"/>
  <c r="O35" i="49"/>
  <c r="O56" i="49"/>
  <c r="O49" i="49"/>
  <c r="O64" i="49"/>
  <c r="O28" i="45"/>
  <c r="O55" i="49"/>
  <c r="O34" i="49"/>
  <c r="O75" i="49"/>
  <c r="O65" i="49"/>
  <c r="O58" i="49"/>
  <c r="P104" i="59"/>
  <c r="O33" i="49"/>
  <c r="O84" i="1"/>
  <c r="O73" i="1"/>
  <c r="O55" i="1"/>
  <c r="O75" i="1"/>
  <c r="AU27" i="1"/>
  <c r="AV27" i="1" s="1"/>
  <c r="O65" i="1"/>
  <c r="O52" i="1"/>
  <c r="O76" i="1"/>
  <c r="O81" i="1"/>
  <c r="O83" i="1"/>
  <c r="O27" i="1"/>
  <c r="O50" i="1"/>
  <c r="AK25" i="45"/>
  <c r="AD25" i="45" s="1"/>
  <c r="U25" i="45"/>
  <c r="P25" i="45" s="1"/>
  <c r="Z25" i="45"/>
  <c r="AA25" i="45" s="1"/>
  <c r="J25" i="45" s="1"/>
  <c r="V25" i="45"/>
  <c r="Q25" i="45" s="1"/>
  <c r="F25" i="45" s="1"/>
  <c r="O32" i="54"/>
  <c r="AB25" i="45"/>
  <c r="O121" i="67"/>
  <c r="D121" i="67" s="1"/>
  <c r="O114" i="67"/>
  <c r="O53" i="1"/>
  <c r="O59" i="1"/>
  <c r="O30" i="1"/>
  <c r="O56" i="1"/>
  <c r="O68" i="1"/>
  <c r="V62" i="59"/>
  <c r="Q62" i="59" s="1"/>
  <c r="O40" i="49"/>
  <c r="O60" i="49"/>
  <c r="AE25" i="45"/>
  <c r="AF25" i="45" s="1"/>
  <c r="M16" i="49"/>
  <c r="O52" i="49"/>
  <c r="O29" i="54"/>
  <c r="W25" i="54"/>
  <c r="AG25" i="45"/>
  <c r="AH25" i="45" s="1"/>
  <c r="U25" i="3"/>
  <c r="P25" i="3" s="1"/>
  <c r="AL57" i="46"/>
  <c r="AM57" i="46" s="1"/>
  <c r="AQ57" i="46" s="1"/>
  <c r="AS58" i="46" s="1"/>
  <c r="Q11" i="55"/>
  <c r="X25" i="55" s="1"/>
  <c r="AK25" i="3"/>
  <c r="AD25" i="3" s="1"/>
  <c r="G25" i="3" s="1"/>
  <c r="AJ25" i="3"/>
  <c r="AC25" i="3" s="1"/>
  <c r="AB25" i="3"/>
  <c r="V25" i="3"/>
  <c r="Q25" i="3" s="1"/>
  <c r="F25" i="3" s="1"/>
  <c r="AG25" i="3"/>
  <c r="AH25" i="3" s="1"/>
  <c r="K25" i="3" s="1"/>
  <c r="W25" i="3"/>
  <c r="O51" i="45"/>
  <c r="O127" i="67"/>
  <c r="O91" i="67"/>
  <c r="O75" i="67"/>
  <c r="O109" i="67"/>
  <c r="O130" i="67"/>
  <c r="O77" i="67"/>
  <c r="O126" i="67"/>
  <c r="D126" i="67" s="1"/>
  <c r="O98" i="67"/>
  <c r="O122" i="67"/>
  <c r="O73" i="67"/>
  <c r="O84" i="67"/>
  <c r="O83" i="49"/>
  <c r="O63" i="49"/>
  <c r="A24" i="49"/>
  <c r="O45" i="49"/>
  <c r="O68" i="49"/>
  <c r="O28" i="49"/>
  <c r="O66" i="49"/>
  <c r="O41" i="49"/>
  <c r="O119" i="67"/>
  <c r="Z25" i="3"/>
  <c r="AA25" i="3" s="1"/>
  <c r="J25" i="3" s="1"/>
  <c r="O50" i="45"/>
  <c r="O71" i="49"/>
  <c r="O70" i="49"/>
  <c r="O84" i="49"/>
  <c r="O48" i="49"/>
  <c r="O61" i="49"/>
  <c r="O73" i="49"/>
  <c r="O39" i="49"/>
  <c r="P116" i="59"/>
  <c r="O74" i="49"/>
  <c r="O72" i="49"/>
  <c r="O128" i="67"/>
  <c r="D128" i="67" s="1"/>
  <c r="O111" i="67"/>
  <c r="A24" i="45"/>
  <c r="O74" i="45"/>
  <c r="O112" i="67"/>
  <c r="O87" i="67"/>
  <c r="O123" i="67"/>
  <c r="AN123" i="67" s="1"/>
  <c r="AO123" i="67" s="1"/>
  <c r="O74" i="67"/>
  <c r="O108" i="67"/>
  <c r="O90" i="67"/>
  <c r="O97" i="67"/>
  <c r="O89" i="67"/>
  <c r="O125" i="67"/>
  <c r="D125" i="67" s="1"/>
  <c r="O95" i="67"/>
  <c r="O83" i="67"/>
  <c r="O37" i="49"/>
  <c r="O25" i="49"/>
  <c r="O80" i="49"/>
  <c r="O76" i="49"/>
  <c r="O67" i="49"/>
  <c r="O82" i="49"/>
  <c r="O62" i="49"/>
  <c r="O30" i="49"/>
  <c r="O104" i="67"/>
  <c r="O115" i="67"/>
  <c r="O59" i="45"/>
  <c r="O38" i="49"/>
  <c r="O32" i="49"/>
  <c r="O43" i="49"/>
  <c r="O59" i="49"/>
  <c r="O44" i="49"/>
  <c r="AU26" i="49"/>
  <c r="AV26" i="49" s="1"/>
  <c r="O46" i="49"/>
  <c r="P63" i="59"/>
  <c r="O110" i="67"/>
  <c r="AE25" i="48"/>
  <c r="AF25" i="48" s="1"/>
  <c r="X25" i="48"/>
  <c r="AB25" i="48"/>
  <c r="V25" i="48"/>
  <c r="Q25" i="48" s="1"/>
  <c r="F25" i="48" s="1"/>
  <c r="W25" i="48"/>
  <c r="AJ25" i="48"/>
  <c r="AC25" i="48" s="1"/>
  <c r="U25" i="48"/>
  <c r="P25" i="48" s="1"/>
  <c r="AK25" i="48"/>
  <c r="AD25" i="48" s="1"/>
  <c r="Z25" i="48"/>
  <c r="AA25" i="48" s="1"/>
  <c r="J25" i="48" s="1"/>
  <c r="AG25" i="48"/>
  <c r="AH25" i="48" s="1"/>
  <c r="O57" i="45"/>
  <c r="O113" i="67"/>
  <c r="O103" i="67"/>
  <c r="O107" i="67"/>
  <c r="O124" i="67"/>
  <c r="D124" i="67" s="1"/>
  <c r="O70" i="67"/>
  <c r="AW70" i="67" s="1"/>
  <c r="O129" i="67"/>
  <c r="D129" i="67" s="1"/>
  <c r="O71" i="67"/>
  <c r="O85" i="67"/>
  <c r="O96" i="67"/>
  <c r="O116" i="67"/>
  <c r="O101" i="67"/>
  <c r="O36" i="49"/>
  <c r="O51" i="49"/>
  <c r="O42" i="49"/>
  <c r="O53" i="49"/>
  <c r="O29" i="49"/>
  <c r="O79" i="49"/>
  <c r="O50" i="49"/>
  <c r="O81" i="49"/>
  <c r="O79" i="67"/>
  <c r="O92" i="67"/>
  <c r="O26" i="49"/>
  <c r="O27" i="49"/>
  <c r="A17" i="49"/>
  <c r="O85" i="49"/>
  <c r="O54" i="49"/>
  <c r="O78" i="49"/>
  <c r="O69" i="49"/>
  <c r="AW63" i="59"/>
  <c r="AX63" i="59" s="1"/>
  <c r="M14" i="49"/>
  <c r="N62" i="49" s="1"/>
  <c r="I62" i="49" s="1"/>
  <c r="O76" i="67"/>
  <c r="P110" i="59"/>
  <c r="P113" i="59"/>
  <c r="O82" i="45"/>
  <c r="O82" i="3"/>
  <c r="O61" i="45"/>
  <c r="O80" i="45"/>
  <c r="P117" i="59"/>
  <c r="P109" i="59"/>
  <c r="P93" i="59"/>
  <c r="O75" i="45"/>
  <c r="O117" i="67"/>
  <c r="O106" i="67"/>
  <c r="O100" i="67"/>
  <c r="N76" i="53"/>
  <c r="R76" i="53" s="1"/>
  <c r="P115" i="59"/>
  <c r="P62" i="59"/>
  <c r="O53" i="39"/>
  <c r="O29" i="39"/>
  <c r="AK26" i="1"/>
  <c r="AD26" i="1" s="1"/>
  <c r="AG26" i="1"/>
  <c r="AH26" i="1" s="1"/>
  <c r="AJ26" i="1"/>
  <c r="AC26" i="1" s="1"/>
  <c r="O29" i="45"/>
  <c r="O69" i="51"/>
  <c r="P100" i="59"/>
  <c r="O50" i="51"/>
  <c r="O63" i="45"/>
  <c r="O76" i="45"/>
  <c r="O73" i="45"/>
  <c r="O60" i="45"/>
  <c r="O81" i="45"/>
  <c r="O85" i="45"/>
  <c r="O71" i="45"/>
  <c r="O72" i="45"/>
  <c r="O78" i="45"/>
  <c r="O58" i="45"/>
  <c r="P111" i="59"/>
  <c r="P102" i="59"/>
  <c r="P101" i="59"/>
  <c r="P88" i="59"/>
  <c r="N50" i="59"/>
  <c r="O114" i="59" s="1"/>
  <c r="AU26" i="45"/>
  <c r="AV26" i="45" s="1"/>
  <c r="O64" i="45"/>
  <c r="O68" i="45"/>
  <c r="O67" i="45"/>
  <c r="M16" i="1"/>
  <c r="O54" i="1"/>
  <c r="A18" i="1"/>
  <c r="M14" i="45"/>
  <c r="N82" i="45" s="1"/>
  <c r="O61" i="1"/>
  <c r="O52" i="45"/>
  <c r="P98" i="59"/>
  <c r="P122" i="59"/>
  <c r="N52" i="59"/>
  <c r="P114" i="59"/>
  <c r="P86" i="59"/>
  <c r="P95" i="59"/>
  <c r="O72" i="51"/>
  <c r="M16" i="45"/>
  <c r="A25" i="1"/>
  <c r="O79" i="1"/>
  <c r="O82" i="1"/>
  <c r="O66" i="1"/>
  <c r="O70" i="1"/>
  <c r="O71" i="1"/>
  <c r="O77" i="1"/>
  <c r="O58" i="1"/>
  <c r="AA62" i="59"/>
  <c r="AB62" i="59" s="1"/>
  <c r="K62" i="59" s="1"/>
  <c r="O27" i="45"/>
  <c r="O56" i="45"/>
  <c r="O69" i="45"/>
  <c r="O28" i="1"/>
  <c r="P119" i="59"/>
  <c r="P106" i="59"/>
  <c r="P90" i="59"/>
  <c r="P96" i="59"/>
  <c r="A53" i="59"/>
  <c r="A61" i="59"/>
  <c r="P89" i="59"/>
  <c r="P112" i="59"/>
  <c r="P103" i="59"/>
  <c r="P99" i="59"/>
  <c r="P121" i="59"/>
  <c r="O84" i="45"/>
  <c r="A17" i="45"/>
  <c r="O65" i="45"/>
  <c r="O53" i="45"/>
  <c r="O66" i="45"/>
  <c r="O25" i="45"/>
  <c r="O72" i="1"/>
  <c r="O85" i="1"/>
  <c r="O80" i="1"/>
  <c r="O74" i="1"/>
  <c r="O86" i="1"/>
  <c r="O60" i="1"/>
  <c r="O51" i="1"/>
  <c r="O26" i="1"/>
  <c r="O69" i="1"/>
  <c r="O62" i="1"/>
  <c r="O57" i="1"/>
  <c r="AG62" i="59"/>
  <c r="AH62" i="59" s="1"/>
  <c r="AE25" i="3"/>
  <c r="AF25" i="3" s="1"/>
  <c r="O79" i="45"/>
  <c r="O49" i="45"/>
  <c r="O54" i="45"/>
  <c r="O77" i="45"/>
  <c r="P118" i="59"/>
  <c r="P92" i="59"/>
  <c r="P87" i="59"/>
  <c r="P108" i="59"/>
  <c r="P120" i="59"/>
  <c r="P97" i="59"/>
  <c r="P107" i="59"/>
  <c r="P64" i="59"/>
  <c r="P94" i="59"/>
  <c r="P91" i="59"/>
  <c r="O82" i="51"/>
  <c r="AF25" i="54"/>
  <c r="AG25" i="54" s="1"/>
  <c r="AC25" i="54"/>
  <c r="AK25" i="54"/>
  <c r="AD25" i="54" s="1"/>
  <c r="O31" i="54"/>
  <c r="N40" i="53"/>
  <c r="AO40" i="53" s="1"/>
  <c r="AQ40" i="53" s="1"/>
  <c r="AH25" i="54"/>
  <c r="AI25" i="54" s="1"/>
  <c r="M16" i="51"/>
  <c r="O67" i="51"/>
  <c r="V25" i="54"/>
  <c r="Q25" i="54" s="1"/>
  <c r="F25" i="54" s="1"/>
  <c r="AL25" i="54"/>
  <c r="AE25" i="54" s="1"/>
  <c r="X25" i="54"/>
  <c r="O65" i="54"/>
  <c r="O85" i="54"/>
  <c r="N58" i="53"/>
  <c r="Z25" i="54"/>
  <c r="AA25" i="54" s="1"/>
  <c r="J25" i="54" s="1"/>
  <c r="W25" i="46"/>
  <c r="U25" i="54"/>
  <c r="P25" i="54" s="1"/>
  <c r="M14" i="3"/>
  <c r="N62" i="3" s="1"/>
  <c r="W61" i="3" s="1"/>
  <c r="X61" i="3" s="1"/>
  <c r="O71" i="54"/>
  <c r="N38" i="53"/>
  <c r="AO38" i="53" s="1"/>
  <c r="AQ38" i="53" s="1"/>
  <c r="O75" i="3"/>
  <c r="O28" i="39"/>
  <c r="O77" i="39"/>
  <c r="W62" i="59"/>
  <c r="R62" i="59" s="1"/>
  <c r="G62" i="59" s="1"/>
  <c r="X62" i="59"/>
  <c r="O84" i="3"/>
  <c r="O26" i="45"/>
  <c r="O72" i="39"/>
  <c r="O64" i="39"/>
  <c r="AM62" i="59"/>
  <c r="AF62" i="59" s="1"/>
  <c r="Y62" i="59"/>
  <c r="AD62" i="59"/>
  <c r="O28" i="54"/>
  <c r="O69" i="54"/>
  <c r="M16" i="54"/>
  <c r="O48" i="54"/>
  <c r="O83" i="54"/>
  <c r="O47" i="54"/>
  <c r="O35" i="54"/>
  <c r="O38" i="54"/>
  <c r="O77" i="54"/>
  <c r="O39" i="54"/>
  <c r="O62" i="54"/>
  <c r="O56" i="54"/>
  <c r="O79" i="54"/>
  <c r="O80" i="54"/>
  <c r="O60" i="54"/>
  <c r="O50" i="54"/>
  <c r="O42" i="54"/>
  <c r="O70" i="54"/>
  <c r="O33" i="54"/>
  <c r="O45" i="54"/>
  <c r="O34" i="54"/>
  <c r="O74" i="54"/>
  <c r="O25" i="54"/>
  <c r="O66" i="54"/>
  <c r="O67" i="54"/>
  <c r="A17" i="54"/>
  <c r="O30" i="54"/>
  <c r="O51" i="54"/>
  <c r="O55" i="54"/>
  <c r="O84" i="54"/>
  <c r="AV26" i="54"/>
  <c r="AW26" i="54" s="1"/>
  <c r="O59" i="54"/>
  <c r="O49" i="54"/>
  <c r="O37" i="54"/>
  <c r="O72" i="54"/>
  <c r="O68" i="54"/>
  <c r="O46" i="54"/>
  <c r="O63" i="54"/>
  <c r="O58" i="54"/>
  <c r="O82" i="54"/>
  <c r="O44" i="54"/>
  <c r="O78" i="54"/>
  <c r="A24" i="54"/>
  <c r="O73" i="54"/>
  <c r="O81" i="54"/>
  <c r="O75" i="54"/>
  <c r="O40" i="54"/>
  <c r="M14" i="54"/>
  <c r="O61" i="54"/>
  <c r="O43" i="54"/>
  <c r="O27" i="54"/>
  <c r="O57" i="54"/>
  <c r="O36" i="54"/>
  <c r="O76" i="54"/>
  <c r="O41" i="54"/>
  <c r="O26" i="54"/>
  <c r="O53" i="54"/>
  <c r="O52" i="54"/>
  <c r="O54" i="54"/>
  <c r="O27" i="39"/>
  <c r="O78" i="39"/>
  <c r="AL62" i="59"/>
  <c r="AE62" i="59" s="1"/>
  <c r="AC62" i="59"/>
  <c r="U26" i="1"/>
  <c r="Q26" i="1" s="1"/>
  <c r="V26" i="1"/>
  <c r="AK25" i="46"/>
  <c r="AD25" i="46" s="1"/>
  <c r="O53" i="3"/>
  <c r="Z26" i="1"/>
  <c r="AA26" i="1" s="1"/>
  <c r="J26" i="1" s="1"/>
  <c r="N36" i="53"/>
  <c r="AZ36" i="53" s="1"/>
  <c r="N68" i="53"/>
  <c r="N29" i="53"/>
  <c r="AB26" i="1"/>
  <c r="O64" i="3"/>
  <c r="O26" i="3"/>
  <c r="AE26" i="1"/>
  <c r="AF26" i="1" s="1"/>
  <c r="X26" i="1"/>
  <c r="O58" i="3"/>
  <c r="N37" i="53"/>
  <c r="N49" i="53"/>
  <c r="N70" i="53"/>
  <c r="I70" i="53" s="1"/>
  <c r="O65" i="3"/>
  <c r="O67" i="3"/>
  <c r="W26" i="1"/>
  <c r="O31" i="3"/>
  <c r="N35" i="53"/>
  <c r="N48" i="53"/>
  <c r="N72" i="53"/>
  <c r="I72" i="53" s="1"/>
  <c r="O79" i="3"/>
  <c r="N79" i="53"/>
  <c r="N25" i="53"/>
  <c r="N27" i="53"/>
  <c r="N33" i="53"/>
  <c r="O52" i="3"/>
  <c r="O66" i="3"/>
  <c r="A17" i="3"/>
  <c r="O77" i="3"/>
  <c r="O69" i="3"/>
  <c r="O72" i="3"/>
  <c r="N77" i="53"/>
  <c r="N59" i="53"/>
  <c r="R59" i="53" s="1"/>
  <c r="N51" i="53"/>
  <c r="N28" i="53"/>
  <c r="AZ28" i="53" s="1"/>
  <c r="N67" i="53"/>
  <c r="N26" i="53"/>
  <c r="AZ26" i="53" s="1"/>
  <c r="N81" i="53"/>
  <c r="N50" i="53"/>
  <c r="AM50" i="53" s="1"/>
  <c r="AN50" i="53" s="1"/>
  <c r="AR50" i="53" s="1"/>
  <c r="AT51" i="53" s="1"/>
  <c r="N56" i="53"/>
  <c r="R56" i="53" s="1"/>
  <c r="N64" i="53"/>
  <c r="N44" i="53"/>
  <c r="N45" i="53"/>
  <c r="AM45" i="53" s="1"/>
  <c r="AN45" i="53" s="1"/>
  <c r="N55" i="53"/>
  <c r="O78" i="3"/>
  <c r="O34" i="3"/>
  <c r="O61" i="3"/>
  <c r="O63" i="3"/>
  <c r="O29" i="3"/>
  <c r="O71" i="3"/>
  <c r="N42" i="53"/>
  <c r="O70" i="45"/>
  <c r="O83" i="45"/>
  <c r="O55" i="45"/>
  <c r="O35" i="3"/>
  <c r="O30" i="3"/>
  <c r="O50" i="3"/>
  <c r="O80" i="3"/>
  <c r="O74" i="3"/>
  <c r="O57" i="3"/>
  <c r="O68" i="3"/>
  <c r="O60" i="3"/>
  <c r="N75" i="53"/>
  <c r="AO75" i="53" s="1"/>
  <c r="AQ75" i="53" s="1"/>
  <c r="N73" i="53"/>
  <c r="N52" i="53"/>
  <c r="AO52" i="53" s="1"/>
  <c r="AQ52" i="53" s="1"/>
  <c r="N57" i="53"/>
  <c r="AM57" i="53" s="1"/>
  <c r="AN57" i="53" s="1"/>
  <c r="N61" i="53"/>
  <c r="N83" i="53"/>
  <c r="N69" i="53"/>
  <c r="AM69" i="53" s="1"/>
  <c r="AN69" i="53" s="1"/>
  <c r="N63" i="53"/>
  <c r="N43" i="53"/>
  <c r="AO43" i="53" s="1"/>
  <c r="AQ43" i="53" s="1"/>
  <c r="N53" i="53"/>
  <c r="N54" i="53"/>
  <c r="AM54" i="53" s="1"/>
  <c r="AN54" i="53" s="1"/>
  <c r="N47" i="53"/>
  <c r="N78" i="53"/>
  <c r="AO78" i="53" s="1"/>
  <c r="AQ78" i="53" s="1"/>
  <c r="N82" i="53"/>
  <c r="AZ82" i="53" s="1"/>
  <c r="A24" i="3"/>
  <c r="O25" i="3"/>
  <c r="O51" i="3"/>
  <c r="O55" i="3"/>
  <c r="O33" i="3"/>
  <c r="O76" i="3"/>
  <c r="M16" i="3"/>
  <c r="O83" i="3"/>
  <c r="O32" i="3"/>
  <c r="O81" i="3"/>
  <c r="AU26" i="3"/>
  <c r="AV26" i="3" s="1"/>
  <c r="O62" i="3"/>
  <c r="N65" i="53"/>
  <c r="AO65" i="53" s="1"/>
  <c r="AQ65" i="53" s="1"/>
  <c r="N46" i="53"/>
  <c r="AM46" i="53" s="1"/>
  <c r="AN46" i="53" s="1"/>
  <c r="N60" i="53"/>
  <c r="AM60" i="53" s="1"/>
  <c r="AN60" i="53" s="1"/>
  <c r="N31" i="53"/>
  <c r="N71" i="53"/>
  <c r="N84" i="53"/>
  <c r="AM84" i="53" s="1"/>
  <c r="AN84" i="53" s="1"/>
  <c r="AR84" i="53" s="1"/>
  <c r="AT85" i="53" s="1"/>
  <c r="N32" i="53"/>
  <c r="I32" i="53" s="1"/>
  <c r="N80" i="53"/>
  <c r="I80" i="53" s="1"/>
  <c r="N66" i="53"/>
  <c r="AM66" i="53" s="1"/>
  <c r="AN66" i="53" s="1"/>
  <c r="N30" i="53"/>
  <c r="N62" i="53"/>
  <c r="N74" i="53"/>
  <c r="N39" i="53"/>
  <c r="AM39" i="53" s="1"/>
  <c r="AN39" i="53" s="1"/>
  <c r="N85" i="53"/>
  <c r="O28" i="3"/>
  <c r="O59" i="3"/>
  <c r="O54" i="3"/>
  <c r="O49" i="3"/>
  <c r="O27" i="3"/>
  <c r="O70" i="3"/>
  <c r="O85" i="3"/>
  <c r="N41" i="53"/>
  <c r="AB25" i="46"/>
  <c r="AG25" i="46"/>
  <c r="AH25" i="46" s="1"/>
  <c r="V25" i="46"/>
  <c r="Q25" i="46" s="1"/>
  <c r="F25" i="46" s="1"/>
  <c r="Q11" i="52"/>
  <c r="AG25" i="52" s="1"/>
  <c r="AH25" i="52" s="1"/>
  <c r="U25" i="46"/>
  <c r="P25" i="46" s="1"/>
  <c r="AJ25" i="46"/>
  <c r="AC25" i="46" s="1"/>
  <c r="AE25" i="46"/>
  <c r="AF25" i="46" s="1"/>
  <c r="Z25" i="46"/>
  <c r="AA25" i="46" s="1"/>
  <c r="J25" i="46" s="1"/>
  <c r="O79" i="39"/>
  <c r="A17" i="39"/>
  <c r="O51" i="39"/>
  <c r="O25" i="39"/>
  <c r="O56" i="39"/>
  <c r="AU26" i="39"/>
  <c r="AV26" i="39" s="1"/>
  <c r="O58" i="39"/>
  <c r="O81" i="39"/>
  <c r="O59" i="39"/>
  <c r="M14" i="39"/>
  <c r="N71" i="39" s="1"/>
  <c r="O50" i="39"/>
  <c r="M16" i="39"/>
  <c r="A24" i="39"/>
  <c r="O71" i="39"/>
  <c r="O69" i="39"/>
  <c r="O60" i="39"/>
  <c r="O61" i="39"/>
  <c r="O63" i="39"/>
  <c r="O76" i="39"/>
  <c r="O52" i="39"/>
  <c r="O62" i="39"/>
  <c r="O85" i="39"/>
  <c r="O65" i="39"/>
  <c r="O68" i="39"/>
  <c r="O82" i="39"/>
  <c r="O75" i="39"/>
  <c r="O64" i="51"/>
  <c r="O59" i="51"/>
  <c r="O54" i="51"/>
  <c r="O76" i="51"/>
  <c r="O57" i="51"/>
  <c r="O27" i="51"/>
  <c r="M14" i="51"/>
  <c r="N47" i="51" s="1"/>
  <c r="O84" i="51"/>
  <c r="O68" i="51"/>
  <c r="A17" i="51"/>
  <c r="O78" i="51"/>
  <c r="O58" i="51"/>
  <c r="O25" i="51"/>
  <c r="AO34" i="53"/>
  <c r="AQ34" i="53" s="1"/>
  <c r="I34" i="53"/>
  <c r="AM34" i="53"/>
  <c r="AN34" i="53" s="1"/>
  <c r="AZ34" i="53"/>
  <c r="R34" i="53"/>
  <c r="W26" i="26"/>
  <c r="Q26" i="26" s="1"/>
  <c r="F26" i="26" s="1"/>
  <c r="V26" i="26"/>
  <c r="P26" i="26" s="1"/>
  <c r="AO26" i="26"/>
  <c r="AF26" i="26" s="1"/>
  <c r="AB26" i="26"/>
  <c r="AC26" i="26" s="1"/>
  <c r="J26" i="26" s="1"/>
  <c r="AI26" i="26"/>
  <c r="AL26" i="26" s="1"/>
  <c r="K26" i="26" s="1"/>
  <c r="AD26" i="26"/>
  <c r="Z26" i="26"/>
  <c r="AE26" i="26"/>
  <c r="AP26" i="26"/>
  <c r="AG26" i="26" s="1"/>
  <c r="G26" i="26" s="1"/>
  <c r="AH26" i="26"/>
  <c r="AM26" i="26" s="1"/>
  <c r="O96" i="26"/>
  <c r="O27" i="26"/>
  <c r="O72" i="26"/>
  <c r="O67" i="26"/>
  <c r="A17" i="26"/>
  <c r="O63" i="26"/>
  <c r="O98" i="26"/>
  <c r="O62" i="26"/>
  <c r="O61" i="26"/>
  <c r="O101" i="26"/>
  <c r="O65" i="26"/>
  <c r="O85" i="26"/>
  <c r="O29" i="26"/>
  <c r="O91" i="26"/>
  <c r="O71" i="26"/>
  <c r="O92" i="26"/>
  <c r="O57" i="26"/>
  <c r="O73" i="26"/>
  <c r="O86" i="26"/>
  <c r="O56" i="26"/>
  <c r="O100" i="26"/>
  <c r="O76" i="26"/>
  <c r="O93" i="26"/>
  <c r="O54" i="26"/>
  <c r="O77" i="26"/>
  <c r="A25" i="26"/>
  <c r="O68" i="26"/>
  <c r="M14" i="26"/>
  <c r="O80" i="26"/>
  <c r="O81" i="26"/>
  <c r="O97" i="26"/>
  <c r="O64" i="26"/>
  <c r="O83" i="26"/>
  <c r="O59" i="26"/>
  <c r="O79" i="26"/>
  <c r="O66" i="26"/>
  <c r="O87" i="26"/>
  <c r="M16" i="26"/>
  <c r="O89" i="26"/>
  <c r="O69" i="26"/>
  <c r="O28" i="26"/>
  <c r="O84" i="26"/>
  <c r="O95" i="26"/>
  <c r="O94" i="26"/>
  <c r="O70" i="26"/>
  <c r="O75" i="26"/>
  <c r="AZ26" i="26"/>
  <c r="BA26" i="26" s="1"/>
  <c r="O58" i="26"/>
  <c r="O82" i="26"/>
  <c r="O55" i="26"/>
  <c r="O78" i="26"/>
  <c r="O74" i="26"/>
  <c r="O99" i="26"/>
  <c r="O60" i="26"/>
  <c r="O90" i="26"/>
  <c r="O88" i="26"/>
  <c r="Q11" i="39"/>
  <c r="O25" i="52"/>
  <c r="O52" i="52"/>
  <c r="O53" i="52"/>
  <c r="O51" i="52"/>
  <c r="O69" i="52"/>
  <c r="O65" i="52"/>
  <c r="O80" i="52"/>
  <c r="O84" i="52"/>
  <c r="O70" i="52"/>
  <c r="O63" i="52"/>
  <c r="O78" i="52"/>
  <c r="O85" i="52"/>
  <c r="A17" i="52"/>
  <c r="M16" i="52"/>
  <c r="O49" i="52"/>
  <c r="O64" i="52"/>
  <c r="O59" i="52"/>
  <c r="O56" i="52"/>
  <c r="AU26" i="52"/>
  <c r="AV26" i="52" s="1"/>
  <c r="O75" i="52"/>
  <c r="O71" i="52"/>
  <c r="O74" i="52"/>
  <c r="O62" i="52"/>
  <c r="O76" i="52"/>
  <c r="O79" i="52"/>
  <c r="O28" i="52"/>
  <c r="O57" i="52"/>
  <c r="O58" i="52"/>
  <c r="O50" i="52"/>
  <c r="O66" i="52"/>
  <c r="M14" i="52"/>
  <c r="O54" i="52"/>
  <c r="O61" i="52"/>
  <c r="O73" i="52"/>
  <c r="O77" i="52"/>
  <c r="O82" i="52"/>
  <c r="O55" i="52"/>
  <c r="O83" i="52"/>
  <c r="O81" i="52"/>
  <c r="O60" i="52"/>
  <c r="A24" i="52"/>
  <c r="O72" i="52"/>
  <c r="O26" i="52"/>
  <c r="O27" i="52"/>
  <c r="O68" i="52"/>
  <c r="O67" i="52"/>
  <c r="O74" i="39"/>
  <c r="O49" i="39"/>
  <c r="O54" i="39"/>
  <c r="O83" i="39"/>
  <c r="O84" i="39"/>
  <c r="O57" i="39"/>
  <c r="O70" i="39"/>
  <c r="O55" i="39"/>
  <c r="O66" i="39"/>
  <c r="O67" i="39"/>
  <c r="O26" i="39"/>
  <c r="Q47" i="47"/>
  <c r="AH62" i="47" s="1"/>
  <c r="AI62" i="47" s="1"/>
  <c r="W25" i="49"/>
  <c r="V25" i="49"/>
  <c r="Q25" i="49" s="1"/>
  <c r="F25" i="49" s="1"/>
  <c r="AJ25" i="49"/>
  <c r="AC25" i="49" s="1"/>
  <c r="AK25" i="49"/>
  <c r="AD25" i="49" s="1"/>
  <c r="U25" i="49"/>
  <c r="P25" i="49" s="1"/>
  <c r="AG25" i="49"/>
  <c r="AH25" i="49" s="1"/>
  <c r="AB25" i="49"/>
  <c r="AE25" i="49"/>
  <c r="AF25" i="49" s="1"/>
  <c r="X25" i="49"/>
  <c r="Z25" i="49"/>
  <c r="AA25" i="49" s="1"/>
  <c r="J25" i="49" s="1"/>
  <c r="AK25" i="51"/>
  <c r="AD25" i="51" s="1"/>
  <c r="Z25" i="51"/>
  <c r="AA25" i="51" s="1"/>
  <c r="J25" i="51" s="1"/>
  <c r="AB25" i="51"/>
  <c r="AE25" i="51"/>
  <c r="AF25" i="51" s="1"/>
  <c r="X25" i="51"/>
  <c r="AG25" i="51"/>
  <c r="AH25" i="51" s="1"/>
  <c r="V25" i="51"/>
  <c r="Q25" i="51" s="1"/>
  <c r="F25" i="51" s="1"/>
  <c r="U25" i="51"/>
  <c r="P25" i="51" s="1"/>
  <c r="W25" i="51"/>
  <c r="AJ25" i="51"/>
  <c r="AC25" i="51" s="1"/>
  <c r="Q11" i="50"/>
  <c r="O108" i="47"/>
  <c r="O118" i="47"/>
  <c r="O122" i="47"/>
  <c r="O95" i="47"/>
  <c r="O110" i="47"/>
  <c r="O104" i="47"/>
  <c r="O94" i="47"/>
  <c r="O92" i="47"/>
  <c r="O103" i="47"/>
  <c r="O62" i="47"/>
  <c r="O63" i="47"/>
  <c r="O120" i="47"/>
  <c r="O88" i="47"/>
  <c r="O121" i="47"/>
  <c r="O89" i="47"/>
  <c r="O113" i="47"/>
  <c r="O106" i="47"/>
  <c r="O98" i="47"/>
  <c r="O115" i="47"/>
  <c r="O105" i="47"/>
  <c r="O102" i="47"/>
  <c r="O96" i="47"/>
  <c r="O100" i="47"/>
  <c r="AV63" i="47"/>
  <c r="AW63" i="47" s="1"/>
  <c r="O91" i="47"/>
  <c r="O109" i="47"/>
  <c r="O112" i="47"/>
  <c r="O101" i="47"/>
  <c r="A61" i="47"/>
  <c r="O114" i="47"/>
  <c r="M50" i="47"/>
  <c r="O86" i="47"/>
  <c r="O117" i="47"/>
  <c r="M52" i="47"/>
  <c r="O107" i="47"/>
  <c r="O97" i="47"/>
  <c r="O90" i="47"/>
  <c r="O119" i="47"/>
  <c r="O87" i="47"/>
  <c r="O99" i="47"/>
  <c r="O111" i="47"/>
  <c r="O93" i="47"/>
  <c r="O116" i="47"/>
  <c r="A53" i="47"/>
  <c r="O65" i="50"/>
  <c r="O60" i="50"/>
  <c r="O68" i="50"/>
  <c r="O77" i="50"/>
  <c r="M14" i="50"/>
  <c r="O66" i="50"/>
  <c r="M16" i="50"/>
  <c r="O80" i="50"/>
  <c r="O84" i="50"/>
  <c r="A24" i="50"/>
  <c r="O69" i="50"/>
  <c r="O56" i="50"/>
  <c r="A17" i="50"/>
  <c r="O75" i="50"/>
  <c r="O27" i="50"/>
  <c r="O25" i="50"/>
  <c r="O51" i="50"/>
  <c r="AU26" i="50"/>
  <c r="AV26" i="50" s="1"/>
  <c r="O76" i="50"/>
  <c r="O53" i="50"/>
  <c r="O59" i="50"/>
  <c r="O67" i="50"/>
  <c r="O55" i="50"/>
  <c r="O61" i="50"/>
  <c r="O63" i="50"/>
  <c r="O78" i="50"/>
  <c r="O72" i="50"/>
  <c r="O74" i="50"/>
  <c r="O81" i="50"/>
  <c r="O58" i="50"/>
  <c r="O49" i="50"/>
  <c r="O83" i="50"/>
  <c r="O71" i="50"/>
  <c r="O62" i="50"/>
  <c r="O70" i="50"/>
  <c r="O64" i="50"/>
  <c r="O52" i="50"/>
  <c r="O26" i="50"/>
  <c r="O82" i="50"/>
  <c r="O79" i="50"/>
  <c r="O57" i="50"/>
  <c r="O54" i="50"/>
  <c r="O73" i="50"/>
  <c r="O50" i="50"/>
  <c r="O85" i="50"/>
  <c r="N63" i="55"/>
  <c r="N40" i="55"/>
  <c r="N53" i="55"/>
  <c r="N80" i="55"/>
  <c r="N52" i="55"/>
  <c r="N85" i="55"/>
  <c r="N66" i="55"/>
  <c r="N34" i="55"/>
  <c r="N55" i="55"/>
  <c r="N46" i="55"/>
  <c r="N39" i="55"/>
  <c r="N64" i="55"/>
  <c r="N59" i="55"/>
  <c r="N29" i="55"/>
  <c r="Z28" i="55" s="1"/>
  <c r="AA28" i="55" s="1"/>
  <c r="J28" i="55" s="1"/>
  <c r="N70" i="55"/>
  <c r="N57" i="55"/>
  <c r="N26" i="55"/>
  <c r="N54" i="55"/>
  <c r="N33" i="55"/>
  <c r="N38" i="55"/>
  <c r="N71" i="55"/>
  <c r="N83" i="55"/>
  <c r="N45" i="55"/>
  <c r="N61" i="55"/>
  <c r="N79" i="55"/>
  <c r="N28" i="55"/>
  <c r="N72" i="55"/>
  <c r="N84" i="55"/>
  <c r="N31" i="55"/>
  <c r="N82" i="55"/>
  <c r="N56" i="55"/>
  <c r="N60" i="55"/>
  <c r="N50" i="55"/>
  <c r="N65" i="55"/>
  <c r="N69" i="55"/>
  <c r="N58" i="55"/>
  <c r="N41" i="55"/>
  <c r="N76" i="55"/>
  <c r="N68" i="55"/>
  <c r="N32" i="55"/>
  <c r="N67" i="55"/>
  <c r="N43" i="55"/>
  <c r="N42" i="55"/>
  <c r="N30" i="55"/>
  <c r="N77" i="55"/>
  <c r="N25" i="55"/>
  <c r="N27" i="55"/>
  <c r="N37" i="55"/>
  <c r="N35" i="55"/>
  <c r="N75" i="55"/>
  <c r="N81" i="55"/>
  <c r="N62" i="55"/>
  <c r="N78" i="55"/>
  <c r="N51" i="55"/>
  <c r="N36" i="55"/>
  <c r="N44" i="55"/>
  <c r="N73" i="55"/>
  <c r="N74" i="55"/>
  <c r="N47" i="55"/>
  <c r="O75" i="51"/>
  <c r="O63" i="51"/>
  <c r="O55" i="51"/>
  <c r="AU26" i="51"/>
  <c r="AV26" i="51" s="1"/>
  <c r="O83" i="51"/>
  <c r="O51" i="51"/>
  <c r="O66" i="51"/>
  <c r="O79" i="51"/>
  <c r="O71" i="51"/>
  <c r="O65" i="51"/>
  <c r="O74" i="51"/>
  <c r="O81" i="51"/>
  <c r="O77" i="51"/>
  <c r="O73" i="51"/>
  <c r="O85" i="51"/>
  <c r="O62" i="51"/>
  <c r="O56" i="51"/>
  <c r="O49" i="51"/>
  <c r="O60" i="51"/>
  <c r="O70" i="51"/>
  <c r="O61" i="51"/>
  <c r="O53" i="51"/>
  <c r="O80" i="51"/>
  <c r="A24" i="51"/>
  <c r="O52" i="51"/>
  <c r="B93" i="1"/>
  <c r="B88" i="1"/>
  <c r="M5" i="1"/>
  <c r="B10" i="1"/>
  <c r="A93" i="1"/>
  <c r="B8" i="1"/>
  <c r="M14" i="1"/>
  <c r="N70" i="1" s="1"/>
  <c r="Y29" i="52"/>
  <c r="M30" i="52"/>
  <c r="S29" i="52"/>
  <c r="T29" i="52" s="1"/>
  <c r="O29" i="52"/>
  <c r="M31" i="26"/>
  <c r="BF30" i="26"/>
  <c r="S30" i="26"/>
  <c r="T30" i="26" s="1"/>
  <c r="U30" i="26" s="1"/>
  <c r="I30" i="26" s="1"/>
  <c r="AA30" i="26"/>
  <c r="O30" i="26"/>
  <c r="AQ125" i="68"/>
  <c r="AS125" i="68"/>
  <c r="AU126" i="68" s="1"/>
  <c r="AQ72" i="68"/>
  <c r="AS72" i="68"/>
  <c r="AU73" i="68" s="1"/>
  <c r="W72" i="41"/>
  <c r="X72" i="41" s="1"/>
  <c r="AY73" i="41"/>
  <c r="AE72" i="41"/>
  <c r="AF72" i="41" s="1"/>
  <c r="I72" i="41"/>
  <c r="I73" i="41"/>
  <c r="D72" i="41"/>
  <c r="D73" i="41"/>
  <c r="AY40" i="41"/>
  <c r="AE39" i="41"/>
  <c r="AF39" i="41" s="1"/>
  <c r="D39" i="41"/>
  <c r="I39" i="41"/>
  <c r="I40" i="41"/>
  <c r="D40" i="41"/>
  <c r="W39" i="41"/>
  <c r="X39" i="41" s="1"/>
  <c r="W27" i="41"/>
  <c r="AY28" i="41"/>
  <c r="AE27" i="41"/>
  <c r="V27" i="41"/>
  <c r="Q27" i="41" s="1"/>
  <c r="F27" i="41" s="1"/>
  <c r="R28" i="41"/>
  <c r="V28" i="41" s="1"/>
  <c r="Q28" i="41" s="1"/>
  <c r="F28" i="41" s="1"/>
  <c r="U27" i="41"/>
  <c r="AE51" i="41"/>
  <c r="AF51" i="41" s="1"/>
  <c r="AY52" i="41"/>
  <c r="W51" i="41"/>
  <c r="X51" i="41" s="1"/>
  <c r="D52" i="41"/>
  <c r="D51" i="41"/>
  <c r="I51" i="41"/>
  <c r="I52" i="41"/>
  <c r="AY41" i="41"/>
  <c r="AE40" i="41"/>
  <c r="AF40" i="41" s="1"/>
  <c r="W40" i="41"/>
  <c r="X40" i="41" s="1"/>
  <c r="I41" i="41"/>
  <c r="D41" i="41"/>
  <c r="AG89" i="68"/>
  <c r="AH89" i="68" s="1"/>
  <c r="X89" i="68"/>
  <c r="Y89" i="68" s="1"/>
  <c r="BA90" i="68"/>
  <c r="AN123" i="68"/>
  <c r="AO123" i="68" s="1"/>
  <c r="S123" i="68"/>
  <c r="B123" i="68"/>
  <c r="BA123" i="68"/>
  <c r="AM122" i="68"/>
  <c r="AF122" i="68" s="1"/>
  <c r="AL122" i="68"/>
  <c r="AE122" i="68" s="1"/>
  <c r="AI122" i="68"/>
  <c r="AJ122" i="68" s="1"/>
  <c r="AG122" i="68"/>
  <c r="AH122" i="68" s="1"/>
  <c r="B124" i="68"/>
  <c r="AL123" i="68"/>
  <c r="AE123" i="68" s="1"/>
  <c r="W123" i="68"/>
  <c r="R123" i="68" s="1"/>
  <c r="AA122" i="68"/>
  <c r="AB122" i="68" s="1"/>
  <c r="K122" i="68" s="1"/>
  <c r="AA123" i="68"/>
  <c r="AB123" i="68" s="1"/>
  <c r="K123" i="68" s="1"/>
  <c r="AP123" i="68"/>
  <c r="AR123" i="68" s="1"/>
  <c r="W122" i="68"/>
  <c r="R122" i="68" s="1"/>
  <c r="V122" i="68"/>
  <c r="Q122" i="68" s="1"/>
  <c r="X122" i="68"/>
  <c r="Y122" i="68" s="1"/>
  <c r="G123" i="68"/>
  <c r="J123" i="68"/>
  <c r="M123" i="68" s="1"/>
  <c r="AG123" i="68"/>
  <c r="AH123" i="68" s="1"/>
  <c r="AI123" i="68"/>
  <c r="AJ123" i="68" s="1"/>
  <c r="D123" i="68"/>
  <c r="S131" i="68"/>
  <c r="AM130" i="68"/>
  <c r="AF130" i="68" s="1"/>
  <c r="G131" i="68"/>
  <c r="BA131" i="68"/>
  <c r="G132" i="68"/>
  <c r="B132" i="68"/>
  <c r="V130" i="68"/>
  <c r="Q130" i="68" s="1"/>
  <c r="AI130" i="68"/>
  <c r="AJ130" i="68" s="1"/>
  <c r="D131" i="68"/>
  <c r="B131" i="68"/>
  <c r="J131" i="68"/>
  <c r="AG131" i="68"/>
  <c r="AH131" i="68" s="1"/>
  <c r="V131" i="68"/>
  <c r="Q131" i="68" s="1"/>
  <c r="AP131" i="68"/>
  <c r="AR131" i="68" s="1"/>
  <c r="AN131" i="68"/>
  <c r="AO131" i="68" s="1"/>
  <c r="X131" i="68"/>
  <c r="Y131" i="68" s="1"/>
  <c r="W131" i="68"/>
  <c r="R131" i="68" s="1"/>
  <c r="X130" i="68"/>
  <c r="Y130" i="68" s="1"/>
  <c r="AL130" i="68"/>
  <c r="AE130" i="68" s="1"/>
  <c r="W130" i="68"/>
  <c r="R130" i="68" s="1"/>
  <c r="AM131" i="68"/>
  <c r="AF131" i="68" s="1"/>
  <c r="D132" i="68"/>
  <c r="AA130" i="68"/>
  <c r="AB130" i="68" s="1"/>
  <c r="K130" i="68" s="1"/>
  <c r="M130" i="68" s="1"/>
  <c r="AL131" i="68"/>
  <c r="AE131" i="68" s="1"/>
  <c r="AI131" i="68"/>
  <c r="AJ131" i="68" s="1"/>
  <c r="AG130" i="68"/>
  <c r="AH130" i="68" s="1"/>
  <c r="AG103" i="68"/>
  <c r="AH103" i="68" s="1"/>
  <c r="X103" i="68"/>
  <c r="Y103" i="68" s="1"/>
  <c r="J104" i="68"/>
  <c r="BA104" i="68"/>
  <c r="AS113" i="68"/>
  <c r="AU114" i="68" s="1"/>
  <c r="AQ113" i="68"/>
  <c r="AQ130" i="68"/>
  <c r="AS130" i="68"/>
  <c r="AU131" i="68" s="1"/>
  <c r="AK110" i="68"/>
  <c r="AC109" i="68"/>
  <c r="AM123" i="68"/>
  <c r="AF123" i="68" s="1"/>
  <c r="X123" i="68"/>
  <c r="Y123" i="68" s="1"/>
  <c r="AF70" i="67"/>
  <c r="AQ117" i="68"/>
  <c r="I116" i="68"/>
  <c r="T116" i="68"/>
  <c r="U116" i="68" s="1"/>
  <c r="D121" i="68"/>
  <c r="AI120" i="68"/>
  <c r="AJ120" i="68" s="1"/>
  <c r="M32" i="46"/>
  <c r="Y31" i="46"/>
  <c r="O31" i="46"/>
  <c r="I37" i="41"/>
  <c r="T25" i="41"/>
  <c r="I63" i="41"/>
  <c r="D66" i="61"/>
  <c r="C66" i="61"/>
  <c r="E66" i="61"/>
  <c r="AD26" i="41"/>
  <c r="S29" i="55"/>
  <c r="T29" i="55" s="1"/>
  <c r="M30" i="55"/>
  <c r="O29" i="55"/>
  <c r="Y29" i="55"/>
  <c r="Q26" i="41"/>
  <c r="AG26" i="41"/>
  <c r="AH26" i="41" s="1"/>
  <c r="Z26" i="41"/>
  <c r="AA26" i="41" s="1"/>
  <c r="D39" i="61"/>
  <c r="W28" i="41"/>
  <c r="X28" i="41" s="1"/>
  <c r="AE28" i="41"/>
  <c r="AF28" i="41" s="1"/>
  <c r="AY29" i="41"/>
  <c r="AE57" i="41"/>
  <c r="AF57" i="41" s="1"/>
  <c r="AY58" i="41"/>
  <c r="W57" i="41"/>
  <c r="X57" i="41" s="1"/>
  <c r="I58" i="41"/>
  <c r="D58" i="41"/>
  <c r="I57" i="41"/>
  <c r="D57" i="41"/>
  <c r="AE75" i="41"/>
  <c r="AF75" i="41" s="1"/>
  <c r="AY76" i="41"/>
  <c r="W75" i="41"/>
  <c r="X75" i="41" s="1"/>
  <c r="D76" i="41"/>
  <c r="I76" i="41"/>
  <c r="I75" i="41"/>
  <c r="D75" i="41"/>
  <c r="G127" i="68"/>
  <c r="S127" i="68"/>
  <c r="AG126" i="68"/>
  <c r="AH126" i="68" s="1"/>
  <c r="AM127" i="68"/>
  <c r="AF127" i="68" s="1"/>
  <c r="W127" i="68"/>
  <c r="R127" i="68" s="1"/>
  <c r="J127" i="68"/>
  <c r="BA127" i="68"/>
  <c r="B127" i="68"/>
  <c r="AL126" i="68"/>
  <c r="AE126" i="68" s="1"/>
  <c r="AI127" i="68"/>
  <c r="AJ127" i="68" s="1"/>
  <c r="AA127" i="68"/>
  <c r="AB127" i="68" s="1"/>
  <c r="K127" i="68" s="1"/>
  <c r="D128" i="68"/>
  <c r="AM126" i="68"/>
  <c r="AF126" i="68" s="1"/>
  <c r="D127" i="68"/>
  <c r="V127" i="68"/>
  <c r="Q127" i="68" s="1"/>
  <c r="AI126" i="68"/>
  <c r="AJ126" i="68" s="1"/>
  <c r="X126" i="68"/>
  <c r="Y126" i="68" s="1"/>
  <c r="AA126" i="68"/>
  <c r="AB126" i="68" s="1"/>
  <c r="K126" i="68" s="1"/>
  <c r="M126" i="68" s="1"/>
  <c r="W126" i="68"/>
  <c r="R126" i="68" s="1"/>
  <c r="G128" i="68"/>
  <c r="X127" i="68"/>
  <c r="Y127" i="68" s="1"/>
  <c r="V126" i="68"/>
  <c r="Q126" i="68" s="1"/>
  <c r="AN127" i="68"/>
  <c r="AO127" i="68" s="1"/>
  <c r="AP127" i="68"/>
  <c r="AR127" i="68" s="1"/>
  <c r="AL127" i="68"/>
  <c r="AE127" i="68" s="1"/>
  <c r="M65" i="47"/>
  <c r="S64" i="47"/>
  <c r="T64" i="47" s="1"/>
  <c r="Y64" i="47"/>
  <c r="O64" i="47"/>
  <c r="M31" i="39"/>
  <c r="Y30" i="39"/>
  <c r="S30" i="39"/>
  <c r="T30" i="39" s="1"/>
  <c r="O30" i="39"/>
  <c r="AX72" i="68"/>
  <c r="AY72" i="68" s="1"/>
  <c r="U72" i="68"/>
  <c r="J72" i="68" s="1"/>
  <c r="AE43" i="41"/>
  <c r="AF43" i="41" s="1"/>
  <c r="AY44" i="41"/>
  <c r="W43" i="41"/>
  <c r="X43" i="41" s="1"/>
  <c r="D44" i="41"/>
  <c r="D43" i="41"/>
  <c r="I44" i="41"/>
  <c r="I43" i="41"/>
  <c r="W85" i="41"/>
  <c r="X85" i="41" s="1"/>
  <c r="AE85" i="41"/>
  <c r="AF85" i="41" s="1"/>
  <c r="W84" i="41"/>
  <c r="X84" i="41" s="1"/>
  <c r="AY85" i="41"/>
  <c r="B86" i="41"/>
  <c r="AE84" i="41"/>
  <c r="AF84" i="41" s="1"/>
  <c r="D84" i="41"/>
  <c r="D85" i="41"/>
  <c r="I84" i="41"/>
  <c r="I85" i="41"/>
  <c r="AE64" i="41"/>
  <c r="AF64" i="41" s="1"/>
  <c r="W64" i="41"/>
  <c r="X64" i="41" s="1"/>
  <c r="AY65" i="41"/>
  <c r="I64" i="41"/>
  <c r="I65" i="41"/>
  <c r="D65" i="41"/>
  <c r="D64" i="41"/>
  <c r="AE45" i="41"/>
  <c r="AF45" i="41" s="1"/>
  <c r="AY46" i="41"/>
  <c r="W45" i="41"/>
  <c r="X45" i="41" s="1"/>
  <c r="D46" i="41"/>
  <c r="I46" i="41"/>
  <c r="AG84" i="68"/>
  <c r="AH84" i="68" s="1"/>
  <c r="BA85" i="68"/>
  <c r="X84" i="68"/>
  <c r="Y84" i="68" s="1"/>
  <c r="X87" i="68"/>
  <c r="Y87" i="68" s="1"/>
  <c r="BA88" i="68"/>
  <c r="AG87" i="68"/>
  <c r="AH87" i="68" s="1"/>
  <c r="AN122" i="68"/>
  <c r="AO122" i="68" s="1"/>
  <c r="J122" i="68"/>
  <c r="AP122" i="68"/>
  <c r="AR122" i="68" s="1"/>
  <c r="B122" i="68"/>
  <c r="G122" i="68"/>
  <c r="V121" i="68"/>
  <c r="Q121" i="68" s="1"/>
  <c r="AG121" i="68"/>
  <c r="AH121" i="68" s="1"/>
  <c r="W121" i="68"/>
  <c r="R121" i="68" s="1"/>
  <c r="X121" i="68"/>
  <c r="Y121" i="68" s="1"/>
  <c r="BA122" i="68"/>
  <c r="AM121" i="68"/>
  <c r="AF121" i="68" s="1"/>
  <c r="S122" i="68"/>
  <c r="D122" i="68"/>
  <c r="AA121" i="68"/>
  <c r="AB121" i="68" s="1"/>
  <c r="K121" i="68" s="1"/>
  <c r="M121" i="68" s="1"/>
  <c r="AL121" i="68"/>
  <c r="AE121" i="68" s="1"/>
  <c r="AI121" i="68"/>
  <c r="AJ121" i="68" s="1"/>
  <c r="BA86" i="68"/>
  <c r="X85" i="68"/>
  <c r="Y85" i="68" s="1"/>
  <c r="AG85" i="68"/>
  <c r="AH85" i="68" s="1"/>
  <c r="AG127" i="68"/>
  <c r="AH127" i="68" s="1"/>
  <c r="T126" i="68"/>
  <c r="U126" i="68" s="1"/>
  <c r="I126" i="68"/>
  <c r="T117" i="68"/>
  <c r="U117" i="68" s="1"/>
  <c r="I117" i="68"/>
  <c r="AA131" i="68"/>
  <c r="AB131" i="68" s="1"/>
  <c r="K131" i="68" s="1"/>
  <c r="AC129" i="68"/>
  <c r="AK130" i="68"/>
  <c r="M29" i="51"/>
  <c r="S28" i="51"/>
  <c r="T28" i="51" s="1"/>
  <c r="Y28" i="51"/>
  <c r="O28" i="51"/>
  <c r="M75" i="68"/>
  <c r="Z76" i="68"/>
  <c r="I111" i="68"/>
  <c r="T111" i="68"/>
  <c r="U111" i="68" s="1"/>
  <c r="AQ110" i="68"/>
  <c r="AS110" i="68"/>
  <c r="AU111" i="68" s="1"/>
  <c r="G124" i="68"/>
  <c r="T65" i="59"/>
  <c r="U65" i="59" s="1"/>
  <c r="N66" i="59"/>
  <c r="Z65" i="59"/>
  <c r="AD64" i="59" s="1"/>
  <c r="P65" i="59"/>
  <c r="AQ121" i="68"/>
  <c r="AS121" i="68"/>
  <c r="AU122" i="68" s="1"/>
  <c r="M74" i="68"/>
  <c r="S31" i="57"/>
  <c r="T31" i="57" s="1"/>
  <c r="I31" i="57" s="1"/>
  <c r="Y31" i="57"/>
  <c r="O31" i="57"/>
  <c r="M32" i="57"/>
  <c r="M32" i="1"/>
  <c r="Y31" i="1"/>
  <c r="S31" i="1"/>
  <c r="T31" i="1" s="1"/>
  <c r="O31" i="1"/>
  <c r="AC26" i="41"/>
  <c r="AI27" i="41"/>
  <c r="AJ27" i="41" s="1"/>
  <c r="AB26" i="41"/>
  <c r="S33" i="48"/>
  <c r="T33" i="48" s="1"/>
  <c r="Y33" i="48"/>
  <c r="M34" i="48"/>
  <c r="L26" i="41"/>
  <c r="AE76" i="41"/>
  <c r="AF76" i="41" s="1"/>
  <c r="AY77" i="41"/>
  <c r="W76" i="41"/>
  <c r="X76" i="41" s="1"/>
  <c r="D77" i="41"/>
  <c r="I77" i="41"/>
  <c r="AN112" i="68"/>
  <c r="AO112" i="68" s="1"/>
  <c r="D112" i="68"/>
  <c r="X111" i="68"/>
  <c r="Y111" i="68" s="1"/>
  <c r="AM111" i="68"/>
  <c r="AF111" i="68" s="1"/>
  <c r="AP112" i="68"/>
  <c r="AR112" i="68" s="1"/>
  <c r="AG111" i="68"/>
  <c r="AH111" i="68" s="1"/>
  <c r="W112" i="68"/>
  <c r="R112" i="68" s="1"/>
  <c r="J112" i="68"/>
  <c r="AI111" i="68"/>
  <c r="AJ111" i="68" s="1"/>
  <c r="B112" i="68"/>
  <c r="AL111" i="68"/>
  <c r="AE111" i="68" s="1"/>
  <c r="S112" i="68"/>
  <c r="X112" i="68"/>
  <c r="Y112" i="68" s="1"/>
  <c r="B113" i="68"/>
  <c r="W111" i="68"/>
  <c r="R111" i="68" s="1"/>
  <c r="AA111" i="68"/>
  <c r="AB111" i="68" s="1"/>
  <c r="K111" i="68" s="1"/>
  <c r="M111" i="68" s="1"/>
  <c r="D113" i="68"/>
  <c r="G112" i="68"/>
  <c r="AI112" i="68"/>
  <c r="AJ112" i="68" s="1"/>
  <c r="AL112" i="68"/>
  <c r="AE112" i="68" s="1"/>
  <c r="AA112" i="68"/>
  <c r="AB112" i="68" s="1"/>
  <c r="K112" i="68" s="1"/>
  <c r="BA112" i="68"/>
  <c r="AM112" i="68"/>
  <c r="AF112" i="68" s="1"/>
  <c r="AG112" i="68"/>
  <c r="AH112" i="68" s="1"/>
  <c r="V111" i="68"/>
  <c r="Q111" i="68" s="1"/>
  <c r="V112" i="68"/>
  <c r="Q112" i="68" s="1"/>
  <c r="D120" i="68"/>
  <c r="G120" i="68"/>
  <c r="X119" i="68"/>
  <c r="Y119" i="68" s="1"/>
  <c r="AI119" i="68"/>
  <c r="AJ119" i="68" s="1"/>
  <c r="V119" i="68"/>
  <c r="Q119" i="68" s="1"/>
  <c r="S120" i="68"/>
  <c r="AC120" i="68" s="1"/>
  <c r="AN120" i="68"/>
  <c r="AO120" i="68" s="1"/>
  <c r="AP120" i="68"/>
  <c r="AR120" i="68" s="1"/>
  <c r="AM119" i="68"/>
  <c r="AF119" i="68" s="1"/>
  <c r="W119" i="68"/>
  <c r="R119" i="68" s="1"/>
  <c r="B120" i="68"/>
  <c r="AG119" i="68"/>
  <c r="AH119" i="68" s="1"/>
  <c r="J120" i="68"/>
  <c r="AA120" i="68"/>
  <c r="AB120" i="68" s="1"/>
  <c r="K120" i="68" s="1"/>
  <c r="AL120" i="68"/>
  <c r="AE120" i="68" s="1"/>
  <c r="BA120" i="68"/>
  <c r="B121" i="68"/>
  <c r="X120" i="68"/>
  <c r="Y120" i="68" s="1"/>
  <c r="AA119" i="68"/>
  <c r="AB119" i="68" s="1"/>
  <c r="K119" i="68" s="1"/>
  <c r="M119" i="68" s="1"/>
  <c r="AL119" i="68"/>
  <c r="AE119" i="68" s="1"/>
  <c r="BA102" i="68"/>
  <c r="J102" i="68"/>
  <c r="X101" i="68"/>
  <c r="Y101" i="68" s="1"/>
  <c r="AG101" i="68"/>
  <c r="AH101" i="68" s="1"/>
  <c r="AC115" i="68"/>
  <c r="AC116" i="68"/>
  <c r="AK116" i="68"/>
  <c r="AM120" i="68"/>
  <c r="AF120" i="68" s="1"/>
  <c r="W120" i="68"/>
  <c r="R120" i="68" s="1"/>
  <c r="D81" i="41"/>
  <c r="I71" i="41"/>
  <c r="I59" i="41"/>
  <c r="D50" i="41"/>
  <c r="D66" i="41"/>
  <c r="D56" i="41"/>
  <c r="I50" i="41"/>
  <c r="I79" i="41"/>
  <c r="D53" i="41"/>
  <c r="D79" i="41"/>
  <c r="D68" i="41"/>
  <c r="D71" i="41"/>
  <c r="I68" i="41"/>
  <c r="I70" i="41"/>
  <c r="I67" i="41"/>
  <c r="I69" i="41"/>
  <c r="D60" i="41"/>
  <c r="I42" i="41"/>
  <c r="I56" i="41"/>
  <c r="I80" i="41"/>
  <c r="I82" i="41"/>
  <c r="I81" i="41"/>
  <c r="D67" i="41"/>
  <c r="D69" i="41"/>
  <c r="I66" i="41"/>
  <c r="I83" i="41"/>
  <c r="D38" i="41"/>
  <c r="D63" i="41"/>
  <c r="I78" i="41"/>
  <c r="I53" i="41"/>
  <c r="D70" i="41"/>
  <c r="D59" i="41"/>
  <c r="D78" i="41"/>
  <c r="D82" i="41"/>
  <c r="D80" i="41"/>
  <c r="D74" i="41"/>
  <c r="I60" i="41"/>
  <c r="D42" i="41"/>
  <c r="AQ128" i="68"/>
  <c r="AN27" i="41"/>
  <c r="AP27" i="41" s="1"/>
  <c r="AL27" i="41"/>
  <c r="AM27" i="41" s="1"/>
  <c r="O27" i="41"/>
  <c r="M28" i="41"/>
  <c r="Y27" i="41"/>
  <c r="AG27" i="41" s="1"/>
  <c r="AH27" i="41" s="1"/>
  <c r="S27" i="41"/>
  <c r="T27" i="41" s="1"/>
  <c r="B27" i="41"/>
  <c r="AL28" i="41" s="1"/>
  <c r="AM28" i="41" s="1"/>
  <c r="B41" i="61"/>
  <c r="Y28" i="50"/>
  <c r="M29" i="50"/>
  <c r="O28" i="50"/>
  <c r="AR129" i="68"/>
  <c r="AQ129" i="68"/>
  <c r="G113" i="68"/>
  <c r="AK125" i="68"/>
  <c r="AC124" i="68"/>
  <c r="I129" i="68"/>
  <c r="T129" i="68"/>
  <c r="U129" i="68" s="1"/>
  <c r="AH73" i="68"/>
  <c r="W31" i="41"/>
  <c r="X31" i="41" s="1"/>
  <c r="AY32" i="41"/>
  <c r="AE31" i="41"/>
  <c r="AF31" i="41" s="1"/>
  <c r="AY62" i="41"/>
  <c r="W61" i="41"/>
  <c r="X61" i="41" s="1"/>
  <c r="AE61" i="41"/>
  <c r="AF61" i="41" s="1"/>
  <c r="D62" i="41"/>
  <c r="D61" i="41"/>
  <c r="I62" i="41"/>
  <c r="I61" i="41"/>
  <c r="W44" i="41"/>
  <c r="X44" i="41" s="1"/>
  <c r="AY45" i="41"/>
  <c r="AE44" i="41"/>
  <c r="AF44" i="41" s="1"/>
  <c r="D45" i="41"/>
  <c r="I45" i="41"/>
  <c r="W54" i="41"/>
  <c r="X54" i="41" s="1"/>
  <c r="AY55" i="41"/>
  <c r="AE54" i="41"/>
  <c r="AF54" i="41" s="1"/>
  <c r="I54" i="41"/>
  <c r="D54" i="41"/>
  <c r="I55" i="41"/>
  <c r="D55" i="41"/>
  <c r="AG88" i="68"/>
  <c r="AH88" i="68" s="1"/>
  <c r="X88" i="68"/>
  <c r="Y88" i="68" s="1"/>
  <c r="BA89" i="68"/>
  <c r="BA93" i="68"/>
  <c r="X92" i="68"/>
  <c r="Y92" i="68" s="1"/>
  <c r="AG92" i="68"/>
  <c r="AH92" i="68" s="1"/>
  <c r="J118" i="68"/>
  <c r="V117" i="68"/>
  <c r="Q117" i="68" s="1"/>
  <c r="D118" i="68"/>
  <c r="AM118" i="68"/>
  <c r="AF118" i="68" s="1"/>
  <c r="B118" i="68"/>
  <c r="AG117" i="68"/>
  <c r="AH117" i="68" s="1"/>
  <c r="AA118" i="68"/>
  <c r="AB118" i="68" s="1"/>
  <c r="K118" i="68" s="1"/>
  <c r="AL118" i="68"/>
  <c r="AE118" i="68" s="1"/>
  <c r="BA118" i="68"/>
  <c r="AI117" i="68"/>
  <c r="AJ117" i="68" s="1"/>
  <c r="X117" i="68"/>
  <c r="Y117" i="68" s="1"/>
  <c r="AL117" i="68"/>
  <c r="AE117" i="68" s="1"/>
  <c r="B119" i="68"/>
  <c r="W117" i="68"/>
  <c r="R117" i="68" s="1"/>
  <c r="AN118" i="68"/>
  <c r="AO118" i="68" s="1"/>
  <c r="AG118" i="68"/>
  <c r="AH118" i="68" s="1"/>
  <c r="G119" i="68"/>
  <c r="V118" i="68"/>
  <c r="Q118" i="68" s="1"/>
  <c r="AP118" i="68"/>
  <c r="AR118" i="68" s="1"/>
  <c r="X118" i="68"/>
  <c r="Y118" i="68" s="1"/>
  <c r="AI118" i="68"/>
  <c r="AJ118" i="68" s="1"/>
  <c r="D119" i="68"/>
  <c r="G118" i="68"/>
  <c r="AA117" i="68"/>
  <c r="AB117" i="68" s="1"/>
  <c r="K117" i="68" s="1"/>
  <c r="M117" i="68" s="1"/>
  <c r="AM117" i="68"/>
  <c r="AF117" i="68" s="1"/>
  <c r="S118" i="68"/>
  <c r="BA108" i="68"/>
  <c r="AG107" i="68"/>
  <c r="AH107" i="68" s="1"/>
  <c r="AG108" i="68"/>
  <c r="AH108" i="68" s="1"/>
  <c r="X107" i="68"/>
  <c r="Y107" i="68" s="1"/>
  <c r="B109" i="68"/>
  <c r="J107" i="68"/>
  <c r="X108" i="68"/>
  <c r="Y108" i="68" s="1"/>
  <c r="J108" i="68"/>
  <c r="AK126" i="68"/>
  <c r="AC125" i="68"/>
  <c r="AC118" i="68"/>
  <c r="AK119" i="68"/>
  <c r="AQ111" i="68"/>
  <c r="AS111" i="68"/>
  <c r="AU112" i="68" s="1"/>
  <c r="Y74" i="68"/>
  <c r="T125" i="68"/>
  <c r="U125" i="68" s="1"/>
  <c r="I125" i="68"/>
  <c r="D124" i="68"/>
  <c r="M116" i="68"/>
  <c r="AQ116" i="68"/>
  <c r="AS116" i="68"/>
  <c r="AU117" i="68" s="1"/>
  <c r="AK121" i="68"/>
  <c r="AG120" i="68"/>
  <c r="AH120" i="68" s="1"/>
  <c r="G121" i="68"/>
  <c r="M30" i="45"/>
  <c r="AC110" i="68"/>
  <c r="D83" i="41"/>
  <c r="H25" i="57"/>
  <c r="D33" i="57"/>
  <c r="D26" i="57"/>
  <c r="D28" i="57"/>
  <c r="D45" i="57"/>
  <c r="R26" i="57"/>
  <c r="D31" i="57"/>
  <c r="D36" i="57"/>
  <c r="D46" i="57"/>
  <c r="D34" i="57"/>
  <c r="D40" i="57"/>
  <c r="D38" i="57"/>
  <c r="D37" i="57"/>
  <c r="D35" i="57"/>
  <c r="D41" i="57"/>
  <c r="D39" i="57"/>
  <c r="D30" i="57"/>
  <c r="D32" i="57"/>
  <c r="D44" i="57"/>
  <c r="D42" i="57"/>
  <c r="D29" i="57"/>
  <c r="D27" i="57"/>
  <c r="D43" i="57"/>
  <c r="B67" i="61"/>
  <c r="A68" i="61"/>
  <c r="P80" i="68"/>
  <c r="J80" i="68"/>
  <c r="N81" i="68"/>
  <c r="M37" i="3"/>
  <c r="O36" i="3"/>
  <c r="O33" i="48"/>
  <c r="AC113" i="68" l="1"/>
  <c r="AK114" i="68"/>
  <c r="AS114" i="68"/>
  <c r="AU115" i="68" s="1"/>
  <c r="AQ114" i="68"/>
  <c r="I114" i="68"/>
  <c r="T114" i="68"/>
  <c r="U114" i="68" s="1"/>
  <c r="AS126" i="68"/>
  <c r="AU127" i="68" s="1"/>
  <c r="AQ126" i="68"/>
  <c r="I115" i="68"/>
  <c r="T115" i="68"/>
  <c r="U115" i="68" s="1"/>
  <c r="AS115" i="68"/>
  <c r="AU116" i="68" s="1"/>
  <c r="AQ115" i="68"/>
  <c r="AC132" i="68"/>
  <c r="AK132" i="68"/>
  <c r="AQ132" i="68"/>
  <c r="AS132" i="68"/>
  <c r="M112" i="68"/>
  <c r="AC128" i="68"/>
  <c r="AK129" i="68"/>
  <c r="AN74" i="68"/>
  <c r="AO74" i="68" s="1"/>
  <c r="AP74" i="68"/>
  <c r="AR74" i="68" s="1"/>
  <c r="B74" i="68"/>
  <c r="AS124" i="68"/>
  <c r="AU125" i="68" s="1"/>
  <c r="AQ124" i="68"/>
  <c r="AL28" i="57"/>
  <c r="AM28" i="57" s="1"/>
  <c r="AN28" i="57"/>
  <c r="AP28" i="57" s="1"/>
  <c r="B28" i="57"/>
  <c r="M120" i="68"/>
  <c r="U28" i="41"/>
  <c r="P28" i="41" s="1"/>
  <c r="T73" i="67"/>
  <c r="U73" i="67" s="1"/>
  <c r="N74" i="67"/>
  <c r="Z73" i="67"/>
  <c r="AD72" i="67" s="1"/>
  <c r="P73" i="67"/>
  <c r="M118" i="68"/>
  <c r="R29" i="41"/>
  <c r="AO27" i="57"/>
  <c r="AQ27" i="57"/>
  <c r="AS28" i="57" s="1"/>
  <c r="M122" i="68"/>
  <c r="Z29" i="55"/>
  <c r="AA29" i="55" s="1"/>
  <c r="J29" i="55" s="1"/>
  <c r="X116" i="67"/>
  <c r="Y116" i="67" s="1"/>
  <c r="AG79" i="67"/>
  <c r="AH79" i="67" s="1"/>
  <c r="B85" i="53"/>
  <c r="X85" i="67"/>
  <c r="Y85" i="67" s="1"/>
  <c r="J114" i="67"/>
  <c r="J113" i="67"/>
  <c r="J102" i="67"/>
  <c r="J95" i="67"/>
  <c r="AI109" i="67"/>
  <c r="AJ109" i="67" s="1"/>
  <c r="X96" i="67"/>
  <c r="Y96" i="67" s="1"/>
  <c r="AI123" i="67"/>
  <c r="AJ123" i="67" s="1"/>
  <c r="AP122" i="67"/>
  <c r="AR122" i="67" s="1"/>
  <c r="D122" i="67"/>
  <c r="W130" i="67"/>
  <c r="R130" i="67" s="1"/>
  <c r="D130" i="67"/>
  <c r="AN127" i="67"/>
  <c r="AO127" i="67" s="1"/>
  <c r="AS127" i="67" s="1"/>
  <c r="AU128" i="67" s="1"/>
  <c r="D127" i="67"/>
  <c r="AP119" i="67"/>
  <c r="AR119" i="67" s="1"/>
  <c r="D119" i="67"/>
  <c r="S120" i="67"/>
  <c r="AK120" i="67" s="1"/>
  <c r="D120" i="67"/>
  <c r="J96" i="67"/>
  <c r="J123" i="67"/>
  <c r="D123" i="67"/>
  <c r="J105" i="67"/>
  <c r="J99" i="67"/>
  <c r="X81" i="67"/>
  <c r="Y81" i="67" s="1"/>
  <c r="X73" i="67"/>
  <c r="Y73" i="67" s="1"/>
  <c r="AG77" i="67"/>
  <c r="AH77" i="67" s="1"/>
  <c r="AP70" i="67"/>
  <c r="AR70" i="67" s="1"/>
  <c r="AG82" i="67"/>
  <c r="AH82" i="67" s="1"/>
  <c r="AI96" i="67"/>
  <c r="AJ96" i="67" s="1"/>
  <c r="AI71" i="67"/>
  <c r="AJ71" i="67" s="1"/>
  <c r="N70" i="48"/>
  <c r="W69" i="48" s="1"/>
  <c r="X69" i="48" s="1"/>
  <c r="N73" i="48"/>
  <c r="N65" i="48"/>
  <c r="AE64" i="48" s="1"/>
  <c r="AF64" i="48" s="1"/>
  <c r="N50" i="48"/>
  <c r="AE49" i="48" s="1"/>
  <c r="AF49" i="48" s="1"/>
  <c r="N61" i="48"/>
  <c r="W60" i="48" s="1"/>
  <c r="X60" i="48" s="1"/>
  <c r="N62" i="48"/>
  <c r="W61" i="48" s="1"/>
  <c r="X61" i="48" s="1"/>
  <c r="N52" i="48"/>
  <c r="W51" i="48" s="1"/>
  <c r="X51" i="48" s="1"/>
  <c r="N78" i="48"/>
  <c r="N85" i="48"/>
  <c r="V85" i="48" s="1"/>
  <c r="Q85" i="48" s="1"/>
  <c r="N26" i="48"/>
  <c r="AY26" i="48" s="1"/>
  <c r="N39" i="48"/>
  <c r="AY39" i="48" s="1"/>
  <c r="N41" i="48"/>
  <c r="AY41" i="48" s="1"/>
  <c r="N83" i="48"/>
  <c r="AL83" i="48" s="1"/>
  <c r="AM83" i="48" s="1"/>
  <c r="N60" i="48"/>
  <c r="AE59" i="48" s="1"/>
  <c r="AF59" i="48" s="1"/>
  <c r="N34" i="48"/>
  <c r="AE33" i="48" s="1"/>
  <c r="AF33" i="48" s="1"/>
  <c r="N74" i="48"/>
  <c r="N31" i="48"/>
  <c r="AY31" i="48" s="1"/>
  <c r="N72" i="48"/>
  <c r="AE71" i="48" s="1"/>
  <c r="AF71" i="48" s="1"/>
  <c r="N77" i="48"/>
  <c r="AN77" i="48" s="1"/>
  <c r="AP77" i="48" s="1"/>
  <c r="N67" i="48"/>
  <c r="AE66" i="48" s="1"/>
  <c r="AF66" i="48" s="1"/>
  <c r="N33" i="48"/>
  <c r="AE32" i="48" s="1"/>
  <c r="AF32" i="48" s="1"/>
  <c r="N37" i="48"/>
  <c r="AY37" i="48" s="1"/>
  <c r="N59" i="48"/>
  <c r="W58" i="48" s="1"/>
  <c r="X58" i="48" s="1"/>
  <c r="N44" i="48"/>
  <c r="W43" i="48" s="1"/>
  <c r="X43" i="48" s="1"/>
  <c r="N32" i="48"/>
  <c r="AE31" i="48" s="1"/>
  <c r="AF31" i="48" s="1"/>
  <c r="N47" i="48"/>
  <c r="AE46" i="48" s="1"/>
  <c r="AF46" i="48" s="1"/>
  <c r="N81" i="48"/>
  <c r="AL81" i="48" s="1"/>
  <c r="AM81" i="48" s="1"/>
  <c r="N58" i="48"/>
  <c r="N28" i="48"/>
  <c r="W27" i="48" s="1"/>
  <c r="X27" i="48" s="1"/>
  <c r="N30" i="48"/>
  <c r="Z29" i="48" s="1"/>
  <c r="AA29" i="48" s="1"/>
  <c r="J29" i="48" s="1"/>
  <c r="AA96" i="67"/>
  <c r="AB96" i="67" s="1"/>
  <c r="K96" i="67" s="1"/>
  <c r="AN70" i="67"/>
  <c r="AO70" i="67" s="1"/>
  <c r="J118" i="67"/>
  <c r="W123" i="67"/>
  <c r="R123" i="67" s="1"/>
  <c r="V123" i="67"/>
  <c r="Q123" i="67" s="1"/>
  <c r="N82" i="48"/>
  <c r="R82" i="48" s="1"/>
  <c r="N51" i="48"/>
  <c r="N29" i="48"/>
  <c r="AG28" i="48" s="1"/>
  <c r="AH28" i="48" s="1"/>
  <c r="N55" i="48"/>
  <c r="AY55" i="48" s="1"/>
  <c r="N68" i="48"/>
  <c r="AE67" i="48" s="1"/>
  <c r="AF67" i="48" s="1"/>
  <c r="N80" i="48"/>
  <c r="R80" i="48" s="1"/>
  <c r="N63" i="48"/>
  <c r="AY63" i="48" s="1"/>
  <c r="N54" i="48"/>
  <c r="AE53" i="48" s="1"/>
  <c r="AF53" i="48" s="1"/>
  <c r="N75" i="48"/>
  <c r="AL75" i="48" s="1"/>
  <c r="AM75" i="48" s="1"/>
  <c r="N25" i="48"/>
  <c r="AN25" i="48" s="1"/>
  <c r="AP25" i="48" s="1"/>
  <c r="N57" i="48"/>
  <c r="AY57" i="48" s="1"/>
  <c r="N71" i="48"/>
  <c r="AE70" i="48" s="1"/>
  <c r="AF70" i="48" s="1"/>
  <c r="N38" i="48"/>
  <c r="AE37" i="48" s="1"/>
  <c r="AF37" i="48" s="1"/>
  <c r="N40" i="48"/>
  <c r="W39" i="48" s="1"/>
  <c r="X39" i="48" s="1"/>
  <c r="N76" i="48"/>
  <c r="X82" i="67"/>
  <c r="Y82" i="67" s="1"/>
  <c r="AG96" i="67"/>
  <c r="AH96" i="67" s="1"/>
  <c r="S123" i="67"/>
  <c r="AK123" i="67" s="1"/>
  <c r="B70" i="67"/>
  <c r="AN71" i="67" s="1"/>
  <c r="AO71" i="67" s="1"/>
  <c r="AG71" i="67"/>
  <c r="AH71" i="67" s="1"/>
  <c r="AA123" i="67"/>
  <c r="AB123" i="67" s="1"/>
  <c r="K123" i="67" s="1"/>
  <c r="J71" i="67"/>
  <c r="M71" i="67" s="1"/>
  <c r="J97" i="67"/>
  <c r="AP123" i="67"/>
  <c r="AR123" i="67" s="1"/>
  <c r="N69" i="48"/>
  <c r="AY69" i="48" s="1"/>
  <c r="N84" i="48"/>
  <c r="AL84" i="48" s="1"/>
  <c r="AM84" i="48" s="1"/>
  <c r="N56" i="48"/>
  <c r="AE55" i="48" s="1"/>
  <c r="AF55" i="48" s="1"/>
  <c r="N36" i="48"/>
  <c r="AE35" i="48" s="1"/>
  <c r="AF35" i="48" s="1"/>
  <c r="N64" i="48"/>
  <c r="AY64" i="48" s="1"/>
  <c r="N43" i="48"/>
  <c r="W42" i="48" s="1"/>
  <c r="X42" i="48" s="1"/>
  <c r="N79" i="48"/>
  <c r="AN79" i="48" s="1"/>
  <c r="AP79" i="48" s="1"/>
  <c r="N35" i="48"/>
  <c r="AY35" i="48" s="1"/>
  <c r="N53" i="48"/>
  <c r="AY53" i="48" s="1"/>
  <c r="N66" i="48"/>
  <c r="N27" i="48"/>
  <c r="AE26" i="48" s="1"/>
  <c r="N46" i="48"/>
  <c r="AE45" i="48" s="1"/>
  <c r="AF45" i="48" s="1"/>
  <c r="N45" i="48"/>
  <c r="AY45" i="48" s="1"/>
  <c r="X117" i="67"/>
  <c r="Y117" i="67" s="1"/>
  <c r="AI98" i="67"/>
  <c r="AJ98" i="67" s="1"/>
  <c r="AI97" i="67"/>
  <c r="AJ97" i="67" s="1"/>
  <c r="AA109" i="67"/>
  <c r="AB109" i="67" s="1"/>
  <c r="K109" i="67" s="1"/>
  <c r="AI117" i="67"/>
  <c r="AJ117" i="67" s="1"/>
  <c r="AA117" i="67"/>
  <c r="AB117" i="67" s="1"/>
  <c r="K117" i="67" s="1"/>
  <c r="AG98" i="67"/>
  <c r="AH98" i="67" s="1"/>
  <c r="S119" i="67"/>
  <c r="AK119" i="67" s="1"/>
  <c r="AG97" i="67"/>
  <c r="AH97" i="67" s="1"/>
  <c r="AI113" i="67"/>
  <c r="AJ113" i="67" s="1"/>
  <c r="AG117" i="67"/>
  <c r="AH117" i="67" s="1"/>
  <c r="AG118" i="67"/>
  <c r="AH118" i="67" s="1"/>
  <c r="AA98" i="67"/>
  <c r="AB98" i="67" s="1"/>
  <c r="K98" i="67" s="1"/>
  <c r="J119" i="67"/>
  <c r="B119" i="67"/>
  <c r="B61" i="60"/>
  <c r="X97" i="67"/>
  <c r="Y97" i="67" s="1"/>
  <c r="N51" i="46"/>
  <c r="I51" i="46" s="1"/>
  <c r="O62" i="60"/>
  <c r="BA62" i="60" s="1"/>
  <c r="J127" i="67"/>
  <c r="O70" i="60"/>
  <c r="X69" i="60" s="1"/>
  <c r="Y69" i="60" s="1"/>
  <c r="AG73" i="67"/>
  <c r="AH73" i="67" s="1"/>
  <c r="J122" i="67"/>
  <c r="J98" i="67"/>
  <c r="AN130" i="67"/>
  <c r="AO130" i="67" s="1"/>
  <c r="AS130" i="67" s="1"/>
  <c r="J109" i="67"/>
  <c r="AA113" i="67"/>
  <c r="AB113" i="67" s="1"/>
  <c r="K113" i="67" s="1"/>
  <c r="AI118" i="67"/>
  <c r="AJ118" i="67" s="1"/>
  <c r="X118" i="67"/>
  <c r="Y118" i="67" s="1"/>
  <c r="X98" i="67"/>
  <c r="Y98" i="67" s="1"/>
  <c r="AG109" i="67"/>
  <c r="AH109" i="67" s="1"/>
  <c r="AN119" i="67"/>
  <c r="AO119" i="67" s="1"/>
  <c r="AS119" i="67" s="1"/>
  <c r="AU120" i="67" s="1"/>
  <c r="W119" i="67"/>
  <c r="R119" i="67" s="1"/>
  <c r="X83" i="67"/>
  <c r="Y83" i="67" s="1"/>
  <c r="AI120" i="67"/>
  <c r="AJ120" i="67" s="1"/>
  <c r="AA130" i="67"/>
  <c r="AB130" i="67" s="1"/>
  <c r="K130" i="67" s="1"/>
  <c r="O109" i="60"/>
  <c r="BA109" i="60" s="1"/>
  <c r="X122" i="67"/>
  <c r="Y122" i="67" s="1"/>
  <c r="AM122" i="67"/>
  <c r="AF122" i="67" s="1"/>
  <c r="AA97" i="67"/>
  <c r="AB97" i="67" s="1"/>
  <c r="K97" i="67" s="1"/>
  <c r="X113" i="67"/>
  <c r="Y113" i="67" s="1"/>
  <c r="AG113" i="67"/>
  <c r="AH113" i="67" s="1"/>
  <c r="AA118" i="67"/>
  <c r="AB118" i="67" s="1"/>
  <c r="K118" i="67" s="1"/>
  <c r="Z25" i="53"/>
  <c r="AA25" i="53" s="1"/>
  <c r="J25" i="53" s="1"/>
  <c r="O80" i="60"/>
  <c r="X79" i="60" s="1"/>
  <c r="Y79" i="60" s="1"/>
  <c r="O84" i="60"/>
  <c r="BA84" i="60" s="1"/>
  <c r="O74" i="60"/>
  <c r="O110" i="60"/>
  <c r="O88" i="60"/>
  <c r="O87" i="60"/>
  <c r="O100" i="60"/>
  <c r="J100" i="60" s="1"/>
  <c r="O119" i="60"/>
  <c r="O77" i="60"/>
  <c r="BA77" i="60" s="1"/>
  <c r="AP61" i="60"/>
  <c r="AR61" i="60" s="1"/>
  <c r="O71" i="60"/>
  <c r="BA71" i="60" s="1"/>
  <c r="O68" i="60"/>
  <c r="O72" i="60"/>
  <c r="X71" i="60" s="1"/>
  <c r="Y71" i="60" s="1"/>
  <c r="O106" i="60"/>
  <c r="AP106" i="60" s="1"/>
  <c r="AR106" i="60" s="1"/>
  <c r="O97" i="60"/>
  <c r="O69" i="60"/>
  <c r="G123" i="67"/>
  <c r="AN122" i="67"/>
  <c r="AO122" i="67" s="1"/>
  <c r="AS122" i="67" s="1"/>
  <c r="AU123" i="67" s="1"/>
  <c r="AI130" i="67"/>
  <c r="AJ130" i="67" s="1"/>
  <c r="J130" i="67"/>
  <c r="X130" i="67"/>
  <c r="Y130" i="67" s="1"/>
  <c r="S127" i="67"/>
  <c r="AK127" i="67" s="1"/>
  <c r="X80" i="67"/>
  <c r="Y80" i="67" s="1"/>
  <c r="AN61" i="60"/>
  <c r="AO61" i="60" s="1"/>
  <c r="O73" i="60"/>
  <c r="X72" i="60" s="1"/>
  <c r="Y72" i="60" s="1"/>
  <c r="O101" i="60"/>
  <c r="O99" i="60"/>
  <c r="O107" i="60"/>
  <c r="BA107" i="60" s="1"/>
  <c r="O104" i="60"/>
  <c r="O93" i="60"/>
  <c r="O108" i="60"/>
  <c r="O98" i="60"/>
  <c r="BA98" i="60" s="1"/>
  <c r="O105" i="60"/>
  <c r="J105" i="60" s="1"/>
  <c r="O85" i="60"/>
  <c r="O95" i="60"/>
  <c r="O117" i="60"/>
  <c r="AP117" i="60" s="1"/>
  <c r="AR117" i="60" s="1"/>
  <c r="O79" i="60"/>
  <c r="AG78" i="60" s="1"/>
  <c r="AH78" i="60" s="1"/>
  <c r="O89" i="60"/>
  <c r="S89" i="60" s="1"/>
  <c r="AK89" i="60" s="1"/>
  <c r="O64" i="60"/>
  <c r="AG63" i="60" s="1"/>
  <c r="AH63" i="60" s="1"/>
  <c r="AG81" i="67"/>
  <c r="AH81" i="67" s="1"/>
  <c r="V122" i="67"/>
  <c r="Q122" i="67" s="1"/>
  <c r="O120" i="60"/>
  <c r="O115" i="60"/>
  <c r="AN115" i="60" s="1"/>
  <c r="AO115" i="60" s="1"/>
  <c r="AS115" i="60" s="1"/>
  <c r="AU116" i="60" s="1"/>
  <c r="AG88" i="67"/>
  <c r="AH88" i="67" s="1"/>
  <c r="AG122" i="67"/>
  <c r="AH122" i="67" s="1"/>
  <c r="W122" i="67"/>
  <c r="R122" i="67" s="1"/>
  <c r="S122" i="67"/>
  <c r="AK122" i="67" s="1"/>
  <c r="AM130" i="67"/>
  <c r="AF130" i="67" s="1"/>
  <c r="AL130" i="67"/>
  <c r="AE130" i="67" s="1"/>
  <c r="AG130" i="67"/>
  <c r="AH130" i="67" s="1"/>
  <c r="AP127" i="67"/>
  <c r="AR127" i="67" s="1"/>
  <c r="AW61" i="60"/>
  <c r="U61" i="60" s="1"/>
  <c r="J61" i="60" s="1"/>
  <c r="BA61" i="60"/>
  <c r="O91" i="60"/>
  <c r="O86" i="60"/>
  <c r="O102" i="60"/>
  <c r="BA102" i="60" s="1"/>
  <c r="O63" i="60"/>
  <c r="BA63" i="60" s="1"/>
  <c r="O82" i="60"/>
  <c r="AG81" i="60" s="1"/>
  <c r="AH81" i="60" s="1"/>
  <c r="O66" i="60"/>
  <c r="AG65" i="60" s="1"/>
  <c r="AH65" i="60" s="1"/>
  <c r="O112" i="60"/>
  <c r="O65" i="60"/>
  <c r="AI64" i="60" s="1"/>
  <c r="AJ64" i="60" s="1"/>
  <c r="O111" i="60"/>
  <c r="S111" i="60" s="1"/>
  <c r="AK111" i="60" s="1"/>
  <c r="O67" i="60"/>
  <c r="AG66" i="60" s="1"/>
  <c r="AH66" i="60" s="1"/>
  <c r="O96" i="60"/>
  <c r="S96" i="60" s="1"/>
  <c r="AK96" i="60" s="1"/>
  <c r="O81" i="60"/>
  <c r="BA81" i="60" s="1"/>
  <c r="AL122" i="67"/>
  <c r="AE122" i="67" s="1"/>
  <c r="B123" i="67"/>
  <c r="AA122" i="67"/>
  <c r="AB122" i="67" s="1"/>
  <c r="K122" i="67" s="1"/>
  <c r="AI122" i="67"/>
  <c r="AJ122" i="67" s="1"/>
  <c r="AP130" i="67"/>
  <c r="AR130" i="67" s="1"/>
  <c r="S130" i="67"/>
  <c r="AK130" i="67" s="1"/>
  <c r="O92" i="60"/>
  <c r="O113" i="60"/>
  <c r="BA113" i="60" s="1"/>
  <c r="O75" i="60"/>
  <c r="O94" i="60"/>
  <c r="AP94" i="60" s="1"/>
  <c r="AR94" i="60" s="1"/>
  <c r="O76" i="60"/>
  <c r="AG75" i="60" s="1"/>
  <c r="AH75" i="60" s="1"/>
  <c r="O118" i="60"/>
  <c r="J118" i="60" s="1"/>
  <c r="O114" i="60"/>
  <c r="J114" i="60" s="1"/>
  <c r="O90" i="60"/>
  <c r="AN90" i="60" s="1"/>
  <c r="AO90" i="60" s="1"/>
  <c r="AS90" i="60" s="1"/>
  <c r="AU91" i="60" s="1"/>
  <c r="O103" i="60"/>
  <c r="AN103" i="60" s="1"/>
  <c r="AO103" i="60" s="1"/>
  <c r="AS103" i="60" s="1"/>
  <c r="AU104" i="60" s="1"/>
  <c r="O78" i="60"/>
  <c r="O121" i="60"/>
  <c r="AG121" i="60" s="1"/>
  <c r="AH121" i="60" s="1"/>
  <c r="O116" i="60"/>
  <c r="S116" i="60" s="1"/>
  <c r="AK116" i="60" s="1"/>
  <c r="O83" i="60"/>
  <c r="X88" i="67"/>
  <c r="Y88" i="67" s="1"/>
  <c r="AC25" i="53"/>
  <c r="AM122" i="60"/>
  <c r="W25" i="53"/>
  <c r="AH25" i="53"/>
  <c r="AI25" i="53" s="1"/>
  <c r="V125" i="67"/>
  <c r="Q125" i="67" s="1"/>
  <c r="AG89" i="67"/>
  <c r="AH89" i="67" s="1"/>
  <c r="AA71" i="67"/>
  <c r="AB71" i="67" s="1"/>
  <c r="K71" i="67" s="1"/>
  <c r="AP124" i="67"/>
  <c r="AR124" i="67" s="1"/>
  <c r="G124" i="67"/>
  <c r="AG104" i="67"/>
  <c r="AH104" i="67" s="1"/>
  <c r="AG99" i="67"/>
  <c r="AH99" i="67" s="1"/>
  <c r="AN125" i="67"/>
  <c r="AO125" i="67" s="1"/>
  <c r="AS125" i="67" s="1"/>
  <c r="AU126" i="67" s="1"/>
  <c r="V124" i="67"/>
  <c r="Q124" i="67" s="1"/>
  <c r="X112" i="67"/>
  <c r="Y112" i="67" s="1"/>
  <c r="N61" i="51"/>
  <c r="W60" i="51" s="1"/>
  <c r="X60" i="51" s="1"/>
  <c r="X84" i="67"/>
  <c r="Y84" i="67" s="1"/>
  <c r="AG85" i="67"/>
  <c r="AH85" i="67" s="1"/>
  <c r="S124" i="67"/>
  <c r="AN124" i="67"/>
  <c r="AO124" i="67" s="1"/>
  <c r="AS124" i="67" s="1"/>
  <c r="AU125" i="67" s="1"/>
  <c r="B124" i="67"/>
  <c r="AN120" i="67"/>
  <c r="AO120" i="67" s="1"/>
  <c r="AS120" i="67" s="1"/>
  <c r="AU121" i="67" s="1"/>
  <c r="V25" i="53"/>
  <c r="Q25" i="53" s="1"/>
  <c r="F25" i="53" s="1"/>
  <c r="V128" i="67"/>
  <c r="Q128" i="67" s="1"/>
  <c r="J104" i="67"/>
  <c r="V121" i="67"/>
  <c r="Q121" i="67" s="1"/>
  <c r="V129" i="67"/>
  <c r="Q129" i="67" s="1"/>
  <c r="V130" i="67"/>
  <c r="Q130" i="67" s="1"/>
  <c r="V126" i="67"/>
  <c r="Q126" i="67" s="1"/>
  <c r="AG86" i="67"/>
  <c r="AH86" i="67" s="1"/>
  <c r="AG83" i="67"/>
  <c r="AH83" i="67" s="1"/>
  <c r="X74" i="67"/>
  <c r="Y74" i="67" s="1"/>
  <c r="G122" i="67"/>
  <c r="V120" i="67"/>
  <c r="Q120" i="67" s="1"/>
  <c r="AG80" i="67"/>
  <c r="AH80" i="67" s="1"/>
  <c r="AL123" i="67"/>
  <c r="AE123" i="67" s="1"/>
  <c r="X123" i="67"/>
  <c r="Y123" i="67" s="1"/>
  <c r="X115" i="67"/>
  <c r="Y115" i="67" s="1"/>
  <c r="J128" i="67"/>
  <c r="V127" i="67"/>
  <c r="Q127" i="67" s="1"/>
  <c r="AP120" i="67"/>
  <c r="AR120" i="67" s="1"/>
  <c r="V119" i="67"/>
  <c r="Q119" i="67" s="1"/>
  <c r="AG84" i="67"/>
  <c r="AH84" i="67" s="1"/>
  <c r="X77" i="67"/>
  <c r="Y77" i="67" s="1"/>
  <c r="X71" i="67"/>
  <c r="Y71" i="67" s="1"/>
  <c r="AM123" i="67"/>
  <c r="AF123" i="67" s="1"/>
  <c r="AG123" i="67"/>
  <c r="AH123" i="67" s="1"/>
  <c r="J124" i="67"/>
  <c r="B120" i="67"/>
  <c r="AF25" i="53"/>
  <c r="AG25" i="53" s="1"/>
  <c r="AI119" i="67"/>
  <c r="AJ119" i="67" s="1"/>
  <c r="AE61" i="60"/>
  <c r="AE122" i="60" s="1"/>
  <c r="AG25" i="55"/>
  <c r="AH25" i="55" s="1"/>
  <c r="AK25" i="53"/>
  <c r="AD25" i="53" s="1"/>
  <c r="U25" i="53"/>
  <c r="P25" i="53" s="1"/>
  <c r="AL25" i="53"/>
  <c r="AE25" i="53" s="1"/>
  <c r="X25" i="53"/>
  <c r="AZ76" i="53"/>
  <c r="N38" i="46"/>
  <c r="R38" i="46" s="1"/>
  <c r="AI38" i="46" s="1"/>
  <c r="N34" i="46"/>
  <c r="AE33" i="46" s="1"/>
  <c r="AF33" i="46" s="1"/>
  <c r="N45" i="46"/>
  <c r="AL45" i="46" s="1"/>
  <c r="AM45" i="46" s="1"/>
  <c r="AQ45" i="46" s="1"/>
  <c r="AS46" i="46" s="1"/>
  <c r="N33" i="46"/>
  <c r="AY33" i="46" s="1"/>
  <c r="N74" i="46"/>
  <c r="AY74" i="46" s="1"/>
  <c r="AG122" i="60"/>
  <c r="AY57" i="46"/>
  <c r="N53" i="46"/>
  <c r="I53" i="46" s="1"/>
  <c r="N71" i="46"/>
  <c r="AN71" i="46" s="1"/>
  <c r="AP71" i="46" s="1"/>
  <c r="N63" i="46"/>
  <c r="AY63" i="46" s="1"/>
  <c r="N69" i="46"/>
  <c r="R69" i="46" s="1"/>
  <c r="AI69" i="46" s="1"/>
  <c r="N42" i="46"/>
  <c r="N82" i="46"/>
  <c r="AY82" i="46" s="1"/>
  <c r="N56" i="46"/>
  <c r="F57" i="46" s="1"/>
  <c r="N59" i="46"/>
  <c r="AL59" i="46" s="1"/>
  <c r="AM59" i="46" s="1"/>
  <c r="N70" i="46"/>
  <c r="R70" i="46" s="1"/>
  <c r="N40" i="46"/>
  <c r="AY40" i="46" s="1"/>
  <c r="N39" i="46"/>
  <c r="AY39" i="46" s="1"/>
  <c r="R57" i="46"/>
  <c r="AI57" i="46" s="1"/>
  <c r="N76" i="46"/>
  <c r="AY76" i="46" s="1"/>
  <c r="N52" i="46"/>
  <c r="AN52" i="46" s="1"/>
  <c r="AP52" i="46" s="1"/>
  <c r="N73" i="46"/>
  <c r="AN73" i="46" s="1"/>
  <c r="AP73" i="46" s="1"/>
  <c r="N84" i="46"/>
  <c r="R84" i="46" s="1"/>
  <c r="N61" i="46"/>
  <c r="AN61" i="46" s="1"/>
  <c r="AP61" i="46" s="1"/>
  <c r="N37" i="46"/>
  <c r="AY37" i="46" s="1"/>
  <c r="N43" i="46"/>
  <c r="AN43" i="46" s="1"/>
  <c r="AP43" i="46" s="1"/>
  <c r="N62" i="46"/>
  <c r="AN62" i="46" s="1"/>
  <c r="AP62" i="46" s="1"/>
  <c r="N80" i="46"/>
  <c r="AN80" i="46" s="1"/>
  <c r="AP80" i="46" s="1"/>
  <c r="N41" i="46"/>
  <c r="AY41" i="46" s="1"/>
  <c r="N31" i="46"/>
  <c r="N67" i="46"/>
  <c r="AL67" i="46" s="1"/>
  <c r="AM67" i="46" s="1"/>
  <c r="AQ67" i="46" s="1"/>
  <c r="AS68" i="46" s="1"/>
  <c r="N26" i="46"/>
  <c r="AY26" i="46" s="1"/>
  <c r="N25" i="46"/>
  <c r="AN25" i="46" s="1"/>
  <c r="AP25" i="46" s="1"/>
  <c r="N30" i="46"/>
  <c r="W29" i="46" s="1"/>
  <c r="X29" i="46" s="1"/>
  <c r="N68" i="46"/>
  <c r="AL68" i="46" s="1"/>
  <c r="AM68" i="46" s="1"/>
  <c r="AQ68" i="46" s="1"/>
  <c r="AS69" i="46" s="1"/>
  <c r="N75" i="46"/>
  <c r="N72" i="46"/>
  <c r="N35" i="46"/>
  <c r="AE34" i="46" s="1"/>
  <c r="AF34" i="46" s="1"/>
  <c r="N29" i="46"/>
  <c r="W28" i="46" s="1"/>
  <c r="X28" i="46" s="1"/>
  <c r="N81" i="46"/>
  <c r="AN81" i="46" s="1"/>
  <c r="AP81" i="46" s="1"/>
  <c r="N78" i="46"/>
  <c r="N46" i="46"/>
  <c r="AL46" i="46" s="1"/>
  <c r="AM46" i="46" s="1"/>
  <c r="AQ46" i="46" s="1"/>
  <c r="AS47" i="46" s="1"/>
  <c r="N47" i="46"/>
  <c r="AN47" i="46" s="1"/>
  <c r="AP47" i="46" s="1"/>
  <c r="N54" i="46"/>
  <c r="O96" i="59"/>
  <c r="BA96" i="59" s="1"/>
  <c r="N64" i="46"/>
  <c r="R64" i="46" s="1"/>
  <c r="N27" i="46"/>
  <c r="AE26" i="46" s="1"/>
  <c r="AF26" i="46" s="1"/>
  <c r="N44" i="46"/>
  <c r="AL44" i="46" s="1"/>
  <c r="AM44" i="46" s="1"/>
  <c r="AQ44" i="46" s="1"/>
  <c r="AS45" i="46" s="1"/>
  <c r="N55" i="46"/>
  <c r="R55" i="46" s="1"/>
  <c r="AI55" i="46" s="1"/>
  <c r="N50" i="46"/>
  <c r="AY50" i="46" s="1"/>
  <c r="N77" i="46"/>
  <c r="I77" i="46" s="1"/>
  <c r="N65" i="46"/>
  <c r="AN65" i="46" s="1"/>
  <c r="N60" i="46"/>
  <c r="N66" i="46"/>
  <c r="I66" i="46" s="1"/>
  <c r="N28" i="46"/>
  <c r="AG27" i="46" s="1"/>
  <c r="AH27" i="46" s="1"/>
  <c r="AN57" i="46"/>
  <c r="N83" i="46"/>
  <c r="AL83" i="46" s="1"/>
  <c r="AM83" i="46" s="1"/>
  <c r="AQ83" i="46" s="1"/>
  <c r="AS84" i="46" s="1"/>
  <c r="N79" i="46"/>
  <c r="AY79" i="46" s="1"/>
  <c r="N85" i="46"/>
  <c r="R85" i="46" s="1"/>
  <c r="AI85" i="46" s="1"/>
  <c r="N32" i="46"/>
  <c r="W31" i="46" s="1"/>
  <c r="X31" i="46" s="1"/>
  <c r="N36" i="46"/>
  <c r="AE35" i="46" s="1"/>
  <c r="AF35" i="46" s="1"/>
  <c r="N58" i="46"/>
  <c r="U57" i="46" s="1"/>
  <c r="P57" i="46" s="1"/>
  <c r="O70" i="59"/>
  <c r="X69" i="59" s="1"/>
  <c r="Y69" i="59" s="1"/>
  <c r="O122" i="59"/>
  <c r="AM122" i="59" s="1"/>
  <c r="AF122" i="59" s="1"/>
  <c r="O97" i="59"/>
  <c r="X96" i="59" s="1"/>
  <c r="Y96" i="59" s="1"/>
  <c r="O76" i="59"/>
  <c r="BA76" i="59" s="1"/>
  <c r="O80" i="59"/>
  <c r="X79" i="59" s="1"/>
  <c r="Y79" i="59" s="1"/>
  <c r="O64" i="59"/>
  <c r="AG63" i="59" s="1"/>
  <c r="R72" i="53"/>
  <c r="AJ72" i="53" s="1"/>
  <c r="I28" i="55"/>
  <c r="L28" i="55" s="1"/>
  <c r="W27" i="53"/>
  <c r="X27" i="53" s="1"/>
  <c r="O94" i="59"/>
  <c r="X93" i="59" s="1"/>
  <c r="Y93" i="59" s="1"/>
  <c r="O87" i="59"/>
  <c r="BA87" i="59" s="1"/>
  <c r="O72" i="59"/>
  <c r="X71" i="59" s="1"/>
  <c r="Y71" i="59" s="1"/>
  <c r="O93" i="59"/>
  <c r="BA93" i="59" s="1"/>
  <c r="O110" i="59"/>
  <c r="BA110" i="59" s="1"/>
  <c r="O67" i="59"/>
  <c r="X66" i="59" s="1"/>
  <c r="Y66" i="59" s="1"/>
  <c r="O112" i="59"/>
  <c r="J112" i="59" s="1"/>
  <c r="AO45" i="53"/>
  <c r="AQ45" i="53" s="1"/>
  <c r="AF27" i="53"/>
  <c r="AG27" i="53" s="1"/>
  <c r="R45" i="53"/>
  <c r="AJ45" i="53" s="1"/>
  <c r="AM72" i="53"/>
  <c r="AN72" i="53" s="1"/>
  <c r="AR72" i="53" s="1"/>
  <c r="AT73" i="53" s="1"/>
  <c r="N62" i="45"/>
  <c r="AY62" i="45" s="1"/>
  <c r="N64" i="45"/>
  <c r="I64" i="45" s="1"/>
  <c r="AO76" i="53"/>
  <c r="AQ76" i="53" s="1"/>
  <c r="N44" i="45"/>
  <c r="AL44" i="45" s="1"/>
  <c r="AM44" i="45" s="1"/>
  <c r="N77" i="45"/>
  <c r="R77" i="45" s="1"/>
  <c r="AJ25" i="55"/>
  <c r="AC25" i="55" s="1"/>
  <c r="AM76" i="53"/>
  <c r="AN76" i="53" s="1"/>
  <c r="AR76" i="53" s="1"/>
  <c r="AT77" i="53" s="1"/>
  <c r="N28" i="45"/>
  <c r="AY28" i="45" s="1"/>
  <c r="N25" i="45"/>
  <c r="AN25" i="45" s="1"/>
  <c r="AP25" i="45" s="1"/>
  <c r="V25" i="55"/>
  <c r="Q25" i="55" s="1"/>
  <c r="F25" i="55" s="1"/>
  <c r="N78" i="45"/>
  <c r="AN78" i="45" s="1"/>
  <c r="AP78" i="45" s="1"/>
  <c r="N51" i="45"/>
  <c r="I51" i="45" s="1"/>
  <c r="P26" i="1"/>
  <c r="AZ43" i="53"/>
  <c r="N29" i="49"/>
  <c r="Z28" i="49" s="1"/>
  <c r="AA28" i="49" s="1"/>
  <c r="J28" i="49" s="1"/>
  <c r="N48" i="49"/>
  <c r="AE47" i="49" s="1"/>
  <c r="AF47" i="49" s="1"/>
  <c r="W25" i="55"/>
  <c r="AE25" i="55"/>
  <c r="AF25" i="55" s="1"/>
  <c r="AZ45" i="53"/>
  <c r="I76" i="53"/>
  <c r="N69" i="45"/>
  <c r="AL69" i="45" s="1"/>
  <c r="AM69" i="45" s="1"/>
  <c r="N75" i="45"/>
  <c r="R75" i="45" s="1"/>
  <c r="N40" i="45"/>
  <c r="AY40" i="45" s="1"/>
  <c r="N46" i="45"/>
  <c r="AL46" i="45" s="1"/>
  <c r="AM46" i="45" s="1"/>
  <c r="AK25" i="55"/>
  <c r="AD25" i="55" s="1"/>
  <c r="N71" i="51"/>
  <c r="AE70" i="51" s="1"/>
  <c r="AF70" i="51" s="1"/>
  <c r="U25" i="55"/>
  <c r="P25" i="55" s="1"/>
  <c r="AB25" i="55"/>
  <c r="R50" i="53"/>
  <c r="AJ50" i="53" s="1"/>
  <c r="AZ72" i="53"/>
  <c r="N37" i="45"/>
  <c r="N65" i="45"/>
  <c r="Z25" i="55"/>
  <c r="AA25" i="55" s="1"/>
  <c r="J25" i="55" s="1"/>
  <c r="N33" i="51"/>
  <c r="AE32" i="51" s="1"/>
  <c r="AF32" i="51" s="1"/>
  <c r="N69" i="51"/>
  <c r="AE68" i="51" s="1"/>
  <c r="AF68" i="51" s="1"/>
  <c r="N37" i="51"/>
  <c r="AE36" i="51" s="1"/>
  <c r="AF36" i="51" s="1"/>
  <c r="D86" i="53"/>
  <c r="N55" i="49"/>
  <c r="AE54" i="49" s="1"/>
  <c r="AF54" i="49" s="1"/>
  <c r="N67" i="49"/>
  <c r="N42" i="51"/>
  <c r="W41" i="51" s="1"/>
  <c r="X41" i="51" s="1"/>
  <c r="N28" i="51"/>
  <c r="AG27" i="51" s="1"/>
  <c r="AH27" i="51" s="1"/>
  <c r="N30" i="51"/>
  <c r="AY30" i="51" s="1"/>
  <c r="I85" i="53"/>
  <c r="N78" i="51"/>
  <c r="AY78" i="51" s="1"/>
  <c r="N45" i="51"/>
  <c r="W44" i="51" s="1"/>
  <c r="X44" i="51" s="1"/>
  <c r="N63" i="51"/>
  <c r="AE62" i="51" s="1"/>
  <c r="AF62" i="51" s="1"/>
  <c r="N46" i="51"/>
  <c r="AE45" i="51" s="1"/>
  <c r="AF45" i="51" s="1"/>
  <c r="N50" i="51"/>
  <c r="W49" i="51" s="1"/>
  <c r="X49" i="51" s="1"/>
  <c r="N66" i="51"/>
  <c r="N74" i="51"/>
  <c r="W73" i="51" s="1"/>
  <c r="X73" i="51" s="1"/>
  <c r="AM70" i="53"/>
  <c r="AN70" i="53" s="1"/>
  <c r="AR70" i="53" s="1"/>
  <c r="AT71" i="53" s="1"/>
  <c r="AL121" i="67"/>
  <c r="AE121" i="67" s="1"/>
  <c r="AA120" i="67"/>
  <c r="AB120" i="67" s="1"/>
  <c r="K120" i="67" s="1"/>
  <c r="M120" i="67" s="1"/>
  <c r="X120" i="67"/>
  <c r="Y120" i="67" s="1"/>
  <c r="AN121" i="67"/>
  <c r="AO121" i="67" s="1"/>
  <c r="AS121" i="67" s="1"/>
  <c r="AU122" i="67" s="1"/>
  <c r="AG124" i="67"/>
  <c r="AH124" i="67" s="1"/>
  <c r="AM121" i="67"/>
  <c r="AF121" i="67" s="1"/>
  <c r="W121" i="67"/>
  <c r="R121" i="67" s="1"/>
  <c r="W120" i="67"/>
  <c r="R120" i="67" s="1"/>
  <c r="G121" i="67"/>
  <c r="J121" i="67"/>
  <c r="AA121" i="67"/>
  <c r="AB121" i="67" s="1"/>
  <c r="K121" i="67" s="1"/>
  <c r="D76" i="53"/>
  <c r="S76" i="53" s="1"/>
  <c r="T76" i="53" s="1"/>
  <c r="AG121" i="67"/>
  <c r="AH121" i="67" s="1"/>
  <c r="AM120" i="67"/>
  <c r="AF120" i="67" s="1"/>
  <c r="AL120" i="67"/>
  <c r="AE120" i="67" s="1"/>
  <c r="AG120" i="67"/>
  <c r="AH120" i="67" s="1"/>
  <c r="B122" i="67"/>
  <c r="U75" i="53"/>
  <c r="P75" i="53" s="1"/>
  <c r="B76" i="53"/>
  <c r="AP121" i="67"/>
  <c r="AR121" i="67" s="1"/>
  <c r="B121" i="67"/>
  <c r="S121" i="67"/>
  <c r="AI128" i="67"/>
  <c r="AJ128" i="67" s="1"/>
  <c r="AI121" i="67"/>
  <c r="AJ121" i="67" s="1"/>
  <c r="AF85" i="53"/>
  <c r="AG85" i="53" s="1"/>
  <c r="AL119" i="67"/>
  <c r="AE119" i="67" s="1"/>
  <c r="G129" i="67"/>
  <c r="X121" i="67"/>
  <c r="Y121" i="67" s="1"/>
  <c r="AO85" i="53"/>
  <c r="AQ85" i="53" s="1"/>
  <c r="R84" i="53"/>
  <c r="AJ84" i="53" s="1"/>
  <c r="AJ25" i="52"/>
  <c r="AC25" i="52" s="1"/>
  <c r="W84" i="53"/>
  <c r="X84" i="53" s="1"/>
  <c r="AH85" i="53"/>
  <c r="AI85" i="53" s="1"/>
  <c r="AL45" i="53"/>
  <c r="AE45" i="53" s="1"/>
  <c r="D79" i="53"/>
  <c r="S79" i="53" s="1"/>
  <c r="T79" i="53" s="1"/>
  <c r="AA119" i="67"/>
  <c r="AB119" i="67" s="1"/>
  <c r="K119" i="67" s="1"/>
  <c r="G120" i="67"/>
  <c r="B46" i="53"/>
  <c r="AG119" i="67"/>
  <c r="AH119" i="67" s="1"/>
  <c r="X109" i="67"/>
  <c r="Y109" i="67" s="1"/>
  <c r="AI108" i="67"/>
  <c r="AJ108" i="67" s="1"/>
  <c r="I45" i="53"/>
  <c r="U71" i="53"/>
  <c r="P71" i="53" s="1"/>
  <c r="V52" i="53"/>
  <c r="Q52" i="53" s="1"/>
  <c r="AL72" i="53"/>
  <c r="AE72" i="53" s="1"/>
  <c r="AA104" i="67"/>
  <c r="AB104" i="67" s="1"/>
  <c r="K104" i="67" s="1"/>
  <c r="AI104" i="67"/>
  <c r="AJ104" i="67" s="1"/>
  <c r="X104" i="67"/>
  <c r="Y104" i="67" s="1"/>
  <c r="AI112" i="67"/>
  <c r="AJ112" i="67" s="1"/>
  <c r="AL127" i="67"/>
  <c r="AE127" i="67" s="1"/>
  <c r="AI114" i="67"/>
  <c r="AJ114" i="67" s="1"/>
  <c r="AG114" i="67"/>
  <c r="AH114" i="67" s="1"/>
  <c r="J115" i="67"/>
  <c r="X114" i="67"/>
  <c r="Y114" i="67" s="1"/>
  <c r="AA114" i="67"/>
  <c r="AB114" i="67" s="1"/>
  <c r="K114" i="67" s="1"/>
  <c r="S125" i="67"/>
  <c r="AP125" i="67"/>
  <c r="AR125" i="67" s="1"/>
  <c r="B125" i="67"/>
  <c r="G125" i="67"/>
  <c r="AA124" i="67"/>
  <c r="AB124" i="67" s="1"/>
  <c r="K124" i="67" s="1"/>
  <c r="AI124" i="67"/>
  <c r="AJ124" i="67" s="1"/>
  <c r="J125" i="67"/>
  <c r="W124" i="67"/>
  <c r="R124" i="67" s="1"/>
  <c r="AM124" i="67"/>
  <c r="AF124" i="67" s="1"/>
  <c r="AG76" i="67"/>
  <c r="AH76" i="67" s="1"/>
  <c r="X76" i="67"/>
  <c r="Y76" i="67" s="1"/>
  <c r="AL124" i="67"/>
  <c r="AE124" i="67" s="1"/>
  <c r="AL128" i="67"/>
  <c r="AE128" i="67" s="1"/>
  <c r="N44" i="3"/>
  <c r="N70" i="3"/>
  <c r="N75" i="3"/>
  <c r="AY75" i="3" s="1"/>
  <c r="N63" i="45"/>
  <c r="AL63" i="45" s="1"/>
  <c r="AM63" i="45" s="1"/>
  <c r="N81" i="45"/>
  <c r="AY81" i="45" s="1"/>
  <c r="N58" i="45"/>
  <c r="AY58" i="45" s="1"/>
  <c r="N83" i="45"/>
  <c r="V82" i="45" s="1"/>
  <c r="Q82" i="45" s="1"/>
  <c r="N59" i="45"/>
  <c r="N45" i="45"/>
  <c r="N41" i="45"/>
  <c r="N39" i="45"/>
  <c r="N36" i="45"/>
  <c r="N29" i="45"/>
  <c r="N79" i="45"/>
  <c r="N42" i="45"/>
  <c r="N68" i="45"/>
  <c r="AL68" i="45" s="1"/>
  <c r="AM68" i="45" s="1"/>
  <c r="N35" i="45"/>
  <c r="N72" i="45"/>
  <c r="AN72" i="45" s="1"/>
  <c r="AP72" i="45" s="1"/>
  <c r="N60" i="45"/>
  <c r="N38" i="45"/>
  <c r="I38" i="45" s="1"/>
  <c r="N74" i="45"/>
  <c r="N61" i="45"/>
  <c r="N43" i="45"/>
  <c r="AL43" i="45" s="1"/>
  <c r="AM43" i="45" s="1"/>
  <c r="N53" i="45"/>
  <c r="N30" i="45"/>
  <c r="N66" i="45"/>
  <c r="I66" i="45" s="1"/>
  <c r="N32" i="45"/>
  <c r="N31" i="45"/>
  <c r="AY31" i="45" s="1"/>
  <c r="N56" i="45"/>
  <c r="N80" i="45"/>
  <c r="N54" i="45"/>
  <c r="N85" i="45"/>
  <c r="N70" i="45"/>
  <c r="AN70" i="45" s="1"/>
  <c r="AP70" i="45" s="1"/>
  <c r="N26" i="45"/>
  <c r="N67" i="45"/>
  <c r="N84" i="45"/>
  <c r="AL84" i="45" s="1"/>
  <c r="AM84" i="45" s="1"/>
  <c r="N33" i="45"/>
  <c r="W32" i="45" s="1"/>
  <c r="X32" i="45" s="1"/>
  <c r="N73" i="45"/>
  <c r="N50" i="45"/>
  <c r="N76" i="45"/>
  <c r="AL76" i="45" s="1"/>
  <c r="AM76" i="45" s="1"/>
  <c r="N47" i="45"/>
  <c r="I47" i="45" s="1"/>
  <c r="N52" i="45"/>
  <c r="AL52" i="45" s="1"/>
  <c r="AM52" i="45" s="1"/>
  <c r="N57" i="45"/>
  <c r="R57" i="45" s="1"/>
  <c r="N55" i="45"/>
  <c r="AY55" i="45" s="1"/>
  <c r="N71" i="45"/>
  <c r="N27" i="45"/>
  <c r="AG26" i="45" s="1"/>
  <c r="AH26" i="45" s="1"/>
  <c r="N34" i="45"/>
  <c r="AI115" i="67"/>
  <c r="AJ115" i="67" s="1"/>
  <c r="AG115" i="67"/>
  <c r="AH115" i="67" s="1"/>
  <c r="AG116" i="67"/>
  <c r="AH116" i="67" s="1"/>
  <c r="AA116" i="67"/>
  <c r="AB116" i="67" s="1"/>
  <c r="K116" i="67" s="1"/>
  <c r="AG103" i="67"/>
  <c r="AH103" i="67" s="1"/>
  <c r="X103" i="67"/>
  <c r="Y103" i="67" s="1"/>
  <c r="X102" i="67"/>
  <c r="Y102" i="67" s="1"/>
  <c r="AG102" i="67"/>
  <c r="AH102" i="67" s="1"/>
  <c r="J103" i="67"/>
  <c r="AA103" i="67"/>
  <c r="AB103" i="67" s="1"/>
  <c r="K103" i="67" s="1"/>
  <c r="AI102" i="67"/>
  <c r="AJ102" i="67" s="1"/>
  <c r="AI103" i="67"/>
  <c r="AJ103" i="67" s="1"/>
  <c r="AA112" i="67"/>
  <c r="AB112" i="67" s="1"/>
  <c r="K112" i="67" s="1"/>
  <c r="J112" i="67"/>
  <c r="B128" i="67"/>
  <c r="G128" i="67"/>
  <c r="AM127" i="67"/>
  <c r="AF127" i="67" s="1"/>
  <c r="W127" i="67"/>
  <c r="R127" i="67" s="1"/>
  <c r="X127" i="67"/>
  <c r="Y127" i="67" s="1"/>
  <c r="AA127" i="67"/>
  <c r="AB127" i="67" s="1"/>
  <c r="K127" i="67" s="1"/>
  <c r="AA72" i="67"/>
  <c r="AB72" i="67" s="1"/>
  <c r="K72" i="67" s="1"/>
  <c r="AG72" i="67"/>
  <c r="AH72" i="67" s="1"/>
  <c r="J72" i="67"/>
  <c r="M72" i="67" s="1"/>
  <c r="X72" i="67"/>
  <c r="Y72" i="67" s="1"/>
  <c r="X124" i="67"/>
  <c r="Y124" i="67" s="1"/>
  <c r="AI116" i="67"/>
  <c r="AJ116" i="67" s="1"/>
  <c r="AA102" i="67"/>
  <c r="AB102" i="67" s="1"/>
  <c r="K102" i="67" s="1"/>
  <c r="J73" i="67"/>
  <c r="M73" i="67" s="1"/>
  <c r="AA129" i="67"/>
  <c r="AB129" i="67" s="1"/>
  <c r="K129" i="67" s="1"/>
  <c r="AG127" i="67"/>
  <c r="AH127" i="67" s="1"/>
  <c r="AG112" i="67"/>
  <c r="AH112" i="67" s="1"/>
  <c r="N35" i="39"/>
  <c r="W34" i="39" s="1"/>
  <c r="X34" i="39" s="1"/>
  <c r="N70" i="39"/>
  <c r="AY70" i="39" s="1"/>
  <c r="N75" i="39"/>
  <c r="AN75" i="39" s="1"/>
  <c r="AP75" i="39" s="1"/>
  <c r="I48" i="53"/>
  <c r="AO48" i="53"/>
  <c r="AQ48" i="53" s="1"/>
  <c r="R48" i="53"/>
  <c r="AJ48" i="53" s="1"/>
  <c r="R70" i="53"/>
  <c r="AJ70" i="53" s="1"/>
  <c r="AO70" i="53"/>
  <c r="AQ70" i="53" s="1"/>
  <c r="AZ70" i="53"/>
  <c r="B70" i="53"/>
  <c r="U70" i="53"/>
  <c r="P70" i="53" s="1"/>
  <c r="W69" i="53"/>
  <c r="X69" i="53" s="1"/>
  <c r="X91" i="67"/>
  <c r="Y91" i="67" s="1"/>
  <c r="AG91" i="67"/>
  <c r="AH91" i="67" s="1"/>
  <c r="AM128" i="67"/>
  <c r="AF128" i="67" s="1"/>
  <c r="AP129" i="67"/>
  <c r="AR129" i="67" s="1"/>
  <c r="J129" i="67"/>
  <c r="AM129" i="67"/>
  <c r="AF129" i="67" s="1"/>
  <c r="AL129" i="67"/>
  <c r="AE129" i="67" s="1"/>
  <c r="AG129" i="67"/>
  <c r="AH129" i="67" s="1"/>
  <c r="X128" i="67"/>
  <c r="Y128" i="67" s="1"/>
  <c r="AA128" i="67"/>
  <c r="AB128" i="67" s="1"/>
  <c r="K128" i="67" s="1"/>
  <c r="B129" i="67"/>
  <c r="W128" i="67"/>
  <c r="R128" i="67" s="1"/>
  <c r="G130" i="67"/>
  <c r="W129" i="67"/>
  <c r="R129" i="67" s="1"/>
  <c r="AG128" i="67"/>
  <c r="AH128" i="67" s="1"/>
  <c r="AN129" i="67"/>
  <c r="AO129" i="67" s="1"/>
  <c r="AS129" i="67" s="1"/>
  <c r="AU130" i="67" s="1"/>
  <c r="AI129" i="67"/>
  <c r="AJ129" i="67" s="1"/>
  <c r="B130" i="67"/>
  <c r="J108" i="67"/>
  <c r="X108" i="67"/>
  <c r="Y108" i="67" s="1"/>
  <c r="AG108" i="67"/>
  <c r="AH108" i="67" s="1"/>
  <c r="J116" i="67"/>
  <c r="AA115" i="67"/>
  <c r="AB115" i="67" s="1"/>
  <c r="K115" i="67" s="1"/>
  <c r="AI72" i="67"/>
  <c r="AJ72" i="67" s="1"/>
  <c r="B126" i="67"/>
  <c r="X129" i="67"/>
  <c r="Y129" i="67" s="1"/>
  <c r="AA108" i="67"/>
  <c r="AB108" i="67" s="1"/>
  <c r="K108" i="67" s="1"/>
  <c r="AI127" i="67"/>
  <c r="AJ127" i="67" s="1"/>
  <c r="S129" i="67"/>
  <c r="AK129" i="67" s="1"/>
  <c r="F49" i="53"/>
  <c r="F55" i="53"/>
  <c r="AH54" i="53"/>
  <c r="AI54" i="53" s="1"/>
  <c r="AG105" i="67"/>
  <c r="AH105" i="67" s="1"/>
  <c r="X105" i="67"/>
  <c r="Y105" i="67" s="1"/>
  <c r="N84" i="49"/>
  <c r="N37" i="49"/>
  <c r="AY37" i="49" s="1"/>
  <c r="N25" i="49"/>
  <c r="AL25" i="49" s="1"/>
  <c r="AM25" i="49" s="1"/>
  <c r="N38" i="49"/>
  <c r="N49" i="49"/>
  <c r="N82" i="49"/>
  <c r="N39" i="49"/>
  <c r="N35" i="49"/>
  <c r="AY35" i="49" s="1"/>
  <c r="N52" i="49"/>
  <c r="AE51" i="49" s="1"/>
  <c r="AF51" i="49" s="1"/>
  <c r="N73" i="49"/>
  <c r="N59" i="49"/>
  <c r="N34" i="49"/>
  <c r="N46" i="49"/>
  <c r="N27" i="49"/>
  <c r="AE26" i="49" s="1"/>
  <c r="AF26" i="49" s="1"/>
  <c r="N75" i="49"/>
  <c r="N58" i="49"/>
  <c r="AY58" i="49" s="1"/>
  <c r="N43" i="49"/>
  <c r="N57" i="49"/>
  <c r="N31" i="49"/>
  <c r="N40" i="49"/>
  <c r="N30" i="49"/>
  <c r="N80" i="49"/>
  <c r="N28" i="49"/>
  <c r="N74" i="49"/>
  <c r="I74" i="49" s="1"/>
  <c r="N69" i="49"/>
  <c r="I69" i="49" s="1"/>
  <c r="N79" i="49"/>
  <c r="AY79" i="49" s="1"/>
  <c r="N51" i="49"/>
  <c r="AY51" i="49" s="1"/>
  <c r="N61" i="49"/>
  <c r="N64" i="49"/>
  <c r="R64" i="49" s="1"/>
  <c r="N65" i="49"/>
  <c r="N36" i="49"/>
  <c r="W35" i="49" s="1"/>
  <c r="X35" i="49" s="1"/>
  <c r="N50" i="49"/>
  <c r="N85" i="49"/>
  <c r="N54" i="49"/>
  <c r="N76" i="49"/>
  <c r="N78" i="49"/>
  <c r="N81" i="49"/>
  <c r="I81" i="49" s="1"/>
  <c r="N32" i="49"/>
  <c r="N71" i="49"/>
  <c r="N68" i="49"/>
  <c r="N42" i="49"/>
  <c r="N70" i="49"/>
  <c r="N77" i="49"/>
  <c r="N83" i="49"/>
  <c r="N47" i="49"/>
  <c r="X101" i="67"/>
  <c r="Y101" i="67" s="1"/>
  <c r="J101" i="67"/>
  <c r="AG101" i="67"/>
  <c r="AH101" i="67" s="1"/>
  <c r="AG100" i="67"/>
  <c r="AH100" i="67" s="1"/>
  <c r="AA101" i="67"/>
  <c r="AB101" i="67" s="1"/>
  <c r="K101" i="67" s="1"/>
  <c r="AI106" i="67"/>
  <c r="AJ106" i="67" s="1"/>
  <c r="AA106" i="67"/>
  <c r="AB106" i="67" s="1"/>
  <c r="K106" i="67" s="1"/>
  <c r="X106" i="67"/>
  <c r="Y106" i="67" s="1"/>
  <c r="AI107" i="67"/>
  <c r="AJ107" i="67" s="1"/>
  <c r="AG107" i="67"/>
  <c r="AH107" i="67" s="1"/>
  <c r="AG106" i="67"/>
  <c r="AH106" i="67" s="1"/>
  <c r="X107" i="67"/>
  <c r="Y107" i="67" s="1"/>
  <c r="AI95" i="67"/>
  <c r="AJ95" i="67" s="1"/>
  <c r="AA95" i="67"/>
  <c r="AB95" i="67" s="1"/>
  <c r="K95" i="67" s="1"/>
  <c r="X95" i="67"/>
  <c r="Y95" i="67" s="1"/>
  <c r="AG90" i="67"/>
  <c r="AH90" i="67" s="1"/>
  <c r="X89" i="67"/>
  <c r="Y89" i="67" s="1"/>
  <c r="X110" i="67"/>
  <c r="Y110" i="67" s="1"/>
  <c r="AI110" i="67"/>
  <c r="AJ110" i="67" s="1"/>
  <c r="AG110" i="67"/>
  <c r="AH110" i="67" s="1"/>
  <c r="AA110" i="67"/>
  <c r="AB110" i="67" s="1"/>
  <c r="K110" i="67" s="1"/>
  <c r="X111" i="67"/>
  <c r="Y111" i="67" s="1"/>
  <c r="AA111" i="67"/>
  <c r="AB111" i="67" s="1"/>
  <c r="K111" i="67" s="1"/>
  <c r="AM126" i="67"/>
  <c r="AF126" i="67" s="1"/>
  <c r="W126" i="67"/>
  <c r="R126" i="67" s="1"/>
  <c r="AG125" i="67"/>
  <c r="AH125" i="67" s="1"/>
  <c r="AI125" i="67"/>
  <c r="AJ125" i="67" s="1"/>
  <c r="AN126" i="67"/>
  <c r="AO126" i="67" s="1"/>
  <c r="AS126" i="67" s="1"/>
  <c r="AU127" i="67" s="1"/>
  <c r="AG126" i="67"/>
  <c r="AH126" i="67" s="1"/>
  <c r="B127" i="67"/>
  <c r="G126" i="67"/>
  <c r="AP126" i="67"/>
  <c r="AR126" i="67" s="1"/>
  <c r="AM125" i="67"/>
  <c r="AF125" i="67" s="1"/>
  <c r="J126" i="67"/>
  <c r="AA107" i="67"/>
  <c r="AB107" i="67" s="1"/>
  <c r="K107" i="67" s="1"/>
  <c r="J74" i="67"/>
  <c r="M74" i="67" s="1"/>
  <c r="X125" i="67"/>
  <c r="Y125" i="67" s="1"/>
  <c r="X90" i="67"/>
  <c r="Y90" i="67" s="1"/>
  <c r="G127" i="67"/>
  <c r="AL126" i="67"/>
  <c r="AE126" i="67" s="1"/>
  <c r="AI101" i="67"/>
  <c r="AJ101" i="67" s="1"/>
  <c r="AG95" i="67"/>
  <c r="AH95" i="67" s="1"/>
  <c r="AY62" i="49"/>
  <c r="N44" i="49"/>
  <c r="AY44" i="49" s="1"/>
  <c r="N41" i="49"/>
  <c r="AY41" i="49" s="1"/>
  <c r="N66" i="49"/>
  <c r="AN66" i="49" s="1"/>
  <c r="AZ39" i="53"/>
  <c r="AO39" i="53"/>
  <c r="I39" i="53"/>
  <c r="I66" i="53"/>
  <c r="R66" i="53"/>
  <c r="AJ66" i="53" s="1"/>
  <c r="AZ66" i="53"/>
  <c r="AF65" i="53"/>
  <c r="AG65" i="53" s="1"/>
  <c r="V65" i="53"/>
  <c r="Q65" i="53" s="1"/>
  <c r="W65" i="53"/>
  <c r="X65" i="53" s="1"/>
  <c r="AO71" i="53"/>
  <c r="AQ71" i="53" s="1"/>
  <c r="V70" i="53"/>
  <c r="Q70" i="53" s="1"/>
  <c r="AF70" i="53"/>
  <c r="AG70" i="53" s="1"/>
  <c r="AL70" i="53"/>
  <c r="AE70" i="53" s="1"/>
  <c r="D72" i="53"/>
  <c r="S72" i="53" s="1"/>
  <c r="T72" i="53" s="1"/>
  <c r="I71" i="53"/>
  <c r="AH71" i="53"/>
  <c r="AI71" i="53" s="1"/>
  <c r="AL71" i="53"/>
  <c r="AE71" i="53" s="1"/>
  <c r="B71" i="53"/>
  <c r="R71" i="53"/>
  <c r="B72" i="53"/>
  <c r="R65" i="53"/>
  <c r="AJ65" i="53" s="1"/>
  <c r="AZ65" i="53"/>
  <c r="V64" i="53"/>
  <c r="Q64" i="53" s="1"/>
  <c r="AM65" i="53"/>
  <c r="AN65" i="53" s="1"/>
  <c r="AP65" i="53" s="1"/>
  <c r="R69" i="53"/>
  <c r="AJ69" i="53" s="1"/>
  <c r="AZ69" i="53"/>
  <c r="B69" i="53"/>
  <c r="AF68" i="53"/>
  <c r="AG68" i="53" s="1"/>
  <c r="AK68" i="53"/>
  <c r="AD68" i="53" s="1"/>
  <c r="AF69" i="53"/>
  <c r="AG69" i="53" s="1"/>
  <c r="AK51" i="53"/>
  <c r="AD51" i="53" s="1"/>
  <c r="AM52" i="53"/>
  <c r="AN52" i="53" s="1"/>
  <c r="AP52" i="53" s="1"/>
  <c r="I52" i="53"/>
  <c r="B78" i="53"/>
  <c r="V76" i="53"/>
  <c r="Q76" i="53" s="1"/>
  <c r="AG87" i="67"/>
  <c r="AH87" i="67" s="1"/>
  <c r="X86" i="67"/>
  <c r="Y86" i="67" s="1"/>
  <c r="AI111" i="67"/>
  <c r="AJ111" i="67" s="1"/>
  <c r="S126" i="67"/>
  <c r="AL125" i="67"/>
  <c r="AE125" i="67" s="1"/>
  <c r="AI126" i="67"/>
  <c r="AJ126" i="67" s="1"/>
  <c r="X126" i="67"/>
  <c r="Y126" i="67" s="1"/>
  <c r="J107" i="67"/>
  <c r="X87" i="67"/>
  <c r="Y87" i="67" s="1"/>
  <c r="AA105" i="67"/>
  <c r="AB105" i="67" s="1"/>
  <c r="K105" i="67" s="1"/>
  <c r="N33" i="49"/>
  <c r="N60" i="49"/>
  <c r="AE59" i="49" s="1"/>
  <c r="AF59" i="49" s="1"/>
  <c r="N63" i="49"/>
  <c r="N45" i="49"/>
  <c r="AG111" i="67"/>
  <c r="AH111" i="67" s="1"/>
  <c r="W125" i="67"/>
  <c r="R125" i="67" s="1"/>
  <c r="AA125" i="67"/>
  <c r="AB125" i="67" s="1"/>
  <c r="K125" i="67" s="1"/>
  <c r="AG74" i="67"/>
  <c r="AH74" i="67" s="1"/>
  <c r="AA126" i="67"/>
  <c r="AB126" i="67" s="1"/>
  <c r="K126" i="67" s="1"/>
  <c r="N72" i="49"/>
  <c r="AK25" i="52"/>
  <c r="AD25" i="52" s="1"/>
  <c r="Z25" i="52"/>
  <c r="AA25" i="52" s="1"/>
  <c r="J25" i="52" s="1"/>
  <c r="V25" i="52"/>
  <c r="Q25" i="52" s="1"/>
  <c r="F25" i="52" s="1"/>
  <c r="W25" i="52"/>
  <c r="X25" i="52"/>
  <c r="U25" i="52"/>
  <c r="P25" i="52" s="1"/>
  <c r="AE25" i="52"/>
  <c r="AF25" i="52" s="1"/>
  <c r="AB25" i="52"/>
  <c r="N56" i="49"/>
  <c r="N26" i="49"/>
  <c r="AY26" i="49" s="1"/>
  <c r="N53" i="49"/>
  <c r="W52" i="49" s="1"/>
  <c r="X52" i="49" s="1"/>
  <c r="J111" i="67"/>
  <c r="W49" i="53"/>
  <c r="X49" i="53" s="1"/>
  <c r="B86" i="53"/>
  <c r="R85" i="53"/>
  <c r="AJ85" i="53" s="1"/>
  <c r="U85" i="53"/>
  <c r="P85" i="53" s="1"/>
  <c r="AZ46" i="53"/>
  <c r="AM119" i="67"/>
  <c r="AF119" i="67" s="1"/>
  <c r="X119" i="67"/>
  <c r="Y119" i="67" s="1"/>
  <c r="AN128" i="67"/>
  <c r="AO128" i="67" s="1"/>
  <c r="AP128" i="67"/>
  <c r="AR128" i="67" s="1"/>
  <c r="S128" i="67"/>
  <c r="AK128" i="67" s="1"/>
  <c r="V85" i="53"/>
  <c r="Q85" i="53" s="1"/>
  <c r="W85" i="53"/>
  <c r="X85" i="53" s="1"/>
  <c r="AL84" i="53"/>
  <c r="AE84" i="53" s="1"/>
  <c r="X78" i="67"/>
  <c r="Y78" i="67" s="1"/>
  <c r="AG78" i="67"/>
  <c r="AH78" i="67" s="1"/>
  <c r="X100" i="67"/>
  <c r="Y100" i="67" s="1"/>
  <c r="J100" i="67"/>
  <c r="X75" i="67"/>
  <c r="Y75" i="67" s="1"/>
  <c r="AG75" i="67"/>
  <c r="AH75" i="67" s="1"/>
  <c r="J110" i="67"/>
  <c r="AA99" i="67"/>
  <c r="AB99" i="67" s="1"/>
  <c r="K99" i="67" s="1"/>
  <c r="AA100" i="67"/>
  <c r="AB100" i="67" s="1"/>
  <c r="K100" i="67" s="1"/>
  <c r="R62" i="49"/>
  <c r="AI62" i="49" s="1"/>
  <c r="R36" i="53"/>
  <c r="AJ36" i="53" s="1"/>
  <c r="J106" i="67"/>
  <c r="X99" i="67"/>
  <c r="Y99" i="67" s="1"/>
  <c r="AI100" i="67"/>
  <c r="AJ100" i="67" s="1"/>
  <c r="AO55" i="53"/>
  <c r="AQ55" i="53" s="1"/>
  <c r="I36" i="53"/>
  <c r="AN62" i="49"/>
  <c r="AP62" i="49" s="1"/>
  <c r="AL62" i="49"/>
  <c r="AM62" i="49" s="1"/>
  <c r="AQ62" i="49" s="1"/>
  <c r="AS63" i="49" s="1"/>
  <c r="AM36" i="53"/>
  <c r="AN36" i="53" s="1"/>
  <c r="AR36" i="53" s="1"/>
  <c r="AT37" i="53" s="1"/>
  <c r="AH44" i="53"/>
  <c r="AI44" i="53" s="1"/>
  <c r="J117" i="67"/>
  <c r="AG28" i="55"/>
  <c r="AH28" i="55" s="1"/>
  <c r="AI99" i="67"/>
  <c r="AJ99" i="67" s="1"/>
  <c r="B50" i="53"/>
  <c r="AL39" i="53"/>
  <c r="AE39" i="53" s="1"/>
  <c r="AI105" i="67"/>
  <c r="AJ105" i="67" s="1"/>
  <c r="AL73" i="53"/>
  <c r="AE73" i="53" s="1"/>
  <c r="V74" i="53"/>
  <c r="Q74" i="53" s="1"/>
  <c r="Z52" i="53"/>
  <c r="AA52" i="53" s="1"/>
  <c r="J52" i="53" s="1"/>
  <c r="D53" i="53"/>
  <c r="W53" i="53"/>
  <c r="X53" i="53" s="1"/>
  <c r="D54" i="53"/>
  <c r="B54" i="53"/>
  <c r="U52" i="53"/>
  <c r="P52" i="53" s="1"/>
  <c r="AM53" i="53"/>
  <c r="AN53" i="53" s="1"/>
  <c r="AR53" i="53" s="1"/>
  <c r="AT54" i="53" s="1"/>
  <c r="AO53" i="53"/>
  <c r="AQ53" i="53" s="1"/>
  <c r="R53" i="53"/>
  <c r="AJ53" i="53" s="1"/>
  <c r="AH52" i="53"/>
  <c r="AI52" i="53" s="1"/>
  <c r="I53" i="53"/>
  <c r="F53" i="53"/>
  <c r="AM83" i="53"/>
  <c r="AN83" i="53" s="1"/>
  <c r="AR83" i="53" s="1"/>
  <c r="AT84" i="53" s="1"/>
  <c r="B84" i="53"/>
  <c r="AO83" i="53"/>
  <c r="AL82" i="53"/>
  <c r="AE82" i="53" s="1"/>
  <c r="B83" i="53"/>
  <c r="AF83" i="53"/>
  <c r="AG83" i="53" s="1"/>
  <c r="AK82" i="53"/>
  <c r="AD82" i="53" s="1"/>
  <c r="Z82" i="53"/>
  <c r="AA82" i="53" s="1"/>
  <c r="J82" i="53" s="1"/>
  <c r="Z68" i="53"/>
  <c r="AA68" i="53" s="1"/>
  <c r="J68" i="53" s="1"/>
  <c r="AZ68" i="53"/>
  <c r="I68" i="53"/>
  <c r="AM68" i="53"/>
  <c r="AN68" i="53" s="1"/>
  <c r="AM38" i="53"/>
  <c r="AN38" i="53" s="1"/>
  <c r="AK38" i="53"/>
  <c r="AD38" i="53" s="1"/>
  <c r="B39" i="53"/>
  <c r="V37" i="53"/>
  <c r="Q37" i="53" s="1"/>
  <c r="AZ38" i="53"/>
  <c r="R38" i="53"/>
  <c r="I38" i="53"/>
  <c r="AK39" i="53"/>
  <c r="AD39" i="53" s="1"/>
  <c r="AH38" i="53"/>
  <c r="AI38" i="53" s="1"/>
  <c r="AK52" i="53"/>
  <c r="AD52" i="53" s="1"/>
  <c r="F83" i="53"/>
  <c r="D38" i="53"/>
  <c r="S38" i="53" s="1"/>
  <c r="T38" i="53" s="1"/>
  <c r="AF82" i="53"/>
  <c r="AG82" i="53" s="1"/>
  <c r="AM82" i="53"/>
  <c r="AN82" i="53" s="1"/>
  <c r="I82" i="53"/>
  <c r="AO82" i="53"/>
  <c r="AQ82" i="53" s="1"/>
  <c r="O106" i="59"/>
  <c r="AP106" i="59" s="1"/>
  <c r="AR106" i="59" s="1"/>
  <c r="O95" i="59"/>
  <c r="O116" i="59"/>
  <c r="BA116" i="59" s="1"/>
  <c r="O101" i="59"/>
  <c r="AP101" i="59" s="1"/>
  <c r="AR101" i="59" s="1"/>
  <c r="O115" i="59"/>
  <c r="J115" i="59" s="1"/>
  <c r="O75" i="59"/>
  <c r="X74" i="59" s="1"/>
  <c r="Y74" i="59" s="1"/>
  <c r="O77" i="59"/>
  <c r="BA77" i="59" s="1"/>
  <c r="O107" i="59"/>
  <c r="O104" i="59"/>
  <c r="J104" i="59" s="1"/>
  <c r="O92" i="59"/>
  <c r="BA92" i="59" s="1"/>
  <c r="O91" i="59"/>
  <c r="O62" i="59"/>
  <c r="O63" i="59"/>
  <c r="BA63" i="59" s="1"/>
  <c r="O109" i="59"/>
  <c r="S109" i="59" s="1"/>
  <c r="O105" i="59"/>
  <c r="O66" i="59"/>
  <c r="AI65" i="59" s="1"/>
  <c r="AJ65" i="59" s="1"/>
  <c r="O81" i="59"/>
  <c r="BA81" i="59" s="1"/>
  <c r="O103" i="59"/>
  <c r="J103" i="59" s="1"/>
  <c r="O71" i="59"/>
  <c r="AG70" i="59" s="1"/>
  <c r="AH70" i="59" s="1"/>
  <c r="O88" i="59"/>
  <c r="X87" i="59" s="1"/>
  <c r="Y87" i="59" s="1"/>
  <c r="O69" i="59"/>
  <c r="BA69" i="59" s="1"/>
  <c r="O78" i="59"/>
  <c r="AG77" i="59" s="1"/>
  <c r="AH77" i="59" s="1"/>
  <c r="O99" i="59"/>
  <c r="O119" i="59"/>
  <c r="AP119" i="59" s="1"/>
  <c r="AR119" i="59" s="1"/>
  <c r="O65" i="59"/>
  <c r="AA64" i="59" s="1"/>
  <c r="AB64" i="59" s="1"/>
  <c r="K64" i="59" s="1"/>
  <c r="O68" i="59"/>
  <c r="X67" i="59" s="1"/>
  <c r="Y67" i="59" s="1"/>
  <c r="O102" i="59"/>
  <c r="O73" i="59"/>
  <c r="AG72" i="59" s="1"/>
  <c r="AH72" i="59" s="1"/>
  <c r="O113" i="59"/>
  <c r="AI113" i="59" s="1"/>
  <c r="AJ113" i="59" s="1"/>
  <c r="O79" i="59"/>
  <c r="BA79" i="59" s="1"/>
  <c r="F73" i="53"/>
  <c r="AF40" i="53"/>
  <c r="AG40" i="53" s="1"/>
  <c r="AO68" i="53"/>
  <c r="AQ68" i="53" s="1"/>
  <c r="R82" i="53"/>
  <c r="V53" i="53"/>
  <c r="Q53" i="53" s="1"/>
  <c r="W68" i="53"/>
  <c r="X68" i="53" s="1"/>
  <c r="AZ73" i="53"/>
  <c r="I73" i="53"/>
  <c r="R73" i="53"/>
  <c r="AO73" i="53"/>
  <c r="AM73" i="53"/>
  <c r="AN73" i="53" s="1"/>
  <c r="AR73" i="53" s="1"/>
  <c r="AT74" i="53" s="1"/>
  <c r="AF39" i="53"/>
  <c r="AG39" i="53" s="1"/>
  <c r="V39" i="53"/>
  <c r="Q39" i="53" s="1"/>
  <c r="I40" i="53"/>
  <c r="B40" i="53"/>
  <c r="W39" i="53"/>
  <c r="X39" i="53" s="1"/>
  <c r="U39" i="53"/>
  <c r="P39" i="53" s="1"/>
  <c r="F40" i="53"/>
  <c r="AZ40" i="53"/>
  <c r="AM40" i="53"/>
  <c r="AN40" i="53" s="1"/>
  <c r="AR40" i="53" s="1"/>
  <c r="AT41" i="53" s="1"/>
  <c r="R40" i="53"/>
  <c r="AJ40" i="53" s="1"/>
  <c r="Z39" i="53"/>
  <c r="AA39" i="53" s="1"/>
  <c r="J39" i="53" s="1"/>
  <c r="AH39" i="53"/>
  <c r="AI39" i="53" s="1"/>
  <c r="O108" i="59"/>
  <c r="J108" i="59" s="1"/>
  <c r="O111" i="59"/>
  <c r="O100" i="59"/>
  <c r="S100" i="59" s="1"/>
  <c r="O84" i="59"/>
  <c r="AG83" i="59" s="1"/>
  <c r="AH83" i="59" s="1"/>
  <c r="O89" i="59"/>
  <c r="BA89" i="59" s="1"/>
  <c r="O90" i="59"/>
  <c r="O117" i="59"/>
  <c r="J117" i="59" s="1"/>
  <c r="O118" i="59"/>
  <c r="S118" i="59" s="1"/>
  <c r="O98" i="59"/>
  <c r="O121" i="59"/>
  <c r="S121" i="59" s="1"/>
  <c r="O82" i="59"/>
  <c r="BA82" i="59" s="1"/>
  <c r="O83" i="59"/>
  <c r="AG82" i="59" s="1"/>
  <c r="AH82" i="59" s="1"/>
  <c r="O74" i="59"/>
  <c r="X73" i="59" s="1"/>
  <c r="Y73" i="59" s="1"/>
  <c r="O120" i="59"/>
  <c r="AN120" i="59" s="1"/>
  <c r="AO120" i="59" s="1"/>
  <c r="D40" i="53"/>
  <c r="S40" i="53" s="1"/>
  <c r="T40" i="53" s="1"/>
  <c r="AH53" i="53"/>
  <c r="AI53" i="53" s="1"/>
  <c r="U68" i="53"/>
  <c r="P68" i="53" s="1"/>
  <c r="AF53" i="53"/>
  <c r="AG53" i="53" s="1"/>
  <c r="Z33" i="53"/>
  <c r="AA33" i="53" s="1"/>
  <c r="J33" i="53" s="1"/>
  <c r="U33" i="53"/>
  <c r="P33" i="53" s="1"/>
  <c r="AL34" i="53"/>
  <c r="AE34" i="53" s="1"/>
  <c r="F35" i="53"/>
  <c r="AL35" i="53"/>
  <c r="AE35" i="53" s="1"/>
  <c r="D67" i="53"/>
  <c r="I65" i="53"/>
  <c r="F70" i="53"/>
  <c r="AH69" i="53"/>
  <c r="AI69" i="53" s="1"/>
  <c r="AK69" i="53"/>
  <c r="AD69" i="53" s="1"/>
  <c r="AK71" i="53"/>
  <c r="AD71" i="53" s="1"/>
  <c r="Z71" i="53"/>
  <c r="AA71" i="53" s="1"/>
  <c r="J71" i="53" s="1"/>
  <c r="R39" i="53"/>
  <c r="F39" i="53"/>
  <c r="Z38" i="53"/>
  <c r="AA38" i="53" s="1"/>
  <c r="J38" i="53" s="1"/>
  <c r="U65" i="53"/>
  <c r="P65" i="53" s="1"/>
  <c r="AH65" i="53"/>
  <c r="AI65" i="53" s="1"/>
  <c r="Z65" i="53"/>
  <c r="AA65" i="53" s="1"/>
  <c r="J65" i="53" s="1"/>
  <c r="AZ71" i="53"/>
  <c r="AM71" i="53"/>
  <c r="AN71" i="53" s="1"/>
  <c r="Z53" i="53"/>
  <c r="AA53" i="53" s="1"/>
  <c r="J53" i="53" s="1"/>
  <c r="AO54" i="53"/>
  <c r="R54" i="53"/>
  <c r="AJ54" i="53" s="1"/>
  <c r="D69" i="53"/>
  <c r="AH68" i="53"/>
  <c r="AI68" i="53" s="1"/>
  <c r="F69" i="53"/>
  <c r="R52" i="53"/>
  <c r="AJ52" i="53" s="1"/>
  <c r="AZ52" i="53"/>
  <c r="Z70" i="53"/>
  <c r="AA70" i="53" s="1"/>
  <c r="J70" i="53" s="1"/>
  <c r="L70" i="53" s="1"/>
  <c r="Z69" i="53"/>
  <c r="AA69" i="53" s="1"/>
  <c r="J69" i="53" s="1"/>
  <c r="D70" i="53"/>
  <c r="U69" i="53"/>
  <c r="P69" i="53" s="1"/>
  <c r="AF71" i="53"/>
  <c r="AG71" i="53" s="1"/>
  <c r="F72" i="53"/>
  <c r="AL38" i="53"/>
  <c r="AE38" i="53" s="1"/>
  <c r="U38" i="53"/>
  <c r="P38" i="53" s="1"/>
  <c r="W38" i="53"/>
  <c r="X38" i="53" s="1"/>
  <c r="B66" i="53"/>
  <c r="AO66" i="53"/>
  <c r="W70" i="53"/>
  <c r="X70" i="53" s="1"/>
  <c r="I54" i="53"/>
  <c r="AZ54" i="53"/>
  <c r="AO69" i="53"/>
  <c r="I69" i="53"/>
  <c r="AZ48" i="53"/>
  <c r="Z83" i="53"/>
  <c r="AA83" i="53" s="1"/>
  <c r="J83" i="53" s="1"/>
  <c r="B65" i="53"/>
  <c r="U45" i="53"/>
  <c r="P45" i="53" s="1"/>
  <c r="V69" i="53"/>
  <c r="Q69" i="53" s="1"/>
  <c r="AF44" i="53"/>
  <c r="AG44" i="53" s="1"/>
  <c r="AK50" i="53"/>
  <c r="AD50" i="53" s="1"/>
  <c r="Z78" i="53"/>
  <c r="AA78" i="53" s="1"/>
  <c r="J78" i="53" s="1"/>
  <c r="AO62" i="53"/>
  <c r="AQ62" i="53" s="1"/>
  <c r="D62" i="53"/>
  <c r="S62" i="53" s="1"/>
  <c r="T62" i="53" s="1"/>
  <c r="AZ62" i="53"/>
  <c r="I62" i="53"/>
  <c r="R62" i="53"/>
  <c r="AJ62" i="53" s="1"/>
  <c r="I60" i="53"/>
  <c r="W60" i="53"/>
  <c r="X60" i="53" s="1"/>
  <c r="AO60" i="53"/>
  <c r="AQ60" i="53" s="1"/>
  <c r="U59" i="53"/>
  <c r="P59" i="53" s="1"/>
  <c r="R60" i="53"/>
  <c r="AJ60" i="53" s="1"/>
  <c r="W59" i="53"/>
  <c r="X59" i="53" s="1"/>
  <c r="U81" i="53"/>
  <c r="P81" i="53" s="1"/>
  <c r="AZ81" i="53"/>
  <c r="R81" i="53"/>
  <c r="AJ81" i="53" s="1"/>
  <c r="Z80" i="53"/>
  <c r="AA80" i="53" s="1"/>
  <c r="J80" i="53" s="1"/>
  <c r="L80" i="53" s="1"/>
  <c r="F82" i="53"/>
  <c r="B82" i="53"/>
  <c r="AF81" i="53"/>
  <c r="AG81" i="53" s="1"/>
  <c r="AM81" i="53"/>
  <c r="AN81" i="53" s="1"/>
  <c r="AR81" i="53" s="1"/>
  <c r="AT82" i="53" s="1"/>
  <c r="I58" i="53"/>
  <c r="W58" i="53"/>
  <c r="X58" i="53" s="1"/>
  <c r="AM58" i="53"/>
  <c r="AN58" i="53" s="1"/>
  <c r="AR58" i="53" s="1"/>
  <c r="AT59" i="53" s="1"/>
  <c r="V58" i="53"/>
  <c r="Q58" i="53" s="1"/>
  <c r="AO58" i="53"/>
  <c r="AZ58" i="53"/>
  <c r="AO81" i="53"/>
  <c r="AO32" i="53"/>
  <c r="AQ32" i="53" s="1"/>
  <c r="N52" i="3"/>
  <c r="AE51" i="3" s="1"/>
  <c r="AF51" i="3" s="1"/>
  <c r="N74" i="3"/>
  <c r="N79" i="3"/>
  <c r="AY79" i="3" s="1"/>
  <c r="W81" i="53"/>
  <c r="X81" i="53" s="1"/>
  <c r="V42" i="53"/>
  <c r="Q42" i="53" s="1"/>
  <c r="AK60" i="53"/>
  <c r="AD60" i="53" s="1"/>
  <c r="AH32" i="53"/>
  <c r="AI32" i="53" s="1"/>
  <c r="AL33" i="53"/>
  <c r="AE33" i="53" s="1"/>
  <c r="AL32" i="53"/>
  <c r="AE32" i="53" s="1"/>
  <c r="F34" i="53"/>
  <c r="B33" i="53"/>
  <c r="D34" i="53"/>
  <c r="S34" i="53" s="1"/>
  <c r="T34" i="53" s="1"/>
  <c r="U32" i="53"/>
  <c r="P32" i="53" s="1"/>
  <c r="R35" i="53"/>
  <c r="B36" i="53"/>
  <c r="AM35" i="53"/>
  <c r="AN35" i="53" s="1"/>
  <c r="AR35" i="53" s="1"/>
  <c r="AT36" i="53" s="1"/>
  <c r="U35" i="53"/>
  <c r="P35" i="53" s="1"/>
  <c r="AF34" i="53"/>
  <c r="AG34" i="53" s="1"/>
  <c r="W34" i="53"/>
  <c r="X34" i="53" s="1"/>
  <c r="N63" i="3"/>
  <c r="I62" i="3" s="1"/>
  <c r="I49" i="53"/>
  <c r="AM49" i="53"/>
  <c r="AN49" i="53" s="1"/>
  <c r="AR49" i="53" s="1"/>
  <c r="AT50" i="53" s="1"/>
  <c r="AL49" i="53"/>
  <c r="AE49" i="53" s="1"/>
  <c r="AF49" i="53"/>
  <c r="AG49" i="53" s="1"/>
  <c r="Z48" i="53"/>
  <c r="AA48" i="53" s="1"/>
  <c r="J48" i="53" s="1"/>
  <c r="B49" i="53"/>
  <c r="U49" i="53"/>
  <c r="P49" i="53" s="1"/>
  <c r="AF48" i="53"/>
  <c r="AG48" i="53" s="1"/>
  <c r="V48" i="53"/>
  <c r="Q48" i="53" s="1"/>
  <c r="V49" i="53"/>
  <c r="Q49" i="53" s="1"/>
  <c r="Z43" i="53"/>
  <c r="AA43" i="53" s="1"/>
  <c r="J43" i="53" s="1"/>
  <c r="R44" i="53"/>
  <c r="B45" i="53"/>
  <c r="F45" i="53"/>
  <c r="AM44" i="53"/>
  <c r="AN44" i="53" s="1"/>
  <c r="AZ44" i="53"/>
  <c r="V44" i="53"/>
  <c r="Q44" i="53" s="1"/>
  <c r="AL44" i="53"/>
  <c r="AE44" i="53" s="1"/>
  <c r="D45" i="53"/>
  <c r="AO44" i="53"/>
  <c r="AQ44" i="53" s="1"/>
  <c r="I44" i="53"/>
  <c r="U44" i="53"/>
  <c r="P44" i="53" s="1"/>
  <c r="AK44" i="53"/>
  <c r="AD44" i="53" s="1"/>
  <c r="W44" i="53"/>
  <c r="X44" i="53" s="1"/>
  <c r="N27" i="3"/>
  <c r="Z26" i="3" s="1"/>
  <c r="AA26" i="3" s="1"/>
  <c r="J26" i="3" s="1"/>
  <c r="Z44" i="53"/>
  <c r="AA44" i="53" s="1"/>
  <c r="J44" i="53" s="1"/>
  <c r="I81" i="53"/>
  <c r="AK32" i="53"/>
  <c r="AD32" i="53" s="1"/>
  <c r="B62" i="53"/>
  <c r="D61" i="53"/>
  <c r="S61" i="53" s="1"/>
  <c r="T61" i="53" s="1"/>
  <c r="AZ51" i="53"/>
  <c r="N78" i="3"/>
  <c r="N71" i="3"/>
  <c r="AZ47" i="53"/>
  <c r="B48" i="53"/>
  <c r="AM47" i="53"/>
  <c r="AN47" i="53" s="1"/>
  <c r="AR47" i="53" s="1"/>
  <c r="AT48" i="53" s="1"/>
  <c r="U62" i="53"/>
  <c r="P62" i="53" s="1"/>
  <c r="AL40" i="53"/>
  <c r="AE40" i="53" s="1"/>
  <c r="D41" i="53"/>
  <c r="S41" i="53" s="1"/>
  <c r="T41" i="53" s="1"/>
  <c r="B41" i="53"/>
  <c r="AK40" i="53"/>
  <c r="AD40" i="53" s="1"/>
  <c r="Z40" i="53"/>
  <c r="AA40" i="53" s="1"/>
  <c r="J40" i="53" s="1"/>
  <c r="W40" i="53"/>
  <c r="X40" i="53" s="1"/>
  <c r="F41" i="53"/>
  <c r="U40" i="53"/>
  <c r="P40" i="53" s="1"/>
  <c r="R32" i="53"/>
  <c r="AJ32" i="53" s="1"/>
  <c r="AM32" i="53"/>
  <c r="AN32" i="53" s="1"/>
  <c r="AR32" i="53" s="1"/>
  <c r="AT33" i="53" s="1"/>
  <c r="B51" i="53"/>
  <c r="D52" i="53"/>
  <c r="S52" i="53" s="1"/>
  <c r="T52" i="53" s="1"/>
  <c r="V51" i="53"/>
  <c r="Q51" i="53" s="1"/>
  <c r="AH51" i="53"/>
  <c r="AI51" i="53" s="1"/>
  <c r="AF50" i="53"/>
  <c r="AG50" i="53" s="1"/>
  <c r="F52" i="53"/>
  <c r="AM51" i="53"/>
  <c r="AN51" i="53" s="1"/>
  <c r="R51" i="53"/>
  <c r="AF51" i="53"/>
  <c r="AG51" i="53" s="1"/>
  <c r="Z50" i="53"/>
  <c r="AA50" i="53" s="1"/>
  <c r="J50" i="53" s="1"/>
  <c r="AH50" i="53"/>
  <c r="AI50" i="53" s="1"/>
  <c r="W51" i="53"/>
  <c r="X51" i="53" s="1"/>
  <c r="U51" i="53"/>
  <c r="P51" i="53" s="1"/>
  <c r="B52" i="53"/>
  <c r="AL51" i="53"/>
  <c r="AE51" i="53" s="1"/>
  <c r="Z51" i="53"/>
  <c r="AA51" i="53" s="1"/>
  <c r="J51" i="53" s="1"/>
  <c r="I51" i="53"/>
  <c r="W50" i="53"/>
  <c r="X50" i="53" s="1"/>
  <c r="N77" i="3"/>
  <c r="N41" i="3"/>
  <c r="N65" i="3"/>
  <c r="N53" i="3"/>
  <c r="W52" i="3" s="1"/>
  <c r="X52" i="3" s="1"/>
  <c r="N84" i="3"/>
  <c r="N47" i="3"/>
  <c r="N50" i="3"/>
  <c r="N67" i="3"/>
  <c r="AE66" i="3" s="1"/>
  <c r="AF66" i="3" s="1"/>
  <c r="N60" i="3"/>
  <c r="AE59" i="3" s="1"/>
  <c r="AF59" i="3" s="1"/>
  <c r="N31" i="3"/>
  <c r="N25" i="3"/>
  <c r="B25" i="3" s="1"/>
  <c r="N61" i="3"/>
  <c r="I61" i="3" s="1"/>
  <c r="N36" i="3"/>
  <c r="N35" i="3"/>
  <c r="N64" i="3"/>
  <c r="N45" i="3"/>
  <c r="N66" i="3"/>
  <c r="N39" i="3"/>
  <c r="N29" i="3"/>
  <c r="N76" i="3"/>
  <c r="N72" i="3"/>
  <c r="W71" i="3" s="1"/>
  <c r="X71" i="3" s="1"/>
  <c r="N81" i="3"/>
  <c r="N59" i="3"/>
  <c r="AE58" i="3" s="1"/>
  <c r="AF58" i="3" s="1"/>
  <c r="N30" i="3"/>
  <c r="N34" i="3"/>
  <c r="AE33" i="3" s="1"/>
  <c r="AF33" i="3" s="1"/>
  <c r="N80" i="3"/>
  <c r="N51" i="3"/>
  <c r="W50" i="3" s="1"/>
  <c r="X50" i="3" s="1"/>
  <c r="N73" i="3"/>
  <c r="AY73" i="3" s="1"/>
  <c r="N68" i="3"/>
  <c r="W67" i="3" s="1"/>
  <c r="X67" i="3" s="1"/>
  <c r="N83" i="3"/>
  <c r="R83" i="3" s="1"/>
  <c r="AI83" i="3" s="1"/>
  <c r="N46" i="3"/>
  <c r="W45" i="3" s="1"/>
  <c r="X45" i="3" s="1"/>
  <c r="N40" i="3"/>
  <c r="N26" i="3"/>
  <c r="N56" i="3"/>
  <c r="N55" i="3"/>
  <c r="W54" i="3" s="1"/>
  <c r="X54" i="3" s="1"/>
  <c r="N43" i="3"/>
  <c r="AE42" i="3" s="1"/>
  <c r="AF42" i="3" s="1"/>
  <c r="N32" i="3"/>
  <c r="AG31" i="3" s="1"/>
  <c r="AH31" i="3" s="1"/>
  <c r="K31" i="3" s="1"/>
  <c r="N58" i="3"/>
  <c r="N33" i="3"/>
  <c r="N54" i="3"/>
  <c r="N57" i="3"/>
  <c r="N28" i="3"/>
  <c r="N85" i="3"/>
  <c r="F86" i="3" s="1"/>
  <c r="N37" i="3"/>
  <c r="AE36" i="3" s="1"/>
  <c r="AF36" i="3" s="1"/>
  <c r="N38" i="3"/>
  <c r="AY38" i="3" s="1"/>
  <c r="AH40" i="53"/>
  <c r="AI40" i="53" s="1"/>
  <c r="U43" i="53"/>
  <c r="P43" i="53" s="1"/>
  <c r="AL50" i="53"/>
  <c r="AE50" i="53" s="1"/>
  <c r="R58" i="53"/>
  <c r="AB58" i="53" s="1"/>
  <c r="AM62" i="53"/>
  <c r="AN62" i="53" s="1"/>
  <c r="N82" i="3"/>
  <c r="AL82" i="3" s="1"/>
  <c r="AM82" i="3" s="1"/>
  <c r="AQ82" i="3" s="1"/>
  <c r="AS83" i="3" s="1"/>
  <c r="N69" i="3"/>
  <c r="U50" i="53"/>
  <c r="P50" i="53" s="1"/>
  <c r="N42" i="3"/>
  <c r="AY42" i="3" s="1"/>
  <c r="AZ60" i="53"/>
  <c r="W45" i="53"/>
  <c r="X45" i="53" s="1"/>
  <c r="F71" i="53"/>
  <c r="D71" i="53"/>
  <c r="S71" i="53" s="1"/>
  <c r="T71" i="53" s="1"/>
  <c r="AH70" i="53"/>
  <c r="AI70" i="53" s="1"/>
  <c r="AK70" i="53"/>
  <c r="AD70" i="53" s="1"/>
  <c r="AO36" i="53"/>
  <c r="AM48" i="53"/>
  <c r="AN48" i="53" s="1"/>
  <c r="AR48" i="53" s="1"/>
  <c r="AT49" i="53" s="1"/>
  <c r="F38" i="53"/>
  <c r="AH36" i="53"/>
  <c r="AI36" i="53" s="1"/>
  <c r="B37" i="53"/>
  <c r="AO37" i="53"/>
  <c r="AQ37" i="53" s="1"/>
  <c r="D37" i="53"/>
  <c r="S37" i="53" s="1"/>
  <c r="T37" i="53" s="1"/>
  <c r="U37" i="53"/>
  <c r="P37" i="53" s="1"/>
  <c r="AK37" i="53"/>
  <c r="AD37" i="53" s="1"/>
  <c r="AL37" i="53"/>
  <c r="AE37" i="53" s="1"/>
  <c r="AZ37" i="53"/>
  <c r="AL36" i="53"/>
  <c r="AE36" i="53" s="1"/>
  <c r="R37" i="53"/>
  <c r="F37" i="53"/>
  <c r="AF36" i="53"/>
  <c r="AG36" i="53" s="1"/>
  <c r="AF37" i="53"/>
  <c r="AG37" i="53" s="1"/>
  <c r="V36" i="53"/>
  <c r="Q36" i="53" s="1"/>
  <c r="AK36" i="53"/>
  <c r="AD36" i="53" s="1"/>
  <c r="Z37" i="53"/>
  <c r="AA37" i="53" s="1"/>
  <c r="J37" i="53" s="1"/>
  <c r="AH37" i="53"/>
  <c r="AI37" i="53" s="1"/>
  <c r="I29" i="53"/>
  <c r="AZ29" i="53"/>
  <c r="W28" i="53"/>
  <c r="X28" i="53" s="1"/>
  <c r="AF28" i="53"/>
  <c r="AG28" i="53" s="1"/>
  <c r="I37" i="53"/>
  <c r="D55" i="53"/>
  <c r="S55" i="53" s="1"/>
  <c r="T55" i="53" s="1"/>
  <c r="AZ55" i="53"/>
  <c r="AL54" i="53"/>
  <c r="AE54" i="53" s="1"/>
  <c r="V54" i="53"/>
  <c r="Q54" i="53" s="1"/>
  <c r="AM55" i="53"/>
  <c r="AN55" i="53" s="1"/>
  <c r="AR55" i="53" s="1"/>
  <c r="AT56" i="53" s="1"/>
  <c r="U54" i="53"/>
  <c r="P54" i="53" s="1"/>
  <c r="AK54" i="53"/>
  <c r="AD54" i="53" s="1"/>
  <c r="W54" i="53"/>
  <c r="X54" i="53" s="1"/>
  <c r="Z54" i="53"/>
  <c r="AA54" i="53" s="1"/>
  <c r="J54" i="53" s="1"/>
  <c r="AL55" i="53"/>
  <c r="AE55" i="53" s="1"/>
  <c r="AZ56" i="53"/>
  <c r="F68" i="53"/>
  <c r="D68" i="53"/>
  <c r="S68" i="53" s="1"/>
  <c r="T68" i="53" s="1"/>
  <c r="AF66" i="53"/>
  <c r="AG66" i="53" s="1"/>
  <c r="AO67" i="53"/>
  <c r="AQ67" i="53" s="1"/>
  <c r="AM77" i="53"/>
  <c r="AN77" i="53" s="1"/>
  <c r="AR77" i="53" s="1"/>
  <c r="AT78" i="53" s="1"/>
  <c r="AF76" i="53"/>
  <c r="AG76" i="53" s="1"/>
  <c r="I77" i="53"/>
  <c r="W37" i="53"/>
  <c r="X37" i="53" s="1"/>
  <c r="U36" i="53"/>
  <c r="P36" i="53" s="1"/>
  <c r="N28" i="39"/>
  <c r="N26" i="39"/>
  <c r="AY26" i="39" s="1"/>
  <c r="N61" i="39"/>
  <c r="W60" i="39" s="1"/>
  <c r="X60" i="39" s="1"/>
  <c r="N77" i="39"/>
  <c r="N60" i="39"/>
  <c r="N50" i="39"/>
  <c r="AE49" i="39" s="1"/>
  <c r="AF49" i="39" s="1"/>
  <c r="N38" i="39"/>
  <c r="AY38" i="39" s="1"/>
  <c r="N52" i="39"/>
  <c r="N66" i="39"/>
  <c r="AY66" i="39" s="1"/>
  <c r="N55" i="39"/>
  <c r="N30" i="39"/>
  <c r="AG29" i="39" s="1"/>
  <c r="AH29" i="39" s="1"/>
  <c r="K29" i="39" s="1"/>
  <c r="AZ74" i="53"/>
  <c r="AO74" i="53"/>
  <c r="AF73" i="53"/>
  <c r="AG73" i="53" s="1"/>
  <c r="Z79" i="53"/>
  <c r="AA79" i="53" s="1"/>
  <c r="J79" i="53" s="1"/>
  <c r="B81" i="53"/>
  <c r="AK79" i="53"/>
  <c r="AD79" i="53" s="1"/>
  <c r="B79" i="53"/>
  <c r="V78" i="53"/>
  <c r="Q78" i="53" s="1"/>
  <c r="U78" i="53"/>
  <c r="P78" i="53" s="1"/>
  <c r="W78" i="53"/>
  <c r="X78" i="53" s="1"/>
  <c r="R78" i="53"/>
  <c r="AJ78" i="53" s="1"/>
  <c r="AM78" i="53"/>
  <c r="AN78" i="53" s="1"/>
  <c r="AH78" i="53"/>
  <c r="AI78" i="53" s="1"/>
  <c r="AL78" i="53"/>
  <c r="AE78" i="53" s="1"/>
  <c r="AL77" i="53"/>
  <c r="AE77" i="53" s="1"/>
  <c r="AF77" i="53"/>
  <c r="AG77" i="53" s="1"/>
  <c r="F79" i="53"/>
  <c r="AF78" i="53"/>
  <c r="AG78" i="53" s="1"/>
  <c r="AK78" i="53"/>
  <c r="AD78" i="53" s="1"/>
  <c r="AZ78" i="53"/>
  <c r="AK77" i="53"/>
  <c r="AD77" i="53" s="1"/>
  <c r="I78" i="53"/>
  <c r="B44" i="53"/>
  <c r="I43" i="53"/>
  <c r="W43" i="53"/>
  <c r="X43" i="53" s="1"/>
  <c r="AK43" i="53"/>
  <c r="AD43" i="53" s="1"/>
  <c r="F44" i="53"/>
  <c r="AL43" i="53"/>
  <c r="AE43" i="53" s="1"/>
  <c r="AM43" i="53"/>
  <c r="AN43" i="53" s="1"/>
  <c r="AP43" i="53" s="1"/>
  <c r="D44" i="53"/>
  <c r="S44" i="53" s="1"/>
  <c r="T44" i="53" s="1"/>
  <c r="AH43" i="53"/>
  <c r="AI43" i="53" s="1"/>
  <c r="V43" i="53"/>
  <c r="Q43" i="53" s="1"/>
  <c r="R43" i="53"/>
  <c r="AJ43" i="53" s="1"/>
  <c r="AF43" i="53"/>
  <c r="AG43" i="53" s="1"/>
  <c r="AO61" i="53"/>
  <c r="AQ61" i="53" s="1"/>
  <c r="Z60" i="53"/>
  <c r="AA60" i="53" s="1"/>
  <c r="J60" i="53" s="1"/>
  <c r="AL60" i="53"/>
  <c r="AE60" i="53" s="1"/>
  <c r="B61" i="53"/>
  <c r="F62" i="53"/>
  <c r="W61" i="53"/>
  <c r="X61" i="53" s="1"/>
  <c r="AH60" i="53"/>
  <c r="AI60" i="53" s="1"/>
  <c r="AF60" i="53"/>
  <c r="AG60" i="53" s="1"/>
  <c r="U60" i="53"/>
  <c r="P60" i="53" s="1"/>
  <c r="F61" i="53"/>
  <c r="Z61" i="53"/>
  <c r="AA61" i="53" s="1"/>
  <c r="J61" i="53" s="1"/>
  <c r="AF61" i="53"/>
  <c r="AG61" i="53" s="1"/>
  <c r="AL61" i="53"/>
  <c r="AE61" i="53" s="1"/>
  <c r="AZ61" i="53"/>
  <c r="AM61" i="53"/>
  <c r="AN61" i="53" s="1"/>
  <c r="AR61" i="53" s="1"/>
  <c r="AT62" i="53" s="1"/>
  <c r="U61" i="53"/>
  <c r="P61" i="53" s="1"/>
  <c r="AK61" i="53"/>
  <c r="AD61" i="53" s="1"/>
  <c r="AH61" i="53"/>
  <c r="AI61" i="53" s="1"/>
  <c r="V61" i="53"/>
  <c r="Q61" i="53" s="1"/>
  <c r="AM75" i="53"/>
  <c r="AN75" i="53" s="1"/>
  <c r="AR75" i="53" s="1"/>
  <c r="AT76" i="53" s="1"/>
  <c r="W75" i="53"/>
  <c r="X75" i="53" s="1"/>
  <c r="AK75" i="53"/>
  <c r="AD75" i="53" s="1"/>
  <c r="V75" i="53"/>
  <c r="Q75" i="53" s="1"/>
  <c r="F76" i="53"/>
  <c r="I75" i="53"/>
  <c r="AZ75" i="53"/>
  <c r="AH75" i="53"/>
  <c r="AI75" i="53" s="1"/>
  <c r="Z75" i="53"/>
  <c r="AA75" i="53" s="1"/>
  <c r="J75" i="53" s="1"/>
  <c r="R75" i="53"/>
  <c r="U74" i="53"/>
  <c r="P74" i="53" s="1"/>
  <c r="AF75" i="53"/>
  <c r="AG75" i="53" s="1"/>
  <c r="AL75" i="53"/>
  <c r="AE75" i="53" s="1"/>
  <c r="I28" i="53"/>
  <c r="W71" i="53"/>
  <c r="X71" i="53" s="1"/>
  <c r="Z72" i="53"/>
  <c r="AA72" i="53" s="1"/>
  <c r="J72" i="53" s="1"/>
  <c r="L72" i="53" s="1"/>
  <c r="AK66" i="53"/>
  <c r="AD66" i="53" s="1"/>
  <c r="V67" i="53"/>
  <c r="Q67" i="53" s="1"/>
  <c r="Z67" i="53"/>
  <c r="AA67" i="53" s="1"/>
  <c r="J67" i="53" s="1"/>
  <c r="AL66" i="53"/>
  <c r="AE66" i="53" s="1"/>
  <c r="N43" i="54"/>
  <c r="N26" i="54"/>
  <c r="N72" i="54"/>
  <c r="N41" i="54"/>
  <c r="N33" i="54"/>
  <c r="N82" i="54"/>
  <c r="N74" i="54"/>
  <c r="N44" i="54"/>
  <c r="N57" i="54"/>
  <c r="N56" i="54"/>
  <c r="N45" i="54"/>
  <c r="N30" i="54"/>
  <c r="N79" i="54"/>
  <c r="N85" i="54"/>
  <c r="N78" i="54"/>
  <c r="N50" i="54"/>
  <c r="N48" i="54"/>
  <c r="N34" i="54"/>
  <c r="N31" i="54"/>
  <c r="N39" i="54"/>
  <c r="N38" i="54"/>
  <c r="N54" i="54"/>
  <c r="N60" i="54"/>
  <c r="N73" i="54"/>
  <c r="N59" i="54"/>
  <c r="N42" i="54"/>
  <c r="N71" i="54"/>
  <c r="N75" i="54"/>
  <c r="N81" i="54"/>
  <c r="N37" i="54"/>
  <c r="N69" i="54"/>
  <c r="N61" i="54"/>
  <c r="N64" i="54"/>
  <c r="N58" i="54"/>
  <c r="N62" i="54"/>
  <c r="N52" i="54"/>
  <c r="N51" i="54"/>
  <c r="N53" i="54"/>
  <c r="N68" i="54"/>
  <c r="N84" i="54"/>
  <c r="N77" i="54"/>
  <c r="N40" i="54"/>
  <c r="N63" i="54"/>
  <c r="N70" i="54"/>
  <c r="N32" i="54"/>
  <c r="N55" i="54"/>
  <c r="N65" i="54"/>
  <c r="N35" i="54"/>
  <c r="N49" i="54"/>
  <c r="N67" i="54"/>
  <c r="N76" i="54"/>
  <c r="N36" i="54"/>
  <c r="N28" i="54"/>
  <c r="N29" i="54"/>
  <c r="N27" i="54"/>
  <c r="N83" i="54"/>
  <c r="N47" i="54"/>
  <c r="N80" i="54"/>
  <c r="N25" i="54"/>
  <c r="N66" i="54"/>
  <c r="N46" i="54"/>
  <c r="AO72" i="53"/>
  <c r="W42" i="53"/>
  <c r="X42" i="53" s="1"/>
  <c r="B43" i="53"/>
  <c r="U42" i="53"/>
  <c r="P42" i="53" s="1"/>
  <c r="F43" i="53"/>
  <c r="AF42" i="53"/>
  <c r="AG42" i="53" s="1"/>
  <c r="D43" i="53"/>
  <c r="S43" i="53" s="1"/>
  <c r="T43" i="53" s="1"/>
  <c r="AH42" i="53"/>
  <c r="AI42" i="53" s="1"/>
  <c r="R64" i="53"/>
  <c r="AL64" i="53"/>
  <c r="AE64" i="53" s="1"/>
  <c r="AZ64" i="53"/>
  <c r="W64" i="53"/>
  <c r="X64" i="53" s="1"/>
  <c r="U64" i="53"/>
  <c r="P64" i="53" s="1"/>
  <c r="AH64" i="53"/>
  <c r="AI64" i="53" s="1"/>
  <c r="AM64" i="53"/>
  <c r="AN64" i="53" s="1"/>
  <c r="D64" i="53"/>
  <c r="S64" i="53" s="1"/>
  <c r="T64" i="53" s="1"/>
  <c r="AK64" i="53"/>
  <c r="AD64" i="53" s="1"/>
  <c r="I64" i="53"/>
  <c r="AO64" i="53"/>
  <c r="AQ64" i="53" s="1"/>
  <c r="AK58" i="53"/>
  <c r="AD58" i="53" s="1"/>
  <c r="AH58" i="53"/>
  <c r="AI58" i="53" s="1"/>
  <c r="B59" i="53"/>
  <c r="D59" i="53"/>
  <c r="AL59" i="53"/>
  <c r="AE59" i="53" s="1"/>
  <c r="B60" i="53"/>
  <c r="Z59" i="53"/>
  <c r="AA59" i="53" s="1"/>
  <c r="J59" i="53" s="1"/>
  <c r="Z58" i="53"/>
  <c r="AA58" i="53" s="1"/>
  <c r="J58" i="53" s="1"/>
  <c r="F60" i="53"/>
  <c r="AH59" i="53"/>
  <c r="AI59" i="53" s="1"/>
  <c r="AZ59" i="53"/>
  <c r="F59" i="53"/>
  <c r="AK59" i="53"/>
  <c r="AD59" i="53" s="1"/>
  <c r="D60" i="53"/>
  <c r="S60" i="53" s="1"/>
  <c r="T60" i="53" s="1"/>
  <c r="AM59" i="53"/>
  <c r="AN59" i="53" s="1"/>
  <c r="AR59" i="53" s="1"/>
  <c r="AT60" i="53" s="1"/>
  <c r="AO59" i="53"/>
  <c r="AQ59" i="53" s="1"/>
  <c r="AH63" i="53"/>
  <c r="AI63" i="53" s="1"/>
  <c r="I59" i="53"/>
  <c r="D65" i="53"/>
  <c r="S65" i="53" s="1"/>
  <c r="T65" i="53" s="1"/>
  <c r="AF59" i="53"/>
  <c r="AG59" i="53" s="1"/>
  <c r="AL42" i="53"/>
  <c r="AE42" i="53" s="1"/>
  <c r="V59" i="53"/>
  <c r="Q59" i="53" s="1"/>
  <c r="U58" i="53"/>
  <c r="P58" i="53" s="1"/>
  <c r="AZ85" i="53"/>
  <c r="Z84" i="53"/>
  <c r="AA84" i="53" s="1"/>
  <c r="J84" i="53" s="1"/>
  <c r="D85" i="53"/>
  <c r="AK85" i="53"/>
  <c r="AD85" i="53" s="1"/>
  <c r="V84" i="53"/>
  <c r="Q84" i="53" s="1"/>
  <c r="AM85" i="53"/>
  <c r="AN85" i="53" s="1"/>
  <c r="AR85" i="53" s="1"/>
  <c r="F85" i="53"/>
  <c r="AH84" i="53"/>
  <c r="AI84" i="53" s="1"/>
  <c r="F86" i="53"/>
  <c r="AL85" i="53"/>
  <c r="AE85" i="53" s="1"/>
  <c r="AF84" i="53"/>
  <c r="AG84" i="53" s="1"/>
  <c r="U84" i="53"/>
  <c r="P84" i="53" s="1"/>
  <c r="AK84" i="53"/>
  <c r="AD84" i="53" s="1"/>
  <c r="Z85" i="53"/>
  <c r="AA85" i="53" s="1"/>
  <c r="J85" i="53" s="1"/>
  <c r="AZ30" i="53"/>
  <c r="W29" i="53"/>
  <c r="X29" i="53" s="1"/>
  <c r="AF29" i="53"/>
  <c r="AG29" i="53" s="1"/>
  <c r="AK83" i="53"/>
  <c r="AD83" i="53" s="1"/>
  <c r="W83" i="53"/>
  <c r="X83" i="53" s="1"/>
  <c r="AH83" i="53"/>
  <c r="AI83" i="53" s="1"/>
  <c r="I84" i="53"/>
  <c r="AL83" i="53"/>
  <c r="AE83" i="53" s="1"/>
  <c r="F84" i="53"/>
  <c r="AZ84" i="53"/>
  <c r="AO84" i="53"/>
  <c r="AQ84" i="53" s="1"/>
  <c r="D84" i="53"/>
  <c r="S84" i="53" s="1"/>
  <c r="T84" i="53" s="1"/>
  <c r="V83" i="53"/>
  <c r="Q83" i="53" s="1"/>
  <c r="U83" i="53"/>
  <c r="P83" i="53" s="1"/>
  <c r="Z45" i="53"/>
  <c r="AA45" i="53" s="1"/>
  <c r="J45" i="53" s="1"/>
  <c r="I46" i="53"/>
  <c r="AK45" i="53"/>
  <c r="AD45" i="53" s="1"/>
  <c r="F46" i="53"/>
  <c r="AF45" i="53"/>
  <c r="AG45" i="53" s="1"/>
  <c r="R46" i="53"/>
  <c r="AO46" i="53"/>
  <c r="D46" i="53"/>
  <c r="AH45" i="53"/>
  <c r="AI45" i="53" s="1"/>
  <c r="V45" i="53"/>
  <c r="Q45" i="53" s="1"/>
  <c r="AH47" i="53"/>
  <c r="AI47" i="53" s="1"/>
  <c r="AL46" i="53"/>
  <c r="AE46" i="53" s="1"/>
  <c r="V47" i="53"/>
  <c r="Q47" i="53" s="1"/>
  <c r="Z46" i="53"/>
  <c r="AA46" i="53" s="1"/>
  <c r="J46" i="53" s="1"/>
  <c r="AL47" i="53"/>
  <c r="AE47" i="53" s="1"/>
  <c r="V62" i="53"/>
  <c r="Q62" i="53" s="1"/>
  <c r="R63" i="53"/>
  <c r="F57" i="53"/>
  <c r="B58" i="53"/>
  <c r="U57" i="53"/>
  <c r="P57" i="53" s="1"/>
  <c r="Z32" i="53"/>
  <c r="AA32" i="53" s="1"/>
  <c r="J32" i="53" s="1"/>
  <c r="L32" i="53" s="1"/>
  <c r="B34" i="53"/>
  <c r="AK33" i="53"/>
  <c r="AD33" i="53" s="1"/>
  <c r="AF33" i="53"/>
  <c r="AG33" i="53" s="1"/>
  <c r="AH33" i="53"/>
  <c r="AI33" i="53" s="1"/>
  <c r="W32" i="53"/>
  <c r="X32" i="53" s="1"/>
  <c r="V33" i="53"/>
  <c r="Q33" i="53" s="1"/>
  <c r="W33" i="53"/>
  <c r="X33" i="53" s="1"/>
  <c r="V35" i="53"/>
  <c r="Q35" i="53" s="1"/>
  <c r="D36" i="53"/>
  <c r="S36" i="53" s="1"/>
  <c r="T36" i="53" s="1"/>
  <c r="AZ35" i="53"/>
  <c r="AO35" i="53"/>
  <c r="AQ35" i="53" s="1"/>
  <c r="V34" i="53"/>
  <c r="Q34" i="53" s="1"/>
  <c r="AK34" i="53"/>
  <c r="AD34" i="53" s="1"/>
  <c r="AH35" i="53"/>
  <c r="AI35" i="53" s="1"/>
  <c r="B35" i="53"/>
  <c r="AH34" i="53"/>
  <c r="AI34" i="53" s="1"/>
  <c r="U34" i="53"/>
  <c r="P34" i="53" s="1"/>
  <c r="W35" i="53"/>
  <c r="X35" i="53" s="1"/>
  <c r="F36" i="53"/>
  <c r="AK35" i="53"/>
  <c r="AD35" i="53" s="1"/>
  <c r="D35" i="53"/>
  <c r="I35" i="53"/>
  <c r="Z34" i="53"/>
  <c r="AA34" i="53" s="1"/>
  <c r="J34" i="53" s="1"/>
  <c r="L34" i="53" s="1"/>
  <c r="Z35" i="53"/>
  <c r="AA35" i="53" s="1"/>
  <c r="J35" i="53" s="1"/>
  <c r="AF35" i="53"/>
  <c r="AG35" i="53" s="1"/>
  <c r="U48" i="53"/>
  <c r="P48" i="53" s="1"/>
  <c r="R49" i="53"/>
  <c r="AJ49" i="53" s="1"/>
  <c r="AK48" i="53"/>
  <c r="AD48" i="53" s="1"/>
  <c r="AO49" i="53"/>
  <c r="AL48" i="53"/>
  <c r="AE48" i="53" s="1"/>
  <c r="D49" i="53"/>
  <c r="Z49" i="53"/>
  <c r="AA49" i="53" s="1"/>
  <c r="J49" i="53" s="1"/>
  <c r="W48" i="53"/>
  <c r="X48" i="53" s="1"/>
  <c r="AZ49" i="53"/>
  <c r="AH48" i="53"/>
  <c r="AI48" i="53" s="1"/>
  <c r="AH49" i="53"/>
  <c r="AI49" i="53" s="1"/>
  <c r="D50" i="53"/>
  <c r="S50" i="53" s="1"/>
  <c r="T50" i="53" s="1"/>
  <c r="AK63" i="53"/>
  <c r="AD63" i="53" s="1"/>
  <c r="AL58" i="53"/>
  <c r="AE58" i="53" s="1"/>
  <c r="AF58" i="53"/>
  <c r="AG58" i="53" s="1"/>
  <c r="AK42" i="53"/>
  <c r="AD42" i="53" s="1"/>
  <c r="AH81" i="53"/>
  <c r="AI81" i="53" s="1"/>
  <c r="AK81" i="53"/>
  <c r="AD81" i="53" s="1"/>
  <c r="D82" i="53"/>
  <c r="AL81" i="53"/>
  <c r="AE81" i="53" s="1"/>
  <c r="AZ53" i="53"/>
  <c r="U53" i="53"/>
  <c r="P53" i="53" s="1"/>
  <c r="W52" i="53"/>
  <c r="X52" i="53" s="1"/>
  <c r="AF52" i="53"/>
  <c r="AG52" i="53" s="1"/>
  <c r="B53" i="53"/>
  <c r="AL52" i="53"/>
  <c r="AE52" i="53" s="1"/>
  <c r="AL53" i="53"/>
  <c r="AE53" i="53" s="1"/>
  <c r="F54" i="53"/>
  <c r="W82" i="53"/>
  <c r="X82" i="53" s="1"/>
  <c r="R83" i="53"/>
  <c r="AJ83" i="53" s="1"/>
  <c r="D83" i="53"/>
  <c r="U82" i="53"/>
  <c r="P82" i="53" s="1"/>
  <c r="AH82" i="53"/>
  <c r="AI82" i="53" s="1"/>
  <c r="AH72" i="53"/>
  <c r="AI72" i="53" s="1"/>
  <c r="U72" i="53"/>
  <c r="P72" i="53" s="1"/>
  <c r="D73" i="53"/>
  <c r="S73" i="53" s="1"/>
  <c r="T73" i="53" s="1"/>
  <c r="B73" i="53"/>
  <c r="V72" i="53"/>
  <c r="Q72" i="53" s="1"/>
  <c r="AF72" i="53"/>
  <c r="AG72" i="53" s="1"/>
  <c r="R68" i="53"/>
  <c r="V68" i="53"/>
  <c r="Q68" i="53" s="1"/>
  <c r="I83" i="53"/>
  <c r="AK72" i="53"/>
  <c r="AD72" i="53" s="1"/>
  <c r="W72" i="53"/>
  <c r="X72" i="53" s="1"/>
  <c r="AZ83" i="53"/>
  <c r="V81" i="53"/>
  <c r="Q81" i="53" s="1"/>
  <c r="Z81" i="53"/>
  <c r="AA81" i="53" s="1"/>
  <c r="J81" i="53" s="1"/>
  <c r="F65" i="53"/>
  <c r="F50" i="53"/>
  <c r="V50" i="53"/>
  <c r="Q50" i="53" s="1"/>
  <c r="F51" i="53"/>
  <c r="R61" i="53"/>
  <c r="AJ61" i="53" s="1"/>
  <c r="I61" i="53"/>
  <c r="W36" i="53"/>
  <c r="X36" i="53" s="1"/>
  <c r="V60" i="53"/>
  <c r="Q60" i="53" s="1"/>
  <c r="AK53" i="53"/>
  <c r="AD53" i="53" s="1"/>
  <c r="AL68" i="53"/>
  <c r="AE68" i="53" s="1"/>
  <c r="B38" i="53"/>
  <c r="V71" i="53"/>
  <c r="Q71" i="53" s="1"/>
  <c r="Z42" i="53"/>
  <c r="AA42" i="53" s="1"/>
  <c r="J42" i="53" s="1"/>
  <c r="AM37" i="53"/>
  <c r="AN37" i="53" s="1"/>
  <c r="AR37" i="53" s="1"/>
  <c r="AT38" i="53" s="1"/>
  <c r="Z36" i="53"/>
  <c r="AA36" i="53" s="1"/>
  <c r="J36" i="53" s="1"/>
  <c r="R55" i="53"/>
  <c r="I55" i="53"/>
  <c r="B55" i="53"/>
  <c r="AF54" i="53"/>
  <c r="AG54" i="53" s="1"/>
  <c r="W55" i="53"/>
  <c r="X55" i="53" s="1"/>
  <c r="AH55" i="53"/>
  <c r="AI55" i="53" s="1"/>
  <c r="AM56" i="53"/>
  <c r="AN56" i="53" s="1"/>
  <c r="AR56" i="53" s="1"/>
  <c r="AT57" i="53" s="1"/>
  <c r="U55" i="53"/>
  <c r="P55" i="53" s="1"/>
  <c r="D56" i="53"/>
  <c r="S56" i="53" s="1"/>
  <c r="T56" i="53" s="1"/>
  <c r="Z55" i="53"/>
  <c r="AA55" i="53" s="1"/>
  <c r="J55" i="53" s="1"/>
  <c r="I56" i="53"/>
  <c r="AO56" i="53"/>
  <c r="AQ56" i="53" s="1"/>
  <c r="F56" i="53"/>
  <c r="V55" i="53"/>
  <c r="Q55" i="53" s="1"/>
  <c r="AF55" i="53"/>
  <c r="AG55" i="53" s="1"/>
  <c r="B56" i="53"/>
  <c r="AK55" i="53"/>
  <c r="AD55" i="53" s="1"/>
  <c r="AZ67" i="53"/>
  <c r="U66" i="53"/>
  <c r="P66" i="53" s="1"/>
  <c r="V66" i="53"/>
  <c r="Q66" i="53" s="1"/>
  <c r="U67" i="53"/>
  <c r="P67" i="53" s="1"/>
  <c r="B68" i="53"/>
  <c r="AH67" i="53"/>
  <c r="AI67" i="53" s="1"/>
  <c r="W67" i="53"/>
  <c r="X67" i="53" s="1"/>
  <c r="I67" i="53"/>
  <c r="AF67" i="53"/>
  <c r="AG67" i="53" s="1"/>
  <c r="R67" i="53"/>
  <c r="AJ67" i="53" s="1"/>
  <c r="W66" i="53"/>
  <c r="X66" i="53" s="1"/>
  <c r="AK67" i="53"/>
  <c r="AD67" i="53" s="1"/>
  <c r="AM67" i="53"/>
  <c r="AN67" i="53" s="1"/>
  <c r="Z66" i="53"/>
  <c r="AA66" i="53" s="1"/>
  <c r="J66" i="53" s="1"/>
  <c r="B67" i="53"/>
  <c r="F67" i="53"/>
  <c r="AL67" i="53"/>
  <c r="AE67" i="53" s="1"/>
  <c r="AH66" i="53"/>
  <c r="AI66" i="53" s="1"/>
  <c r="D78" i="53"/>
  <c r="S78" i="53" s="1"/>
  <c r="T78" i="53" s="1"/>
  <c r="Z77" i="53"/>
  <c r="AA77" i="53" s="1"/>
  <c r="J77" i="53" s="1"/>
  <c r="F77" i="53"/>
  <c r="Z76" i="53"/>
  <c r="AA76" i="53" s="1"/>
  <c r="J76" i="53" s="1"/>
  <c r="AO77" i="53"/>
  <c r="AQ77" i="53" s="1"/>
  <c r="AZ77" i="53"/>
  <c r="W77" i="53"/>
  <c r="X77" i="53" s="1"/>
  <c r="V77" i="53"/>
  <c r="Q77" i="53" s="1"/>
  <c r="AH77" i="53"/>
  <c r="AI77" i="53" s="1"/>
  <c r="W76" i="53"/>
  <c r="X76" i="53" s="1"/>
  <c r="B77" i="53"/>
  <c r="AK76" i="53"/>
  <c r="AD76" i="53" s="1"/>
  <c r="R77" i="53"/>
  <c r="AB76" i="53" s="1"/>
  <c r="F78" i="53"/>
  <c r="U77" i="53"/>
  <c r="P77" i="53" s="1"/>
  <c r="D77" i="53"/>
  <c r="S77" i="53" s="1"/>
  <c r="T77" i="53" s="1"/>
  <c r="AH76" i="53"/>
  <c r="AI76" i="53" s="1"/>
  <c r="AL76" i="53"/>
  <c r="AE76" i="53" s="1"/>
  <c r="U76" i="53"/>
  <c r="P76" i="53" s="1"/>
  <c r="W26" i="53"/>
  <c r="X26" i="53" s="1"/>
  <c r="AZ27" i="53"/>
  <c r="AF26" i="53"/>
  <c r="AG26" i="53" s="1"/>
  <c r="AH26" i="53"/>
  <c r="AI26" i="53" s="1"/>
  <c r="Z26" i="53"/>
  <c r="AA26" i="53" s="1"/>
  <c r="J26" i="53" s="1"/>
  <c r="I26" i="53"/>
  <c r="I27" i="53"/>
  <c r="V73" i="53"/>
  <c r="Q73" i="53" s="1"/>
  <c r="AM74" i="53"/>
  <c r="AN74" i="53" s="1"/>
  <c r="AR74" i="53" s="1"/>
  <c r="AT75" i="53" s="1"/>
  <c r="Z73" i="53"/>
  <c r="AA73" i="53" s="1"/>
  <c r="J73" i="53" s="1"/>
  <c r="B74" i="53"/>
  <c r="F75" i="53"/>
  <c r="AL74" i="53"/>
  <c r="AE74" i="53" s="1"/>
  <c r="W74" i="53"/>
  <c r="X74" i="53" s="1"/>
  <c r="AF74" i="53"/>
  <c r="AG74" i="53" s="1"/>
  <c r="U73" i="53"/>
  <c r="P73" i="53" s="1"/>
  <c r="R74" i="53"/>
  <c r="AJ74" i="53" s="1"/>
  <c r="AH73" i="53"/>
  <c r="AI73" i="53" s="1"/>
  <c r="F74" i="53"/>
  <c r="Z74" i="53"/>
  <c r="AA74" i="53" s="1"/>
  <c r="J74" i="53" s="1"/>
  <c r="AK74" i="53"/>
  <c r="AD74" i="53" s="1"/>
  <c r="D74" i="53"/>
  <c r="S74" i="53" s="1"/>
  <c r="T74" i="53" s="1"/>
  <c r="W73" i="53"/>
  <c r="X73" i="53" s="1"/>
  <c r="AK73" i="53"/>
  <c r="AD73" i="53" s="1"/>
  <c r="I74" i="53"/>
  <c r="B75" i="53"/>
  <c r="AH74" i="53"/>
  <c r="AI74" i="53" s="1"/>
  <c r="D75" i="53"/>
  <c r="S75" i="53" s="1"/>
  <c r="T75" i="53" s="1"/>
  <c r="V79" i="53"/>
  <c r="Q79" i="53" s="1"/>
  <c r="W79" i="53"/>
  <c r="X79" i="53" s="1"/>
  <c r="AZ80" i="53"/>
  <c r="D80" i="53"/>
  <c r="S80" i="53" s="1"/>
  <c r="T80" i="53" s="1"/>
  <c r="R80" i="53"/>
  <c r="U79" i="53"/>
  <c r="P79" i="53" s="1"/>
  <c r="B80" i="53"/>
  <c r="AL80" i="53"/>
  <c r="AE80" i="53" s="1"/>
  <c r="AH80" i="53"/>
  <c r="AI80" i="53" s="1"/>
  <c r="W80" i="53"/>
  <c r="X80" i="53" s="1"/>
  <c r="AM80" i="53"/>
  <c r="AN80" i="53" s="1"/>
  <c r="AR80" i="53" s="1"/>
  <c r="AT81" i="53" s="1"/>
  <c r="AL79" i="53"/>
  <c r="AE79" i="53" s="1"/>
  <c r="AF79" i="53"/>
  <c r="AG79" i="53" s="1"/>
  <c r="V80" i="53"/>
  <c r="Q80" i="53" s="1"/>
  <c r="AF80" i="53"/>
  <c r="AG80" i="53" s="1"/>
  <c r="AO80" i="53"/>
  <c r="AQ80" i="53" s="1"/>
  <c r="AH79" i="53"/>
  <c r="AI79" i="53" s="1"/>
  <c r="F80" i="53"/>
  <c r="F81" i="53"/>
  <c r="U80" i="53"/>
  <c r="P80" i="53" s="1"/>
  <c r="W30" i="53"/>
  <c r="X30" i="53" s="1"/>
  <c r="B32" i="53"/>
  <c r="AZ31" i="53"/>
  <c r="AF31" i="53"/>
  <c r="AG31" i="53" s="1"/>
  <c r="AF30" i="53"/>
  <c r="AG30" i="53" s="1"/>
  <c r="I31" i="53"/>
  <c r="I30" i="53"/>
  <c r="D47" i="53"/>
  <c r="S47" i="53" s="1"/>
  <c r="T47" i="53" s="1"/>
  <c r="I47" i="53"/>
  <c r="F47" i="53"/>
  <c r="W46" i="53"/>
  <c r="X46" i="53" s="1"/>
  <c r="F48" i="53"/>
  <c r="W47" i="53"/>
  <c r="X47" i="53" s="1"/>
  <c r="Z47" i="53"/>
  <c r="AA47" i="53" s="1"/>
  <c r="J47" i="53" s="1"/>
  <c r="V46" i="53"/>
  <c r="Q46" i="53" s="1"/>
  <c r="AO47" i="53"/>
  <c r="AQ47" i="53" s="1"/>
  <c r="AF46" i="53"/>
  <c r="AG46" i="53" s="1"/>
  <c r="B47" i="53"/>
  <c r="U47" i="53"/>
  <c r="P47" i="53" s="1"/>
  <c r="AF47" i="53"/>
  <c r="AG47" i="53" s="1"/>
  <c r="AK47" i="53"/>
  <c r="AD47" i="53" s="1"/>
  <c r="R47" i="53"/>
  <c r="AJ47" i="53" s="1"/>
  <c r="AK46" i="53"/>
  <c r="AD46" i="53" s="1"/>
  <c r="AH46" i="53"/>
  <c r="AI46" i="53" s="1"/>
  <c r="U46" i="53"/>
  <c r="P46" i="53" s="1"/>
  <c r="D48" i="53"/>
  <c r="S48" i="53" s="1"/>
  <c r="T48" i="53" s="1"/>
  <c r="AM63" i="53"/>
  <c r="AN63" i="53" s="1"/>
  <c r="AR63" i="53" s="1"/>
  <c r="AT64" i="53" s="1"/>
  <c r="D63" i="53"/>
  <c r="S63" i="53" s="1"/>
  <c r="T63" i="53" s="1"/>
  <c r="W62" i="53"/>
  <c r="X62" i="53" s="1"/>
  <c r="AK62" i="53"/>
  <c r="AD62" i="53" s="1"/>
  <c r="W63" i="53"/>
  <c r="X63" i="53" s="1"/>
  <c r="F64" i="53"/>
  <c r="V63" i="53"/>
  <c r="Q63" i="53" s="1"/>
  <c r="AL62" i="53"/>
  <c r="AE62" i="53" s="1"/>
  <c r="Z62" i="53"/>
  <c r="AA62" i="53" s="1"/>
  <c r="J62" i="53" s="1"/>
  <c r="F63" i="53"/>
  <c r="AZ63" i="53"/>
  <c r="AO63" i="53"/>
  <c r="AQ63" i="53" s="1"/>
  <c r="I63" i="53"/>
  <c r="AL63" i="53"/>
  <c r="AE63" i="53" s="1"/>
  <c r="B64" i="53"/>
  <c r="B63" i="53"/>
  <c r="AF62" i="53"/>
  <c r="AG62" i="53" s="1"/>
  <c r="AH62" i="53"/>
  <c r="AI62" i="53" s="1"/>
  <c r="U63" i="53"/>
  <c r="P63" i="53" s="1"/>
  <c r="AF63" i="53"/>
  <c r="AG63" i="53" s="1"/>
  <c r="Z63" i="53"/>
  <c r="AA63" i="53" s="1"/>
  <c r="J63" i="53" s="1"/>
  <c r="D58" i="53"/>
  <c r="S58" i="53" s="1"/>
  <c r="T58" i="53" s="1"/>
  <c r="V56" i="53"/>
  <c r="Q56" i="53" s="1"/>
  <c r="AH57" i="53"/>
  <c r="AI57" i="53" s="1"/>
  <c r="Z57" i="53"/>
  <c r="AA57" i="53" s="1"/>
  <c r="J57" i="53" s="1"/>
  <c r="W57" i="53"/>
  <c r="X57" i="53" s="1"/>
  <c r="AO57" i="53"/>
  <c r="AQ57" i="53" s="1"/>
  <c r="V57" i="53"/>
  <c r="Q57" i="53" s="1"/>
  <c r="D57" i="53"/>
  <c r="S57" i="53" s="1"/>
  <c r="T57" i="53" s="1"/>
  <c r="B57" i="53"/>
  <c r="I57" i="53"/>
  <c r="AF56" i="53"/>
  <c r="AG56" i="53" s="1"/>
  <c r="AK56" i="53"/>
  <c r="AD56" i="53" s="1"/>
  <c r="U56" i="53"/>
  <c r="P56" i="53" s="1"/>
  <c r="AF57" i="53"/>
  <c r="AG57" i="53" s="1"/>
  <c r="AZ57" i="53"/>
  <c r="AL57" i="53"/>
  <c r="AE57" i="53" s="1"/>
  <c r="AK57" i="53"/>
  <c r="AD57" i="53" s="1"/>
  <c r="AH56" i="53"/>
  <c r="AI56" i="53" s="1"/>
  <c r="W56" i="53"/>
  <c r="X56" i="53" s="1"/>
  <c r="AL56" i="53"/>
  <c r="AE56" i="53" s="1"/>
  <c r="F58" i="53"/>
  <c r="R57" i="53"/>
  <c r="AJ57" i="53" s="1"/>
  <c r="Z56" i="53"/>
  <c r="AA56" i="53" s="1"/>
  <c r="J56" i="53" s="1"/>
  <c r="AE61" i="3"/>
  <c r="AF61" i="3" s="1"/>
  <c r="AO41" i="53"/>
  <c r="AQ41" i="53" s="1"/>
  <c r="AM41" i="53"/>
  <c r="AN41" i="53" s="1"/>
  <c r="I41" i="53"/>
  <c r="R41" i="53"/>
  <c r="AJ41" i="53" s="1"/>
  <c r="AZ41" i="53"/>
  <c r="W31" i="53"/>
  <c r="X31" i="53" s="1"/>
  <c r="AZ32" i="53"/>
  <c r="AK49" i="53"/>
  <c r="AD49" i="53" s="1"/>
  <c r="AZ50" i="53"/>
  <c r="AO50" i="53"/>
  <c r="AQ50" i="53" s="1"/>
  <c r="AO25" i="53"/>
  <c r="AQ25" i="53" s="1"/>
  <c r="AM25" i="53"/>
  <c r="AN25" i="53" s="1"/>
  <c r="AV25" i="53"/>
  <c r="AW25" i="53" s="1"/>
  <c r="AX25" i="53" s="1"/>
  <c r="AZ25" i="53"/>
  <c r="B25" i="53"/>
  <c r="AM26" i="53" s="1"/>
  <c r="AN26" i="53" s="1"/>
  <c r="V82" i="53"/>
  <c r="Q82" i="53" s="1"/>
  <c r="AK80" i="53"/>
  <c r="AD80" i="53" s="1"/>
  <c r="D81" i="53"/>
  <c r="S81" i="53" s="1"/>
  <c r="T81" i="53" s="1"/>
  <c r="D51" i="53"/>
  <c r="AO51" i="53"/>
  <c r="AQ51" i="53" s="1"/>
  <c r="AO79" i="53"/>
  <c r="AQ79" i="53" s="1"/>
  <c r="AZ79" i="53"/>
  <c r="AM79" i="53"/>
  <c r="AN79" i="53" s="1"/>
  <c r="I79" i="53"/>
  <c r="R79" i="53"/>
  <c r="AJ79" i="53" s="1"/>
  <c r="AL69" i="53"/>
  <c r="AE69" i="53" s="1"/>
  <c r="I50" i="53"/>
  <c r="D39" i="53"/>
  <c r="S39" i="53" s="1"/>
  <c r="T39" i="53" s="1"/>
  <c r="V38" i="53"/>
  <c r="Q38" i="53" s="1"/>
  <c r="AF38" i="53"/>
  <c r="AG38" i="53" s="1"/>
  <c r="D66" i="53"/>
  <c r="AL65" i="53"/>
  <c r="AE65" i="53" s="1"/>
  <c r="F66" i="53"/>
  <c r="AK65" i="53"/>
  <c r="AD65" i="53" s="1"/>
  <c r="AF64" i="53"/>
  <c r="AG64" i="53" s="1"/>
  <c r="Z64" i="53"/>
  <c r="AA64" i="53" s="1"/>
  <c r="J64" i="53" s="1"/>
  <c r="V40" i="53"/>
  <c r="Q40" i="53" s="1"/>
  <c r="AM42" i="53"/>
  <c r="AN42" i="53" s="1"/>
  <c r="AO42" i="53"/>
  <c r="AQ42" i="53" s="1"/>
  <c r="R42" i="53"/>
  <c r="AL41" i="53"/>
  <c r="AE41" i="53" s="1"/>
  <c r="AK41" i="53"/>
  <c r="AD41" i="53" s="1"/>
  <c r="I42" i="53"/>
  <c r="D42" i="53"/>
  <c r="Z41" i="53"/>
  <c r="AA41" i="53" s="1"/>
  <c r="J41" i="53" s="1"/>
  <c r="V41" i="53"/>
  <c r="Q41" i="53" s="1"/>
  <c r="U41" i="53"/>
  <c r="P41" i="53" s="1"/>
  <c r="AH41" i="53"/>
  <c r="AI41" i="53" s="1"/>
  <c r="AF41" i="53"/>
  <c r="AG41" i="53" s="1"/>
  <c r="W41" i="53"/>
  <c r="X41" i="53" s="1"/>
  <c r="AZ42" i="53"/>
  <c r="B42" i="53"/>
  <c r="F42" i="53"/>
  <c r="AO33" i="53"/>
  <c r="AQ33" i="53" s="1"/>
  <c r="D33" i="53"/>
  <c r="S33" i="53" s="1"/>
  <c r="T33" i="53" s="1"/>
  <c r="F33" i="53"/>
  <c r="AM33" i="53"/>
  <c r="AN33" i="53" s="1"/>
  <c r="V32" i="53"/>
  <c r="Q32" i="53" s="1"/>
  <c r="R33" i="53"/>
  <c r="AZ33" i="53"/>
  <c r="I33" i="53"/>
  <c r="AF32" i="53"/>
  <c r="AG32" i="53" s="1"/>
  <c r="AY62" i="3"/>
  <c r="N44" i="51"/>
  <c r="W43" i="51" s="1"/>
  <c r="X43" i="51" s="1"/>
  <c r="N27" i="51"/>
  <c r="AG26" i="51" s="1"/>
  <c r="AH26" i="51" s="1"/>
  <c r="AR60" i="53"/>
  <c r="AT61" i="53" s="1"/>
  <c r="N43" i="39"/>
  <c r="AY43" i="39" s="1"/>
  <c r="N68" i="39"/>
  <c r="N47" i="39"/>
  <c r="AE46" i="39" s="1"/>
  <c r="AF46" i="39" s="1"/>
  <c r="N41" i="39"/>
  <c r="AE40" i="39" s="1"/>
  <c r="AF40" i="39" s="1"/>
  <c r="N54" i="39"/>
  <c r="W53" i="39" s="1"/>
  <c r="X53" i="39" s="1"/>
  <c r="N56" i="39"/>
  <c r="N81" i="39"/>
  <c r="N31" i="39"/>
  <c r="AE30" i="39" s="1"/>
  <c r="AF30" i="39" s="1"/>
  <c r="N34" i="39"/>
  <c r="N84" i="39"/>
  <c r="N27" i="39"/>
  <c r="AY27" i="39" s="1"/>
  <c r="N39" i="39"/>
  <c r="AE38" i="39" s="1"/>
  <c r="AF38" i="39" s="1"/>
  <c r="N59" i="39"/>
  <c r="AY59" i="39" s="1"/>
  <c r="N69" i="39"/>
  <c r="N78" i="39"/>
  <c r="N65" i="39"/>
  <c r="W64" i="39" s="1"/>
  <c r="X64" i="39" s="1"/>
  <c r="N42" i="39"/>
  <c r="AY42" i="39" s="1"/>
  <c r="N74" i="39"/>
  <c r="N63" i="39"/>
  <c r="AY63" i="39" s="1"/>
  <c r="N44" i="39"/>
  <c r="W43" i="39" s="1"/>
  <c r="X43" i="39" s="1"/>
  <c r="N25" i="39"/>
  <c r="AN25" i="39" s="1"/>
  <c r="AP25" i="39" s="1"/>
  <c r="N58" i="39"/>
  <c r="W57" i="39" s="1"/>
  <c r="X57" i="39" s="1"/>
  <c r="N79" i="39"/>
  <c r="N82" i="39"/>
  <c r="I82" i="39" s="1"/>
  <c r="N33" i="39"/>
  <c r="N62" i="39"/>
  <c r="N53" i="39"/>
  <c r="W52" i="39" s="1"/>
  <c r="X52" i="39" s="1"/>
  <c r="N80" i="39"/>
  <c r="AL80" i="39" s="1"/>
  <c r="AM80" i="39" s="1"/>
  <c r="N36" i="39"/>
  <c r="N29" i="39"/>
  <c r="N73" i="39"/>
  <c r="N64" i="39"/>
  <c r="AY64" i="39" s="1"/>
  <c r="N76" i="39"/>
  <c r="N37" i="39"/>
  <c r="AE36" i="39" s="1"/>
  <c r="AF36" i="39" s="1"/>
  <c r="N57" i="39"/>
  <c r="AY57" i="39" s="1"/>
  <c r="N67" i="39"/>
  <c r="AE66" i="39" s="1"/>
  <c r="AF66" i="39" s="1"/>
  <c r="N46" i="39"/>
  <c r="W45" i="39" s="1"/>
  <c r="X45" i="39" s="1"/>
  <c r="N72" i="39"/>
  <c r="N45" i="39"/>
  <c r="AE44" i="39" s="1"/>
  <c r="AF44" i="39" s="1"/>
  <c r="N51" i="39"/>
  <c r="AE50" i="39" s="1"/>
  <c r="AF50" i="39" s="1"/>
  <c r="N32" i="39"/>
  <c r="W31" i="39" s="1"/>
  <c r="X31" i="39" s="1"/>
  <c r="N40" i="39"/>
  <c r="N85" i="39"/>
  <c r="AG85" i="39" s="1"/>
  <c r="AH85" i="39" s="1"/>
  <c r="K85" i="39" s="1"/>
  <c r="N83" i="39"/>
  <c r="N56" i="51"/>
  <c r="AY56" i="51" s="1"/>
  <c r="N82" i="51"/>
  <c r="AY82" i="51" s="1"/>
  <c r="N54" i="51"/>
  <c r="AY54" i="51" s="1"/>
  <c r="N41" i="51"/>
  <c r="AE40" i="51" s="1"/>
  <c r="AF40" i="51" s="1"/>
  <c r="N64" i="51"/>
  <c r="AY64" i="51" s="1"/>
  <c r="N52" i="51"/>
  <c r="W51" i="51" s="1"/>
  <c r="X51" i="51" s="1"/>
  <c r="N35" i="51"/>
  <c r="AE34" i="51" s="1"/>
  <c r="AF34" i="51" s="1"/>
  <c r="N55" i="51"/>
  <c r="AY55" i="51" s="1"/>
  <c r="N73" i="51"/>
  <c r="AY73" i="51" s="1"/>
  <c r="N58" i="51"/>
  <c r="AY58" i="51" s="1"/>
  <c r="N76" i="51"/>
  <c r="AY76" i="51" s="1"/>
  <c r="N26" i="51"/>
  <c r="N75" i="51"/>
  <c r="AE74" i="51" s="1"/>
  <c r="AF74" i="51" s="1"/>
  <c r="N32" i="51"/>
  <c r="N85" i="51"/>
  <c r="N40" i="51"/>
  <c r="W39" i="51" s="1"/>
  <c r="X39" i="51" s="1"/>
  <c r="N53" i="51"/>
  <c r="AE52" i="51" s="1"/>
  <c r="AF52" i="51" s="1"/>
  <c r="N60" i="51"/>
  <c r="AY60" i="51" s="1"/>
  <c r="N59" i="51"/>
  <c r="AE58" i="51" s="1"/>
  <c r="AF58" i="51" s="1"/>
  <c r="N43" i="51"/>
  <c r="W42" i="51" s="1"/>
  <c r="X42" i="51" s="1"/>
  <c r="N51" i="51"/>
  <c r="N72" i="51"/>
  <c r="AE71" i="51" s="1"/>
  <c r="AF71" i="51" s="1"/>
  <c r="N25" i="51"/>
  <c r="AU25" i="51" s="1"/>
  <c r="AV25" i="51" s="1"/>
  <c r="AW25" i="51" s="1"/>
  <c r="AX25" i="51" s="1"/>
  <c r="N67" i="51"/>
  <c r="N83" i="51"/>
  <c r="N79" i="51"/>
  <c r="W78" i="51" s="1"/>
  <c r="X78" i="51" s="1"/>
  <c r="N29" i="51"/>
  <c r="N68" i="51"/>
  <c r="N84" i="51"/>
  <c r="AE83" i="51" s="1"/>
  <c r="AF83" i="51" s="1"/>
  <c r="N38" i="51"/>
  <c r="AE37" i="51" s="1"/>
  <c r="AF37" i="51" s="1"/>
  <c r="N77" i="51"/>
  <c r="AY77" i="51" s="1"/>
  <c r="N57" i="51"/>
  <c r="AE56" i="51" s="1"/>
  <c r="AF56" i="51" s="1"/>
  <c r="N81" i="51"/>
  <c r="N39" i="51"/>
  <c r="AY39" i="51" s="1"/>
  <c r="N36" i="51"/>
  <c r="AY36" i="51" s="1"/>
  <c r="N70" i="51"/>
  <c r="W69" i="51" s="1"/>
  <c r="X69" i="51" s="1"/>
  <c r="N34" i="51"/>
  <c r="AE33" i="51" s="1"/>
  <c r="AF33" i="51" s="1"/>
  <c r="N80" i="51"/>
  <c r="AE79" i="51" s="1"/>
  <c r="AF79" i="51" s="1"/>
  <c r="N65" i="51"/>
  <c r="W64" i="51" s="1"/>
  <c r="X64" i="51" s="1"/>
  <c r="N31" i="51"/>
  <c r="W30" i="51" s="1"/>
  <c r="X30" i="51" s="1"/>
  <c r="N62" i="51"/>
  <c r="N68" i="1"/>
  <c r="AG29" i="55"/>
  <c r="AH29" i="55" s="1"/>
  <c r="V62" i="47"/>
  <c r="Q62" i="47" s="1"/>
  <c r="F62" i="47" s="1"/>
  <c r="N65" i="1"/>
  <c r="AE64" i="1" s="1"/>
  <c r="AF64" i="1" s="1"/>
  <c r="L26" i="26"/>
  <c r="R82" i="45"/>
  <c r="AY82" i="45"/>
  <c r="I82" i="45"/>
  <c r="AN82" i="45"/>
  <c r="AP82" i="45" s="1"/>
  <c r="AL82" i="45"/>
  <c r="AM82" i="45" s="1"/>
  <c r="N41" i="1"/>
  <c r="AE40" i="1" s="1"/>
  <c r="AF40" i="1" s="1"/>
  <c r="N58" i="1"/>
  <c r="AE57" i="1" s="1"/>
  <c r="AF57" i="1" s="1"/>
  <c r="U62" i="47"/>
  <c r="P62" i="47" s="1"/>
  <c r="AJ34" i="53"/>
  <c r="AR39" i="53"/>
  <c r="AT40" i="53" s="1"/>
  <c r="AR57" i="53"/>
  <c r="AT58" i="53" s="1"/>
  <c r="AR46" i="53"/>
  <c r="AT47" i="53" s="1"/>
  <c r="N31" i="1"/>
  <c r="Z30" i="1" s="1"/>
  <c r="AA30" i="1" s="1"/>
  <c r="J30" i="1" s="1"/>
  <c r="N52" i="1"/>
  <c r="AE51" i="1" s="1"/>
  <c r="AF51" i="1" s="1"/>
  <c r="AB62" i="47"/>
  <c r="AC62" i="47"/>
  <c r="AR45" i="53"/>
  <c r="AT46" i="53" s="1"/>
  <c r="AJ59" i="53"/>
  <c r="AR54" i="53"/>
  <c r="AT55" i="53" s="1"/>
  <c r="N57" i="1"/>
  <c r="AY57" i="1" s="1"/>
  <c r="N37" i="1"/>
  <c r="W36" i="1" s="1"/>
  <c r="X36" i="1" s="1"/>
  <c r="N46" i="1"/>
  <c r="W45" i="1" s="1"/>
  <c r="X45" i="1" s="1"/>
  <c r="Z62" i="47"/>
  <c r="AA62" i="47" s="1"/>
  <c r="J62" i="47" s="1"/>
  <c r="AL62" i="47"/>
  <c r="AE62" i="47" s="1"/>
  <c r="AJ76" i="53"/>
  <c r="AP34" i="53"/>
  <c r="AR34" i="53"/>
  <c r="AT35" i="53" s="1"/>
  <c r="AJ56" i="53"/>
  <c r="AR66" i="53"/>
  <c r="AT67" i="53" s="1"/>
  <c r="AR69" i="53"/>
  <c r="AT70" i="53" s="1"/>
  <c r="N68" i="52"/>
  <c r="N62" i="52"/>
  <c r="N70" i="52"/>
  <c r="N80" i="52"/>
  <c r="N31" i="52"/>
  <c r="N43" i="52"/>
  <c r="N69" i="52"/>
  <c r="N55" i="52"/>
  <c r="N44" i="52"/>
  <c r="N64" i="52"/>
  <c r="N60" i="52"/>
  <c r="N56" i="52"/>
  <c r="N46" i="52"/>
  <c r="N85" i="52"/>
  <c r="N28" i="52"/>
  <c r="N29" i="52"/>
  <c r="N33" i="52"/>
  <c r="N38" i="52"/>
  <c r="N30" i="52"/>
  <c r="AG29" i="52" s="1"/>
  <c r="AH29" i="52" s="1"/>
  <c r="N63" i="52"/>
  <c r="N81" i="52"/>
  <c r="N71" i="52"/>
  <c r="N73" i="52"/>
  <c r="N76" i="52"/>
  <c r="N47" i="52"/>
  <c r="N77" i="52"/>
  <c r="N39" i="52"/>
  <c r="N66" i="52"/>
  <c r="N59" i="52"/>
  <c r="N52" i="52"/>
  <c r="N41" i="52"/>
  <c r="N50" i="52"/>
  <c r="N72" i="52"/>
  <c r="N42" i="52"/>
  <c r="N75" i="52"/>
  <c r="N58" i="52"/>
  <c r="N54" i="52"/>
  <c r="N53" i="52"/>
  <c r="N79" i="52"/>
  <c r="N32" i="52"/>
  <c r="N65" i="52"/>
  <c r="N84" i="52"/>
  <c r="N45" i="52"/>
  <c r="N40" i="52"/>
  <c r="N37" i="52"/>
  <c r="N57" i="52"/>
  <c r="N51" i="52"/>
  <c r="N67" i="52"/>
  <c r="N61" i="52"/>
  <c r="N78" i="52"/>
  <c r="N82" i="52"/>
  <c r="N25" i="52"/>
  <c r="N34" i="52"/>
  <c r="N26" i="52"/>
  <c r="N74" i="52"/>
  <c r="N27" i="52"/>
  <c r="N35" i="52"/>
  <c r="N36" i="52"/>
  <c r="N83" i="52"/>
  <c r="N51" i="1"/>
  <c r="AE50" i="1" s="1"/>
  <c r="AF50" i="1" s="1"/>
  <c r="N86" i="1"/>
  <c r="F87" i="1" s="1"/>
  <c r="N33" i="1"/>
  <c r="N34" i="1"/>
  <c r="W33" i="1" s="1"/>
  <c r="X33" i="1" s="1"/>
  <c r="N35" i="1"/>
  <c r="AY35" i="1" s="1"/>
  <c r="N56" i="1"/>
  <c r="N81" i="1"/>
  <c r="AN81" i="1" s="1"/>
  <c r="AP81" i="1" s="1"/>
  <c r="N47" i="1"/>
  <c r="AE46" i="1" s="1"/>
  <c r="AF46" i="1" s="1"/>
  <c r="N69" i="1"/>
  <c r="AY69" i="1" s="1"/>
  <c r="N79" i="1"/>
  <c r="R79" i="1" s="1"/>
  <c r="N54" i="1"/>
  <c r="AY54" i="1" s="1"/>
  <c r="N53" i="1"/>
  <c r="AY53" i="1" s="1"/>
  <c r="N45" i="1"/>
  <c r="AE44" i="1" s="1"/>
  <c r="AF44" i="1" s="1"/>
  <c r="N74" i="1"/>
  <c r="AY74" i="1" s="1"/>
  <c r="N42" i="1"/>
  <c r="AE41" i="1" s="1"/>
  <c r="AF41" i="1" s="1"/>
  <c r="N28" i="1"/>
  <c r="AY28" i="1" s="1"/>
  <c r="N83" i="1"/>
  <c r="AN83" i="1" s="1"/>
  <c r="AP83" i="1" s="1"/>
  <c r="N71" i="1"/>
  <c r="W70" i="1" s="1"/>
  <c r="X70" i="1" s="1"/>
  <c r="N32" i="1"/>
  <c r="W31" i="1" s="1"/>
  <c r="X31" i="1" s="1"/>
  <c r="N38" i="1"/>
  <c r="N67" i="1"/>
  <c r="AY67" i="1" s="1"/>
  <c r="W25" i="39"/>
  <c r="AG25" i="39"/>
  <c r="AH25" i="39" s="1"/>
  <c r="K25" i="39" s="1"/>
  <c r="AJ25" i="39"/>
  <c r="AC25" i="39" s="1"/>
  <c r="X25" i="39"/>
  <c r="Z25" i="39"/>
  <c r="AA25" i="39" s="1"/>
  <c r="J25" i="39" s="1"/>
  <c r="V25" i="39"/>
  <c r="Q25" i="39" s="1"/>
  <c r="F25" i="39" s="1"/>
  <c r="AK25" i="39"/>
  <c r="AD25" i="39" s="1"/>
  <c r="G25" i="39" s="1"/>
  <c r="AB25" i="39"/>
  <c r="AE25" i="39"/>
  <c r="AF25" i="39" s="1"/>
  <c r="U25" i="39"/>
  <c r="P25" i="39" s="1"/>
  <c r="N44" i="1"/>
  <c r="AE43" i="1" s="1"/>
  <c r="AF43" i="1" s="1"/>
  <c r="N62" i="1"/>
  <c r="AE61" i="1" s="1"/>
  <c r="AF61" i="1" s="1"/>
  <c r="N40" i="1"/>
  <c r="AY40" i="1" s="1"/>
  <c r="N30" i="1"/>
  <c r="AY30" i="1" s="1"/>
  <c r="N84" i="1"/>
  <c r="N85" i="1"/>
  <c r="AY85" i="1" s="1"/>
  <c r="N60" i="1"/>
  <c r="AE59" i="1" s="1"/>
  <c r="AF59" i="1" s="1"/>
  <c r="N48" i="1"/>
  <c r="N64" i="1"/>
  <c r="AY64" i="1" s="1"/>
  <c r="N66" i="1"/>
  <c r="AY66" i="1" s="1"/>
  <c r="N63" i="1"/>
  <c r="W62" i="1" s="1"/>
  <c r="X62" i="1" s="1"/>
  <c r="N66" i="26"/>
  <c r="N59" i="26"/>
  <c r="N45" i="26"/>
  <c r="N86" i="26"/>
  <c r="N38" i="26"/>
  <c r="N29" i="26"/>
  <c r="N90" i="26"/>
  <c r="N77" i="26"/>
  <c r="N93" i="26"/>
  <c r="N26" i="26"/>
  <c r="N65" i="26"/>
  <c r="N56" i="26"/>
  <c r="N95" i="26"/>
  <c r="N69" i="26"/>
  <c r="N28" i="26"/>
  <c r="N72" i="26"/>
  <c r="N42" i="26"/>
  <c r="N35" i="26"/>
  <c r="N40" i="26"/>
  <c r="N91" i="26"/>
  <c r="N37" i="26"/>
  <c r="N98" i="26"/>
  <c r="N75" i="26"/>
  <c r="N99" i="26"/>
  <c r="N33" i="26"/>
  <c r="N36" i="26"/>
  <c r="N84" i="26"/>
  <c r="N79" i="26"/>
  <c r="N55" i="26"/>
  <c r="N60" i="26"/>
  <c r="N57" i="26"/>
  <c r="N61" i="26"/>
  <c r="N41" i="26"/>
  <c r="N63" i="26"/>
  <c r="N43" i="26"/>
  <c r="AZ25" i="26"/>
  <c r="BA25" i="26" s="1"/>
  <c r="BB25" i="26" s="1"/>
  <c r="BC25" i="26" s="1"/>
  <c r="N34" i="26"/>
  <c r="N73" i="26"/>
  <c r="N44" i="26"/>
  <c r="N68" i="26"/>
  <c r="N83" i="26"/>
  <c r="N102" i="26"/>
  <c r="N74" i="26"/>
  <c r="N27" i="26"/>
  <c r="N39" i="26"/>
  <c r="N48" i="26"/>
  <c r="N70" i="26"/>
  <c r="N81" i="26"/>
  <c r="N101" i="26"/>
  <c r="N64" i="26"/>
  <c r="N87" i="26"/>
  <c r="N76" i="26"/>
  <c r="N97" i="26"/>
  <c r="N85" i="26"/>
  <c r="N94" i="26"/>
  <c r="N89" i="26"/>
  <c r="N92" i="26"/>
  <c r="N67" i="26"/>
  <c r="N62" i="26"/>
  <c r="N100" i="26"/>
  <c r="N31" i="26"/>
  <c r="N78" i="26"/>
  <c r="N30" i="26"/>
  <c r="N32" i="26"/>
  <c r="N71" i="26"/>
  <c r="N58" i="26"/>
  <c r="N96" i="26"/>
  <c r="N88" i="26"/>
  <c r="N47" i="26"/>
  <c r="N80" i="26"/>
  <c r="N46" i="26"/>
  <c r="N82" i="26"/>
  <c r="N75" i="1"/>
  <c r="AN75" i="1" s="1"/>
  <c r="AP75" i="1" s="1"/>
  <c r="N76" i="1"/>
  <c r="AY76" i="1" s="1"/>
  <c r="N73" i="1"/>
  <c r="AE72" i="1" s="1"/>
  <c r="AF72" i="1" s="1"/>
  <c r="N77" i="1"/>
  <c r="AL77" i="1" s="1"/>
  <c r="AM77" i="1" s="1"/>
  <c r="N59" i="1"/>
  <c r="AE58" i="1" s="1"/>
  <c r="AF58" i="1" s="1"/>
  <c r="AF62" i="47"/>
  <c r="AG62" i="47" s="1"/>
  <c r="W62" i="47"/>
  <c r="X62" i="47"/>
  <c r="N80" i="1"/>
  <c r="AN80" i="1" s="1"/>
  <c r="AP80" i="1" s="1"/>
  <c r="AK62" i="47"/>
  <c r="AD62" i="47" s="1"/>
  <c r="N29" i="1"/>
  <c r="AE28" i="1" s="1"/>
  <c r="AF28" i="1" s="1"/>
  <c r="AE36" i="55"/>
  <c r="AF36" i="55" s="1"/>
  <c r="I37" i="55"/>
  <c r="W36" i="55"/>
  <c r="X36" i="55" s="1"/>
  <c r="AY37" i="55"/>
  <c r="R58" i="55"/>
  <c r="AN58" i="55"/>
  <c r="AP58" i="55" s="1"/>
  <c r="W57" i="55"/>
  <c r="X57" i="55" s="1"/>
  <c r="V57" i="55"/>
  <c r="Q57" i="55" s="1"/>
  <c r="B58" i="55"/>
  <c r="I58" i="55"/>
  <c r="F58" i="55"/>
  <c r="U57" i="55"/>
  <c r="P57" i="55" s="1"/>
  <c r="AY58" i="55"/>
  <c r="Z57" i="55"/>
  <c r="AA57" i="55" s="1"/>
  <c r="J57" i="55" s="1"/>
  <c r="AG57" i="55"/>
  <c r="AH57" i="55" s="1"/>
  <c r="D58" i="55"/>
  <c r="AK57" i="55"/>
  <c r="AD57" i="55" s="1"/>
  <c r="AE57" i="55"/>
  <c r="AF57" i="55" s="1"/>
  <c r="AJ57" i="55"/>
  <c r="AC57" i="55" s="1"/>
  <c r="AL58" i="55"/>
  <c r="AM58" i="55" s="1"/>
  <c r="AY61" i="55"/>
  <c r="R61" i="55"/>
  <c r="AJ60" i="55"/>
  <c r="AC60" i="55" s="1"/>
  <c r="AG60" i="55"/>
  <c r="AH60" i="55" s="1"/>
  <c r="AE60" i="55"/>
  <c r="AF60" i="55" s="1"/>
  <c r="I61" i="55"/>
  <c r="AL61" i="55"/>
  <c r="AM61" i="55" s="1"/>
  <c r="F61" i="55"/>
  <c r="B61" i="55"/>
  <c r="Z60" i="55"/>
  <c r="AA60" i="55" s="1"/>
  <c r="J60" i="55" s="1"/>
  <c r="W60" i="55"/>
  <c r="X60" i="55" s="1"/>
  <c r="D61" i="55"/>
  <c r="AK60" i="55"/>
  <c r="AD60" i="55" s="1"/>
  <c r="U60" i="55"/>
  <c r="P60" i="55" s="1"/>
  <c r="AN61" i="55"/>
  <c r="AP61" i="55" s="1"/>
  <c r="V60" i="55"/>
  <c r="Q60" i="55" s="1"/>
  <c r="Z63" i="55"/>
  <c r="AA63" i="55" s="1"/>
  <c r="J63" i="55" s="1"/>
  <c r="V63" i="55"/>
  <c r="Q63" i="55" s="1"/>
  <c r="AK63" i="55"/>
  <c r="AD63" i="55" s="1"/>
  <c r="B64" i="55"/>
  <c r="AL64" i="55"/>
  <c r="AM64" i="55" s="1"/>
  <c r="D64" i="55"/>
  <c r="S64" i="55" s="1"/>
  <c r="T64" i="55" s="1"/>
  <c r="I64" i="55"/>
  <c r="AG63" i="55"/>
  <c r="AH63" i="55" s="1"/>
  <c r="AE63" i="55"/>
  <c r="AF63" i="55" s="1"/>
  <c r="AN64" i="55"/>
  <c r="AP64" i="55" s="1"/>
  <c r="U63" i="55"/>
  <c r="P63" i="55" s="1"/>
  <c r="AJ63" i="55"/>
  <c r="AC63" i="55" s="1"/>
  <c r="R64" i="55"/>
  <c r="AY64" i="55"/>
  <c r="W63" i="55"/>
  <c r="X63" i="55" s="1"/>
  <c r="F64" i="55"/>
  <c r="I29" i="55"/>
  <c r="N82" i="1"/>
  <c r="R47" i="55"/>
  <c r="I47" i="55"/>
  <c r="V46" i="55"/>
  <c r="Q46" i="55" s="1"/>
  <c r="B47" i="55"/>
  <c r="U46" i="55"/>
  <c r="P46" i="55" s="1"/>
  <c r="Z46" i="55"/>
  <c r="AA46" i="55" s="1"/>
  <c r="J46" i="55" s="1"/>
  <c r="AL47" i="55"/>
  <c r="AM47" i="55" s="1"/>
  <c r="AJ46" i="55"/>
  <c r="AC46" i="55" s="1"/>
  <c r="AN47" i="55"/>
  <c r="AP47" i="55" s="1"/>
  <c r="D47" i="55"/>
  <c r="AY47" i="55"/>
  <c r="F47" i="55"/>
  <c r="AE46" i="55"/>
  <c r="AF46" i="55" s="1"/>
  <c r="AK46" i="55"/>
  <c r="AD46" i="55" s="1"/>
  <c r="W46" i="55"/>
  <c r="X46" i="55" s="1"/>
  <c r="AG46" i="55"/>
  <c r="AH46" i="55" s="1"/>
  <c r="W35" i="55"/>
  <c r="X35" i="55" s="1"/>
  <c r="AE35" i="55"/>
  <c r="AF35" i="55" s="1"/>
  <c r="AY36" i="55"/>
  <c r="AJ80" i="55"/>
  <c r="AC80" i="55" s="1"/>
  <c r="D81" i="55"/>
  <c r="S81" i="55" s="1"/>
  <c r="T81" i="55" s="1"/>
  <c r="AG80" i="55"/>
  <c r="AH80" i="55" s="1"/>
  <c r="R81" i="55"/>
  <c r="AL81" i="55"/>
  <c r="AM81" i="55" s="1"/>
  <c r="U80" i="55"/>
  <c r="P80" i="55" s="1"/>
  <c r="B81" i="55"/>
  <c r="V80" i="55"/>
  <c r="Q80" i="55" s="1"/>
  <c r="AN81" i="55"/>
  <c r="AP81" i="55" s="1"/>
  <c r="AY81" i="55"/>
  <c r="AK80" i="55"/>
  <c r="AD80" i="55" s="1"/>
  <c r="W80" i="55"/>
  <c r="X80" i="55" s="1"/>
  <c r="I81" i="55"/>
  <c r="Z80" i="55"/>
  <c r="AA80" i="55" s="1"/>
  <c r="J80" i="55" s="1"/>
  <c r="AE80" i="55"/>
  <c r="AF80" i="55" s="1"/>
  <c r="F81" i="55"/>
  <c r="Z26" i="55"/>
  <c r="AA26" i="55" s="1"/>
  <c r="J26" i="55" s="1"/>
  <c r="AY27" i="55"/>
  <c r="I27" i="55"/>
  <c r="AE26" i="55"/>
  <c r="AF26" i="55" s="1"/>
  <c r="W26" i="55"/>
  <c r="X26" i="55" s="1"/>
  <c r="AG26" i="55"/>
  <c r="AH26" i="55" s="1"/>
  <c r="D42" i="55"/>
  <c r="W41" i="55"/>
  <c r="X41" i="55" s="1"/>
  <c r="Z41" i="55"/>
  <c r="AA41" i="55" s="1"/>
  <c r="J41" i="55" s="1"/>
  <c r="U41" i="55"/>
  <c r="P41" i="55" s="1"/>
  <c r="AL42" i="55"/>
  <c r="AM42" i="55" s="1"/>
  <c r="AK41" i="55"/>
  <c r="AD41" i="55" s="1"/>
  <c r="I42" i="55"/>
  <c r="F42" i="55"/>
  <c r="AJ41" i="55"/>
  <c r="AC41" i="55" s="1"/>
  <c r="AG41" i="55"/>
  <c r="AH41" i="55" s="1"/>
  <c r="AN42" i="55"/>
  <c r="AP42" i="55" s="1"/>
  <c r="B42" i="55"/>
  <c r="R42" i="55"/>
  <c r="V41" i="55"/>
  <c r="Q41" i="55" s="1"/>
  <c r="AY42" i="55"/>
  <c r="AE41" i="55"/>
  <c r="AF41" i="55" s="1"/>
  <c r="I68" i="55"/>
  <c r="R68" i="55"/>
  <c r="AE67" i="55"/>
  <c r="AF67" i="55" s="1"/>
  <c r="Z67" i="55"/>
  <c r="AA67" i="55" s="1"/>
  <c r="J67" i="55" s="1"/>
  <c r="W67" i="55"/>
  <c r="X67" i="55" s="1"/>
  <c r="AY68" i="55"/>
  <c r="U67" i="55"/>
  <c r="P67" i="55" s="1"/>
  <c r="D68" i="55"/>
  <c r="AJ67" i="55"/>
  <c r="AC67" i="55" s="1"/>
  <c r="AN68" i="55"/>
  <c r="AP68" i="55" s="1"/>
  <c r="AL68" i="55"/>
  <c r="AM68" i="55" s="1"/>
  <c r="AK67" i="55"/>
  <c r="AD67" i="55" s="1"/>
  <c r="B68" i="55"/>
  <c r="F68" i="55"/>
  <c r="AG67" i="55"/>
  <c r="AH67" i="55" s="1"/>
  <c r="V67" i="55"/>
  <c r="Q67" i="55" s="1"/>
  <c r="Z68" i="55"/>
  <c r="AA68" i="55" s="1"/>
  <c r="J68" i="55" s="1"/>
  <c r="AE68" i="55"/>
  <c r="AF68" i="55" s="1"/>
  <c r="AK68" i="55"/>
  <c r="AD68" i="55" s="1"/>
  <c r="AJ68" i="55"/>
  <c r="AC68" i="55" s="1"/>
  <c r="AN69" i="55"/>
  <c r="AP69" i="55" s="1"/>
  <c r="AL69" i="55"/>
  <c r="AM69" i="55" s="1"/>
  <c r="B69" i="55"/>
  <c r="W68" i="55"/>
  <c r="X68" i="55" s="1"/>
  <c r="U68" i="55"/>
  <c r="P68" i="55" s="1"/>
  <c r="AG68" i="55"/>
  <c r="AH68" i="55" s="1"/>
  <c r="R69" i="55"/>
  <c r="V68" i="55"/>
  <c r="Q68" i="55" s="1"/>
  <c r="F69" i="55"/>
  <c r="AY69" i="55"/>
  <c r="I69" i="55"/>
  <c r="D69" i="55"/>
  <c r="B56" i="55"/>
  <c r="R56" i="55"/>
  <c r="AY56" i="55"/>
  <c r="D56" i="55"/>
  <c r="S56" i="55" s="1"/>
  <c r="T56" i="55" s="1"/>
  <c r="V55" i="55"/>
  <c r="Q55" i="55" s="1"/>
  <c r="AN56" i="55"/>
  <c r="AP56" i="55" s="1"/>
  <c r="I56" i="55"/>
  <c r="W55" i="55"/>
  <c r="X55" i="55" s="1"/>
  <c r="AL56" i="55"/>
  <c r="AM56" i="55" s="1"/>
  <c r="AJ55" i="55"/>
  <c r="AC55" i="55" s="1"/>
  <c r="U55" i="55"/>
  <c r="P55" i="55" s="1"/>
  <c r="AG55" i="55"/>
  <c r="AH55" i="55" s="1"/>
  <c r="Z55" i="55"/>
  <c r="AA55" i="55" s="1"/>
  <c r="J55" i="55" s="1"/>
  <c r="AK55" i="55"/>
  <c r="AD55" i="55" s="1"/>
  <c r="AE55" i="55"/>
  <c r="AF55" i="55" s="1"/>
  <c r="F56" i="55"/>
  <c r="AL72" i="55"/>
  <c r="AM72" i="55" s="1"/>
  <c r="W71" i="55"/>
  <c r="X71" i="55" s="1"/>
  <c r="Z71" i="55"/>
  <c r="AA71" i="55" s="1"/>
  <c r="J71" i="55" s="1"/>
  <c r="R72" i="55"/>
  <c r="AG71" i="55"/>
  <c r="AH71" i="55" s="1"/>
  <c r="F72" i="55"/>
  <c r="AY72" i="55"/>
  <c r="AJ71" i="55"/>
  <c r="AC71" i="55" s="1"/>
  <c r="AK71" i="55"/>
  <c r="AD71" i="55" s="1"/>
  <c r="AN72" i="55"/>
  <c r="AP72" i="55" s="1"/>
  <c r="I72" i="55"/>
  <c r="V71" i="55"/>
  <c r="Q71" i="55" s="1"/>
  <c r="B72" i="55"/>
  <c r="AE71" i="55"/>
  <c r="AF71" i="55" s="1"/>
  <c r="D72" i="55"/>
  <c r="U71" i="55"/>
  <c r="P71" i="55" s="1"/>
  <c r="V44" i="55"/>
  <c r="Q44" i="55" s="1"/>
  <c r="AG44" i="55"/>
  <c r="AH44" i="55" s="1"/>
  <c r="I45" i="55"/>
  <c r="AJ44" i="55"/>
  <c r="AC44" i="55" s="1"/>
  <c r="AY45" i="55"/>
  <c r="AE44" i="55"/>
  <c r="AF44" i="55" s="1"/>
  <c r="W44" i="55"/>
  <c r="X44" i="55" s="1"/>
  <c r="AK44" i="55"/>
  <c r="AD44" i="55" s="1"/>
  <c r="AL45" i="55"/>
  <c r="AM45" i="55" s="1"/>
  <c r="Z44" i="55"/>
  <c r="AA44" i="55" s="1"/>
  <c r="J44" i="55" s="1"/>
  <c r="B45" i="55"/>
  <c r="R45" i="55"/>
  <c r="AN45" i="55"/>
  <c r="AP45" i="55" s="1"/>
  <c r="F45" i="55"/>
  <c r="D45" i="55"/>
  <c r="U44" i="55"/>
  <c r="P44" i="55" s="1"/>
  <c r="AY33" i="55"/>
  <c r="AE32" i="55"/>
  <c r="AF32" i="55" s="1"/>
  <c r="W32" i="55"/>
  <c r="X32" i="55" s="1"/>
  <c r="AY70" i="55"/>
  <c r="R70" i="55"/>
  <c r="AL70" i="55"/>
  <c r="AM70" i="55" s="1"/>
  <c r="AE69" i="55"/>
  <c r="AF69" i="55" s="1"/>
  <c r="AJ69" i="55"/>
  <c r="AC69" i="55" s="1"/>
  <c r="B70" i="55"/>
  <c r="AG69" i="55"/>
  <c r="AH69" i="55" s="1"/>
  <c r="D70" i="55"/>
  <c r="S70" i="55" s="1"/>
  <c r="T70" i="55" s="1"/>
  <c r="W69" i="55"/>
  <c r="X69" i="55" s="1"/>
  <c r="U69" i="55"/>
  <c r="P69" i="55" s="1"/>
  <c r="AK69" i="55"/>
  <c r="AD69" i="55" s="1"/>
  <c r="Z69" i="55"/>
  <c r="AA69" i="55" s="1"/>
  <c r="J69" i="55" s="1"/>
  <c r="AN70" i="55"/>
  <c r="AP70" i="55" s="1"/>
  <c r="I70" i="55"/>
  <c r="V69" i="55"/>
  <c r="Q69" i="55" s="1"/>
  <c r="F70" i="55"/>
  <c r="Z38" i="55"/>
  <c r="AA38" i="55" s="1"/>
  <c r="J38" i="55" s="1"/>
  <c r="D39" i="55"/>
  <c r="W38" i="55"/>
  <c r="X38" i="55" s="1"/>
  <c r="AN39" i="55"/>
  <c r="AP39" i="55" s="1"/>
  <c r="U38" i="55"/>
  <c r="P38" i="55" s="1"/>
  <c r="B39" i="55"/>
  <c r="AY39" i="55"/>
  <c r="AG38" i="55"/>
  <c r="AH38" i="55" s="1"/>
  <c r="R39" i="55"/>
  <c r="AJ38" i="55"/>
  <c r="AC38" i="55" s="1"/>
  <c r="F39" i="55"/>
  <c r="V38" i="55"/>
  <c r="Q38" i="55" s="1"/>
  <c r="AE38" i="55"/>
  <c r="AF38" i="55" s="1"/>
  <c r="AK38" i="55"/>
  <c r="AD38" i="55" s="1"/>
  <c r="AL39" i="55"/>
  <c r="AM39" i="55" s="1"/>
  <c r="I39" i="55"/>
  <c r="AG65" i="55"/>
  <c r="AH65" i="55" s="1"/>
  <c r="F66" i="55"/>
  <c r="R66" i="55"/>
  <c r="D66" i="55"/>
  <c r="AN66" i="55"/>
  <c r="AP66" i="55" s="1"/>
  <c r="V65" i="55"/>
  <c r="Q65" i="55" s="1"/>
  <c r="Z65" i="55"/>
  <c r="AA65" i="55" s="1"/>
  <c r="J65" i="55" s="1"/>
  <c r="AJ65" i="55"/>
  <c r="AC65" i="55" s="1"/>
  <c r="B66" i="55"/>
  <c r="I66" i="55"/>
  <c r="AE65" i="55"/>
  <c r="AF65" i="55" s="1"/>
  <c r="W65" i="55"/>
  <c r="X65" i="55" s="1"/>
  <c r="U65" i="55"/>
  <c r="P65" i="55" s="1"/>
  <c r="AK65" i="55"/>
  <c r="AD65" i="55" s="1"/>
  <c r="AY66" i="55"/>
  <c r="AL66" i="55"/>
  <c r="AM66" i="55" s="1"/>
  <c r="AY53" i="55"/>
  <c r="W52" i="55"/>
  <c r="X52" i="55" s="1"/>
  <c r="V52" i="55"/>
  <c r="Q52" i="55" s="1"/>
  <c r="AL53" i="55"/>
  <c r="AM53" i="55" s="1"/>
  <c r="AG52" i="55"/>
  <c r="AH52" i="55" s="1"/>
  <c r="Z52" i="55"/>
  <c r="AA52" i="55" s="1"/>
  <c r="J52" i="55" s="1"/>
  <c r="I53" i="55"/>
  <c r="AJ52" i="55"/>
  <c r="AC52" i="55" s="1"/>
  <c r="R53" i="55"/>
  <c r="B53" i="55"/>
  <c r="U52" i="55"/>
  <c r="P52" i="55" s="1"/>
  <c r="AK52" i="55"/>
  <c r="AD52" i="55" s="1"/>
  <c r="F53" i="55"/>
  <c r="AN53" i="55"/>
  <c r="AP53" i="55" s="1"/>
  <c r="AE52" i="55"/>
  <c r="AF52" i="55" s="1"/>
  <c r="D53" i="55"/>
  <c r="AL44" i="55"/>
  <c r="AM44" i="55" s="1"/>
  <c r="AJ43" i="55"/>
  <c r="AC43" i="55" s="1"/>
  <c r="Z43" i="55"/>
  <c r="AA43" i="55" s="1"/>
  <c r="J43" i="55" s="1"/>
  <c r="AN44" i="55"/>
  <c r="AP44" i="55" s="1"/>
  <c r="AG43" i="55"/>
  <c r="AH43" i="55" s="1"/>
  <c r="F44" i="55"/>
  <c r="I44" i="55"/>
  <c r="V43" i="55"/>
  <c r="Q43" i="55" s="1"/>
  <c r="AE43" i="55"/>
  <c r="AF43" i="55" s="1"/>
  <c r="W43" i="55"/>
  <c r="X43" i="55" s="1"/>
  <c r="AY44" i="55"/>
  <c r="B44" i="55"/>
  <c r="AK43" i="55"/>
  <c r="AD43" i="55" s="1"/>
  <c r="U43" i="55"/>
  <c r="P43" i="55" s="1"/>
  <c r="R44" i="55"/>
  <c r="D44" i="55"/>
  <c r="AE31" i="55"/>
  <c r="AF31" i="55" s="1"/>
  <c r="W31" i="55"/>
  <c r="X31" i="55" s="1"/>
  <c r="AY32" i="55"/>
  <c r="AY84" i="55"/>
  <c r="AL84" i="55"/>
  <c r="AM84" i="55" s="1"/>
  <c r="AJ83" i="55"/>
  <c r="AC83" i="55" s="1"/>
  <c r="Z83" i="55"/>
  <c r="AA83" i="55" s="1"/>
  <c r="J83" i="55" s="1"/>
  <c r="R84" i="55"/>
  <c r="F84" i="55"/>
  <c r="AE83" i="55"/>
  <c r="AF83" i="55" s="1"/>
  <c r="I84" i="55"/>
  <c r="V83" i="55"/>
  <c r="Q83" i="55" s="1"/>
  <c r="B84" i="55"/>
  <c r="AN84" i="55"/>
  <c r="AP84" i="55" s="1"/>
  <c r="U83" i="55"/>
  <c r="P83" i="55" s="1"/>
  <c r="AG83" i="55"/>
  <c r="AH83" i="55" s="1"/>
  <c r="D84" i="55"/>
  <c r="W83" i="55"/>
  <c r="X83" i="55" s="1"/>
  <c r="AK83" i="55"/>
  <c r="AD83" i="55" s="1"/>
  <c r="R57" i="55"/>
  <c r="AY57" i="55"/>
  <c r="AK56" i="55"/>
  <c r="AD56" i="55" s="1"/>
  <c r="W56" i="55"/>
  <c r="X56" i="55" s="1"/>
  <c r="B57" i="55"/>
  <c r="AE56" i="55"/>
  <c r="AF56" i="55" s="1"/>
  <c r="D57" i="55"/>
  <c r="V56" i="55"/>
  <c r="Q56" i="55" s="1"/>
  <c r="AN57" i="55"/>
  <c r="AP57" i="55" s="1"/>
  <c r="F57" i="55"/>
  <c r="U56" i="55"/>
  <c r="P56" i="55" s="1"/>
  <c r="AL57" i="55"/>
  <c r="AM57" i="55" s="1"/>
  <c r="Z56" i="55"/>
  <c r="AA56" i="55" s="1"/>
  <c r="J56" i="55" s="1"/>
  <c r="AG56" i="55"/>
  <c r="AH56" i="55" s="1"/>
  <c r="I57" i="55"/>
  <c r="AJ56" i="55"/>
  <c r="AC56" i="55" s="1"/>
  <c r="AJ79" i="55"/>
  <c r="AC79" i="55" s="1"/>
  <c r="R80" i="55"/>
  <c r="F80" i="55"/>
  <c r="U79" i="55"/>
  <c r="P79" i="55" s="1"/>
  <c r="AY80" i="55"/>
  <c r="AL80" i="55"/>
  <c r="AM80" i="55" s="1"/>
  <c r="D80" i="55"/>
  <c r="AE79" i="55"/>
  <c r="AF79" i="55" s="1"/>
  <c r="AG79" i="55"/>
  <c r="AH79" i="55" s="1"/>
  <c r="AN80" i="55"/>
  <c r="AP80" i="55" s="1"/>
  <c r="Z79" i="55"/>
  <c r="AA79" i="55" s="1"/>
  <c r="J79" i="55" s="1"/>
  <c r="AK79" i="55"/>
  <c r="AD79" i="55" s="1"/>
  <c r="I80" i="55"/>
  <c r="V79" i="55"/>
  <c r="Q79" i="55" s="1"/>
  <c r="W79" i="55"/>
  <c r="X79" i="55" s="1"/>
  <c r="B80" i="55"/>
  <c r="N64" i="47"/>
  <c r="N111" i="47"/>
  <c r="N119" i="47"/>
  <c r="N96" i="47"/>
  <c r="N73" i="47"/>
  <c r="N81" i="47"/>
  <c r="N112" i="47"/>
  <c r="N104" i="47"/>
  <c r="N63" i="47"/>
  <c r="N117" i="47"/>
  <c r="N79" i="47"/>
  <c r="N91" i="47"/>
  <c r="N105" i="47"/>
  <c r="N66" i="47"/>
  <c r="N95" i="47"/>
  <c r="N98" i="47"/>
  <c r="N110" i="47"/>
  <c r="N82" i="47"/>
  <c r="N68" i="47"/>
  <c r="N89" i="47"/>
  <c r="N83" i="47"/>
  <c r="N102" i="47"/>
  <c r="N100" i="47"/>
  <c r="N70" i="47"/>
  <c r="N103" i="47"/>
  <c r="N118" i="47"/>
  <c r="N97" i="47"/>
  <c r="N78" i="47"/>
  <c r="N77" i="47"/>
  <c r="N101" i="47"/>
  <c r="N71" i="47"/>
  <c r="N94" i="47"/>
  <c r="N69" i="47"/>
  <c r="N93" i="47"/>
  <c r="N114" i="47"/>
  <c r="N87" i="47"/>
  <c r="N120" i="47"/>
  <c r="N74" i="47"/>
  <c r="N90" i="47"/>
  <c r="N75" i="47"/>
  <c r="N106" i="47"/>
  <c r="N76" i="47"/>
  <c r="N62" i="47"/>
  <c r="N109" i="47"/>
  <c r="N67" i="47"/>
  <c r="N99" i="47"/>
  <c r="N92" i="47"/>
  <c r="N65" i="47"/>
  <c r="Z64" i="47" s="1"/>
  <c r="AA64" i="47" s="1"/>
  <c r="J64" i="47" s="1"/>
  <c r="N88" i="47"/>
  <c r="N113" i="47"/>
  <c r="N84" i="47"/>
  <c r="N80" i="47"/>
  <c r="N115" i="47"/>
  <c r="N107" i="47"/>
  <c r="N116" i="47"/>
  <c r="N108" i="47"/>
  <c r="N72" i="47"/>
  <c r="N121" i="47"/>
  <c r="N122" i="47"/>
  <c r="V73" i="55"/>
  <c r="Q73" i="55" s="1"/>
  <c r="D74" i="55"/>
  <c r="AJ73" i="55"/>
  <c r="AC73" i="55" s="1"/>
  <c r="Z73" i="55"/>
  <c r="AA73" i="55" s="1"/>
  <c r="J73" i="55" s="1"/>
  <c r="AN74" i="55"/>
  <c r="AP74" i="55" s="1"/>
  <c r="U73" i="55"/>
  <c r="P73" i="55" s="1"/>
  <c r="I74" i="55"/>
  <c r="F74" i="55"/>
  <c r="AL74" i="55"/>
  <c r="AM74" i="55" s="1"/>
  <c r="AK73" i="55"/>
  <c r="AD73" i="55" s="1"/>
  <c r="AY74" i="55"/>
  <c r="AG73" i="55"/>
  <c r="AH73" i="55" s="1"/>
  <c r="W73" i="55"/>
  <c r="X73" i="55" s="1"/>
  <c r="AE73" i="55"/>
  <c r="AF73" i="55" s="1"/>
  <c r="B74" i="55"/>
  <c r="R74" i="55"/>
  <c r="AG50" i="55"/>
  <c r="AH50" i="55" s="1"/>
  <c r="B51" i="55"/>
  <c r="AL51" i="55"/>
  <c r="AM51" i="55" s="1"/>
  <c r="D51" i="55"/>
  <c r="R51" i="55"/>
  <c r="Z50" i="55"/>
  <c r="AA50" i="55" s="1"/>
  <c r="J50" i="55" s="1"/>
  <c r="V50" i="55"/>
  <c r="Q50" i="55" s="1"/>
  <c r="F51" i="55"/>
  <c r="I51" i="55"/>
  <c r="W50" i="55"/>
  <c r="X50" i="55" s="1"/>
  <c r="U50" i="55"/>
  <c r="P50" i="55" s="1"/>
  <c r="AK50" i="55"/>
  <c r="AD50" i="55" s="1"/>
  <c r="AN51" i="55"/>
  <c r="AP51" i="55" s="1"/>
  <c r="AY51" i="55"/>
  <c r="AJ50" i="55"/>
  <c r="AC50" i="55" s="1"/>
  <c r="AE50" i="55"/>
  <c r="AF50" i="55" s="1"/>
  <c r="I75" i="55"/>
  <c r="B75" i="55"/>
  <c r="U74" i="55"/>
  <c r="P74" i="55" s="1"/>
  <c r="F75" i="55"/>
  <c r="R75" i="55"/>
  <c r="AJ74" i="55"/>
  <c r="AC74" i="55" s="1"/>
  <c r="W74" i="55"/>
  <c r="X74" i="55" s="1"/>
  <c r="AN75" i="55"/>
  <c r="AP75" i="55" s="1"/>
  <c r="AY75" i="55"/>
  <c r="AK74" i="55"/>
  <c r="AD74" i="55" s="1"/>
  <c r="Z74" i="55"/>
  <c r="AA74" i="55" s="1"/>
  <c r="J74" i="55" s="1"/>
  <c r="AG74" i="55"/>
  <c r="AH74" i="55" s="1"/>
  <c r="D75" i="55"/>
  <c r="V74" i="55"/>
  <c r="Q74" i="55" s="1"/>
  <c r="AL75" i="55"/>
  <c r="AM75" i="55" s="1"/>
  <c r="AE74" i="55"/>
  <c r="AF74" i="55" s="1"/>
  <c r="AL25" i="55"/>
  <c r="AM25" i="55" s="1"/>
  <c r="B25" i="55"/>
  <c r="AL26" i="55" s="1"/>
  <c r="AM26" i="55" s="1"/>
  <c r="AU25" i="55"/>
  <c r="AV25" i="55" s="1"/>
  <c r="AW25" i="55" s="1"/>
  <c r="AX25" i="55" s="1"/>
  <c r="AN25" i="55"/>
  <c r="AP25" i="55" s="1"/>
  <c r="AY25" i="55"/>
  <c r="AY43" i="55"/>
  <c r="Z42" i="55"/>
  <c r="AA42" i="55" s="1"/>
  <c r="J42" i="55" s="1"/>
  <c r="F43" i="55"/>
  <c r="AJ42" i="55"/>
  <c r="AC42" i="55" s="1"/>
  <c r="I43" i="55"/>
  <c r="W42" i="55"/>
  <c r="X42" i="55" s="1"/>
  <c r="B43" i="55"/>
  <c r="V42" i="55"/>
  <c r="Q42" i="55" s="1"/>
  <c r="AK42" i="55"/>
  <c r="AD42" i="55" s="1"/>
  <c r="AE42" i="55"/>
  <c r="AF42" i="55" s="1"/>
  <c r="U42" i="55"/>
  <c r="P42" i="55" s="1"/>
  <c r="AN43" i="55"/>
  <c r="AP43" i="55" s="1"/>
  <c r="R43" i="55"/>
  <c r="AG42" i="55"/>
  <c r="AH42" i="55" s="1"/>
  <c r="AL43" i="55"/>
  <c r="AM43" i="55" s="1"/>
  <c r="D43" i="55"/>
  <c r="F76" i="55"/>
  <c r="R76" i="55"/>
  <c r="I76" i="55"/>
  <c r="AL76" i="55"/>
  <c r="AM76" i="55" s="1"/>
  <c r="D76" i="55"/>
  <c r="AG75" i="55"/>
  <c r="AH75" i="55" s="1"/>
  <c r="AK75" i="55"/>
  <c r="AD75" i="55" s="1"/>
  <c r="AJ75" i="55"/>
  <c r="AC75" i="55" s="1"/>
  <c r="B76" i="55"/>
  <c r="V75" i="55"/>
  <c r="Q75" i="55" s="1"/>
  <c r="U75" i="55"/>
  <c r="P75" i="55" s="1"/>
  <c r="AE75" i="55"/>
  <c r="AF75" i="55" s="1"/>
  <c r="W75" i="55"/>
  <c r="X75" i="55" s="1"/>
  <c r="AY76" i="55"/>
  <c r="Z75" i="55"/>
  <c r="AA75" i="55" s="1"/>
  <c r="J75" i="55" s="1"/>
  <c r="AN76" i="55"/>
  <c r="AP76" i="55" s="1"/>
  <c r="AL65" i="55"/>
  <c r="AM65" i="55" s="1"/>
  <c r="R65" i="55"/>
  <c r="F65" i="55"/>
  <c r="U64" i="55"/>
  <c r="P64" i="55" s="1"/>
  <c r="AK64" i="55"/>
  <c r="AD64" i="55" s="1"/>
  <c r="V64" i="55"/>
  <c r="Q64" i="55" s="1"/>
  <c r="AY65" i="55"/>
  <c r="AN65" i="55"/>
  <c r="AP65" i="55" s="1"/>
  <c r="AG64" i="55"/>
  <c r="AH64" i="55" s="1"/>
  <c r="Z64" i="55"/>
  <c r="AA64" i="55" s="1"/>
  <c r="J64" i="55" s="1"/>
  <c r="AJ64" i="55"/>
  <c r="AC64" i="55" s="1"/>
  <c r="I65" i="55"/>
  <c r="AE64" i="55"/>
  <c r="AF64" i="55" s="1"/>
  <c r="W64" i="55"/>
  <c r="X64" i="55" s="1"/>
  <c r="D65" i="55"/>
  <c r="B65" i="55"/>
  <c r="I82" i="55"/>
  <c r="AG81" i="55"/>
  <c r="AH81" i="55" s="1"/>
  <c r="AN82" i="55"/>
  <c r="AP82" i="55" s="1"/>
  <c r="AJ81" i="55"/>
  <c r="AC81" i="55" s="1"/>
  <c r="U81" i="55"/>
  <c r="P81" i="55" s="1"/>
  <c r="W81" i="55"/>
  <c r="X81" i="55" s="1"/>
  <c r="AK81" i="55"/>
  <c r="AD81" i="55" s="1"/>
  <c r="R82" i="55"/>
  <c r="F82" i="55"/>
  <c r="V81" i="55"/>
  <c r="Q81" i="55" s="1"/>
  <c r="AE81" i="55"/>
  <c r="AF81" i="55" s="1"/>
  <c r="Z81" i="55"/>
  <c r="AA81" i="55" s="1"/>
  <c r="J81" i="55" s="1"/>
  <c r="AY82" i="55"/>
  <c r="B82" i="55"/>
  <c r="AL82" i="55"/>
  <c r="AM82" i="55" s="1"/>
  <c r="D82" i="55"/>
  <c r="AY28" i="55"/>
  <c r="W27" i="55"/>
  <c r="X27" i="55" s="1"/>
  <c r="Z27" i="55"/>
  <c r="AA27" i="55" s="1"/>
  <c r="J27" i="55" s="1"/>
  <c r="AE27" i="55"/>
  <c r="AF27" i="55" s="1"/>
  <c r="AG27" i="55"/>
  <c r="AH27" i="55" s="1"/>
  <c r="I83" i="55"/>
  <c r="F83" i="55"/>
  <c r="AG82" i="55"/>
  <c r="AH82" i="55" s="1"/>
  <c r="R83" i="55"/>
  <c r="V82" i="55"/>
  <c r="Q82" i="55" s="1"/>
  <c r="U82" i="55"/>
  <c r="P82" i="55" s="1"/>
  <c r="AJ82" i="55"/>
  <c r="AC82" i="55" s="1"/>
  <c r="B83" i="55"/>
  <c r="AK82" i="55"/>
  <c r="AD82" i="55" s="1"/>
  <c r="AN83" i="55"/>
  <c r="AP83" i="55" s="1"/>
  <c r="Z82" i="55"/>
  <c r="AA82" i="55" s="1"/>
  <c r="J82" i="55" s="1"/>
  <c r="D83" i="55"/>
  <c r="W82" i="55"/>
  <c r="X82" i="55" s="1"/>
  <c r="AY83" i="55"/>
  <c r="AE82" i="55"/>
  <c r="AF82" i="55" s="1"/>
  <c r="AL83" i="55"/>
  <c r="AM83" i="55" s="1"/>
  <c r="AJ53" i="55"/>
  <c r="AC53" i="55" s="1"/>
  <c r="R54" i="55"/>
  <c r="D54" i="55"/>
  <c r="S54" i="55" s="1"/>
  <c r="T54" i="55" s="1"/>
  <c r="B54" i="55"/>
  <c r="I54" i="55"/>
  <c r="AY54" i="55"/>
  <c r="W53" i="55"/>
  <c r="X53" i="55" s="1"/>
  <c r="AE53" i="55"/>
  <c r="AF53" i="55" s="1"/>
  <c r="U53" i="55"/>
  <c r="P53" i="55" s="1"/>
  <c r="AN54" i="55"/>
  <c r="AP54" i="55" s="1"/>
  <c r="AL54" i="55"/>
  <c r="AM54" i="55" s="1"/>
  <c r="Z53" i="55"/>
  <c r="AA53" i="55" s="1"/>
  <c r="J53" i="55" s="1"/>
  <c r="AK53" i="55"/>
  <c r="AD53" i="55" s="1"/>
  <c r="V53" i="55"/>
  <c r="Q53" i="55" s="1"/>
  <c r="F54" i="55"/>
  <c r="AG53" i="55"/>
  <c r="AH53" i="55" s="1"/>
  <c r="AE28" i="55"/>
  <c r="AF28" i="55" s="1"/>
  <c r="AY29" i="55"/>
  <c r="W28" i="55"/>
  <c r="X28" i="55" s="1"/>
  <c r="AL46" i="55"/>
  <c r="AM46" i="55" s="1"/>
  <c r="Z45" i="55"/>
  <c r="AA45" i="55" s="1"/>
  <c r="J45" i="55" s="1"/>
  <c r="V45" i="55"/>
  <c r="Q45" i="55" s="1"/>
  <c r="U45" i="55"/>
  <c r="P45" i="55" s="1"/>
  <c r="AK45" i="55"/>
  <c r="AD45" i="55" s="1"/>
  <c r="AJ45" i="55"/>
  <c r="AC45" i="55" s="1"/>
  <c r="AN46" i="55"/>
  <c r="AP46" i="55" s="1"/>
  <c r="AE45" i="55"/>
  <c r="AF45" i="55" s="1"/>
  <c r="R46" i="55"/>
  <c r="W45" i="55"/>
  <c r="X45" i="55" s="1"/>
  <c r="AY46" i="55"/>
  <c r="B46" i="55"/>
  <c r="I46" i="55"/>
  <c r="F46" i="55"/>
  <c r="D46" i="55"/>
  <c r="AG45" i="55"/>
  <c r="AH45" i="55" s="1"/>
  <c r="D85" i="55"/>
  <c r="S85" i="55" s="1"/>
  <c r="T85" i="55" s="1"/>
  <c r="D86" i="55"/>
  <c r="AL85" i="55"/>
  <c r="AM85" i="55" s="1"/>
  <c r="Z85" i="55"/>
  <c r="AA85" i="55" s="1"/>
  <c r="J85" i="55" s="1"/>
  <c r="AE85" i="55"/>
  <c r="AF85" i="55" s="1"/>
  <c r="U84" i="55"/>
  <c r="P84" i="55" s="1"/>
  <c r="V85" i="55"/>
  <c r="Q85" i="55" s="1"/>
  <c r="I85" i="55"/>
  <c r="Z84" i="55"/>
  <c r="AA84" i="55" s="1"/>
  <c r="J84" i="55" s="1"/>
  <c r="AE84" i="55"/>
  <c r="AF84" i="55" s="1"/>
  <c r="R85" i="55"/>
  <c r="U85" i="55"/>
  <c r="P85" i="55" s="1"/>
  <c r="AK84" i="55"/>
  <c r="AD84" i="55" s="1"/>
  <c r="V84" i="55"/>
  <c r="Q84" i="55" s="1"/>
  <c r="AJ85" i="55"/>
  <c r="AC85" i="55" s="1"/>
  <c r="AK85" i="55"/>
  <c r="AD85" i="55" s="1"/>
  <c r="AG85" i="55"/>
  <c r="AH85" i="55" s="1"/>
  <c r="B85" i="55"/>
  <c r="AN85" i="55"/>
  <c r="AP85" i="55" s="1"/>
  <c r="AJ84" i="55"/>
  <c r="AC84" i="55" s="1"/>
  <c r="F86" i="55"/>
  <c r="F85" i="55"/>
  <c r="W84" i="55"/>
  <c r="X84" i="55" s="1"/>
  <c r="W85" i="55"/>
  <c r="X85" i="55" s="1"/>
  <c r="AG84" i="55"/>
  <c r="AH84" i="55" s="1"/>
  <c r="AY85" i="55"/>
  <c r="B86" i="55"/>
  <c r="D40" i="55"/>
  <c r="AE39" i="55"/>
  <c r="AF39" i="55" s="1"/>
  <c r="F40" i="55"/>
  <c r="Z39" i="55"/>
  <c r="AA39" i="55" s="1"/>
  <c r="J39" i="55" s="1"/>
  <c r="W39" i="55"/>
  <c r="X39" i="55" s="1"/>
  <c r="V39" i="55"/>
  <c r="Q39" i="55" s="1"/>
  <c r="B40" i="55"/>
  <c r="AN40" i="55"/>
  <c r="AP40" i="55" s="1"/>
  <c r="R40" i="55"/>
  <c r="U39" i="55"/>
  <c r="P39" i="55" s="1"/>
  <c r="I40" i="55"/>
  <c r="AY40" i="55"/>
  <c r="AJ39" i="55"/>
  <c r="AC39" i="55" s="1"/>
  <c r="AK39" i="55"/>
  <c r="AD39" i="55" s="1"/>
  <c r="AL40" i="55"/>
  <c r="AM40" i="55" s="1"/>
  <c r="AG39" i="55"/>
  <c r="AH39" i="55" s="1"/>
  <c r="N42" i="50"/>
  <c r="N38" i="50"/>
  <c r="N57" i="50"/>
  <c r="N62" i="50"/>
  <c r="N37" i="50"/>
  <c r="N71" i="50"/>
  <c r="N54" i="50"/>
  <c r="N59" i="50"/>
  <c r="N47" i="50"/>
  <c r="N64" i="50"/>
  <c r="N30" i="50"/>
  <c r="N33" i="50"/>
  <c r="N31" i="50"/>
  <c r="N67" i="50"/>
  <c r="N25" i="50"/>
  <c r="N50" i="50"/>
  <c r="N69" i="50"/>
  <c r="N52" i="50"/>
  <c r="N51" i="50"/>
  <c r="N26" i="50"/>
  <c r="N80" i="50"/>
  <c r="N81" i="50"/>
  <c r="N45" i="50"/>
  <c r="N66" i="50"/>
  <c r="N77" i="50"/>
  <c r="N55" i="50"/>
  <c r="N79" i="50"/>
  <c r="N85" i="50"/>
  <c r="N65" i="50"/>
  <c r="N53" i="50"/>
  <c r="N39" i="50"/>
  <c r="N32" i="50"/>
  <c r="N40" i="50"/>
  <c r="N27" i="50"/>
  <c r="N83" i="50"/>
  <c r="N72" i="50"/>
  <c r="N36" i="50"/>
  <c r="N35" i="50"/>
  <c r="N46" i="50"/>
  <c r="N29" i="50"/>
  <c r="AG28" i="50" s="1"/>
  <c r="AH28" i="50" s="1"/>
  <c r="N75" i="50"/>
  <c r="N63" i="50"/>
  <c r="N58" i="50"/>
  <c r="N28" i="50"/>
  <c r="N68" i="50"/>
  <c r="N41" i="50"/>
  <c r="N74" i="50"/>
  <c r="N82" i="50"/>
  <c r="N76" i="50"/>
  <c r="N34" i="50"/>
  <c r="N44" i="50"/>
  <c r="N84" i="50"/>
  <c r="N70" i="50"/>
  <c r="N43" i="50"/>
  <c r="N73" i="50"/>
  <c r="N56" i="50"/>
  <c r="N60" i="50"/>
  <c r="N61" i="50"/>
  <c r="N78" i="50"/>
  <c r="AB25" i="50"/>
  <c r="AJ25" i="50"/>
  <c r="AC25" i="50" s="1"/>
  <c r="AK25" i="50"/>
  <c r="AD25" i="50" s="1"/>
  <c r="X25" i="50"/>
  <c r="Z25" i="50"/>
  <c r="AA25" i="50" s="1"/>
  <c r="J25" i="50" s="1"/>
  <c r="AE25" i="50"/>
  <c r="AF25" i="50" s="1"/>
  <c r="W25" i="50"/>
  <c r="V25" i="50"/>
  <c r="Q25" i="50" s="1"/>
  <c r="F25" i="50" s="1"/>
  <c r="U25" i="50"/>
  <c r="P25" i="50" s="1"/>
  <c r="AG25" i="50"/>
  <c r="AH25" i="50" s="1"/>
  <c r="AS123" i="67"/>
  <c r="AU124" i="67" s="1"/>
  <c r="AK61" i="55"/>
  <c r="AD61" i="55" s="1"/>
  <c r="AJ61" i="55"/>
  <c r="AC61" i="55" s="1"/>
  <c r="AE61" i="55"/>
  <c r="AF61" i="55" s="1"/>
  <c r="Z61" i="55"/>
  <c r="AA61" i="55" s="1"/>
  <c r="J61" i="55" s="1"/>
  <c r="AG61" i="55"/>
  <c r="AH61" i="55" s="1"/>
  <c r="V61" i="55"/>
  <c r="Q61" i="55" s="1"/>
  <c r="AY62" i="55"/>
  <c r="R62" i="55"/>
  <c r="W61" i="55"/>
  <c r="X61" i="55" s="1"/>
  <c r="B62" i="55"/>
  <c r="D62" i="55"/>
  <c r="U61" i="55"/>
  <c r="P61" i="55" s="1"/>
  <c r="AL62" i="55"/>
  <c r="AM62" i="55" s="1"/>
  <c r="F62" i="55"/>
  <c r="I62" i="55"/>
  <c r="AN62" i="55"/>
  <c r="AP62" i="55" s="1"/>
  <c r="AE29" i="55"/>
  <c r="AF29" i="55" s="1"/>
  <c r="AY30" i="55"/>
  <c r="W29" i="55"/>
  <c r="X29" i="55" s="1"/>
  <c r="F60" i="55"/>
  <c r="AK59" i="55"/>
  <c r="AD59" i="55" s="1"/>
  <c r="Z59" i="55"/>
  <c r="AA59" i="55" s="1"/>
  <c r="J59" i="55" s="1"/>
  <c r="AE59" i="55"/>
  <c r="AF59" i="55" s="1"/>
  <c r="AL60" i="55"/>
  <c r="AM60" i="55" s="1"/>
  <c r="I60" i="55"/>
  <c r="AG59" i="55"/>
  <c r="AH59" i="55" s="1"/>
  <c r="D60" i="55"/>
  <c r="AN60" i="55"/>
  <c r="AP60" i="55" s="1"/>
  <c r="AJ59" i="55"/>
  <c r="AC59" i="55" s="1"/>
  <c r="U59" i="55"/>
  <c r="P59" i="55" s="1"/>
  <c r="AY60" i="55"/>
  <c r="V59" i="55"/>
  <c r="Q59" i="55" s="1"/>
  <c r="R60" i="55"/>
  <c r="W59" i="55"/>
  <c r="X59" i="55" s="1"/>
  <c r="B60" i="55"/>
  <c r="AL38" i="55"/>
  <c r="AM38" i="55" s="1"/>
  <c r="W37" i="55"/>
  <c r="X37" i="55" s="1"/>
  <c r="AE37" i="55"/>
  <c r="AF37" i="55" s="1"/>
  <c r="B38" i="55"/>
  <c r="I38" i="55"/>
  <c r="R38" i="55"/>
  <c r="AN38" i="55"/>
  <c r="AP38" i="55" s="1"/>
  <c r="AY38" i="55"/>
  <c r="W33" i="55"/>
  <c r="X33" i="55" s="1"/>
  <c r="AE33" i="55"/>
  <c r="AF33" i="55" s="1"/>
  <c r="AY34" i="55"/>
  <c r="U70" i="67"/>
  <c r="J70" i="67" s="1"/>
  <c r="AX70" i="67"/>
  <c r="AY70" i="67" s="1"/>
  <c r="AG72" i="55"/>
  <c r="AH72" i="55" s="1"/>
  <c r="AY73" i="55"/>
  <c r="W72" i="55"/>
  <c r="X72" i="55" s="1"/>
  <c r="R73" i="55"/>
  <c r="B73" i="55"/>
  <c r="AE72" i="55"/>
  <c r="AF72" i="55" s="1"/>
  <c r="F73" i="55"/>
  <c r="V72" i="55"/>
  <c r="Q72" i="55" s="1"/>
  <c r="I73" i="55"/>
  <c r="D73" i="55"/>
  <c r="AN73" i="55"/>
  <c r="AP73" i="55" s="1"/>
  <c r="AJ72" i="55"/>
  <c r="AC72" i="55" s="1"/>
  <c r="U72" i="55"/>
  <c r="P72" i="55" s="1"/>
  <c r="Z72" i="55"/>
  <c r="AA72" i="55" s="1"/>
  <c r="J72" i="55" s="1"/>
  <c r="AK72" i="55"/>
  <c r="AD72" i="55" s="1"/>
  <c r="AL73" i="55"/>
  <c r="AM73" i="55" s="1"/>
  <c r="AE77" i="55"/>
  <c r="AF77" i="55" s="1"/>
  <c r="V77" i="55"/>
  <c r="Q77" i="55" s="1"/>
  <c r="AY78" i="55"/>
  <c r="R78" i="55"/>
  <c r="W77" i="55"/>
  <c r="X77" i="55" s="1"/>
  <c r="AG77" i="55"/>
  <c r="AH77" i="55" s="1"/>
  <c r="U77" i="55"/>
  <c r="P77" i="55" s="1"/>
  <c r="AL78" i="55"/>
  <c r="AM78" i="55" s="1"/>
  <c r="AK77" i="55"/>
  <c r="AD77" i="55" s="1"/>
  <c r="AN78" i="55"/>
  <c r="AP78" i="55" s="1"/>
  <c r="F78" i="55"/>
  <c r="B78" i="55"/>
  <c r="Z77" i="55"/>
  <c r="AA77" i="55" s="1"/>
  <c r="J77" i="55" s="1"/>
  <c r="AJ77" i="55"/>
  <c r="AC77" i="55" s="1"/>
  <c r="D78" i="55"/>
  <c r="I78" i="55"/>
  <c r="W34" i="55"/>
  <c r="X34" i="55" s="1"/>
  <c r="AE34" i="55"/>
  <c r="AF34" i="55" s="1"/>
  <c r="AY35" i="55"/>
  <c r="I77" i="55"/>
  <c r="U76" i="55"/>
  <c r="P76" i="55" s="1"/>
  <c r="AN77" i="55"/>
  <c r="AP77" i="55" s="1"/>
  <c r="AE76" i="55"/>
  <c r="AF76" i="55" s="1"/>
  <c r="V76" i="55"/>
  <c r="Q76" i="55" s="1"/>
  <c r="Z76" i="55"/>
  <c r="AA76" i="55" s="1"/>
  <c r="J76" i="55" s="1"/>
  <c r="B77" i="55"/>
  <c r="AG76" i="55"/>
  <c r="AH76" i="55" s="1"/>
  <c r="AL77" i="55"/>
  <c r="AM77" i="55" s="1"/>
  <c r="R77" i="55"/>
  <c r="F77" i="55"/>
  <c r="AJ76" i="55"/>
  <c r="AC76" i="55" s="1"/>
  <c r="D77" i="55"/>
  <c r="W76" i="55"/>
  <c r="X76" i="55" s="1"/>
  <c r="AK76" i="55"/>
  <c r="AD76" i="55" s="1"/>
  <c r="AY77" i="55"/>
  <c r="V66" i="55"/>
  <c r="Q66" i="55" s="1"/>
  <c r="F67" i="55"/>
  <c r="AN67" i="55"/>
  <c r="AP67" i="55" s="1"/>
  <c r="I67" i="55"/>
  <c r="R67" i="55"/>
  <c r="AE66" i="55"/>
  <c r="AF66" i="55" s="1"/>
  <c r="AY67" i="55"/>
  <c r="AJ66" i="55"/>
  <c r="AC66" i="55" s="1"/>
  <c r="Z66" i="55"/>
  <c r="AA66" i="55" s="1"/>
  <c r="J66" i="55" s="1"/>
  <c r="AL67" i="55"/>
  <c r="AM67" i="55" s="1"/>
  <c r="W66" i="55"/>
  <c r="X66" i="55" s="1"/>
  <c r="AK66" i="55"/>
  <c r="AD66" i="55" s="1"/>
  <c r="D67" i="55"/>
  <c r="B67" i="55"/>
  <c r="AG66" i="55"/>
  <c r="AH66" i="55" s="1"/>
  <c r="U66" i="55"/>
  <c r="P66" i="55" s="1"/>
  <c r="W40" i="55"/>
  <c r="X40" i="55" s="1"/>
  <c r="AL41" i="55"/>
  <c r="AM41" i="55" s="1"/>
  <c r="AE40" i="55"/>
  <c r="AF40" i="55" s="1"/>
  <c r="V40" i="55"/>
  <c r="Q40" i="55" s="1"/>
  <c r="R41" i="55"/>
  <c r="D41" i="55"/>
  <c r="AK40" i="55"/>
  <c r="AD40" i="55" s="1"/>
  <c r="U40" i="55"/>
  <c r="P40" i="55" s="1"/>
  <c r="AN41" i="55"/>
  <c r="AP41" i="55" s="1"/>
  <c r="I41" i="55"/>
  <c r="B41" i="55"/>
  <c r="AY41" i="55"/>
  <c r="AG40" i="55"/>
  <c r="AH40" i="55" s="1"/>
  <c r="Z40" i="55"/>
  <c r="AA40" i="55" s="1"/>
  <c r="J40" i="55" s="1"/>
  <c r="F41" i="55"/>
  <c r="AJ40" i="55"/>
  <c r="AC40" i="55" s="1"/>
  <c r="AL50" i="55"/>
  <c r="AM50" i="55" s="1"/>
  <c r="R50" i="55"/>
  <c r="AI50" i="55" s="1"/>
  <c r="AY50" i="55"/>
  <c r="AN50" i="55"/>
  <c r="AP50" i="55" s="1"/>
  <c r="I50" i="55"/>
  <c r="AE30" i="55"/>
  <c r="AF30" i="55" s="1"/>
  <c r="AY31" i="55"/>
  <c r="W30" i="55"/>
  <c r="X30" i="55" s="1"/>
  <c r="I79" i="55"/>
  <c r="AN79" i="55"/>
  <c r="AP79" i="55" s="1"/>
  <c r="F79" i="55"/>
  <c r="B79" i="55"/>
  <c r="AJ78" i="55"/>
  <c r="AC78" i="55" s="1"/>
  <c r="AK78" i="55"/>
  <c r="AD78" i="55" s="1"/>
  <c r="U78" i="55"/>
  <c r="P78" i="55" s="1"/>
  <c r="AY79" i="55"/>
  <c r="D79" i="55"/>
  <c r="W78" i="55"/>
  <c r="X78" i="55" s="1"/>
  <c r="V78" i="55"/>
  <c r="Q78" i="55" s="1"/>
  <c r="AE78" i="55"/>
  <c r="AF78" i="55" s="1"/>
  <c r="AG78" i="55"/>
  <c r="AH78" i="55" s="1"/>
  <c r="Z78" i="55"/>
  <c r="AA78" i="55" s="1"/>
  <c r="J78" i="55" s="1"/>
  <c r="AL79" i="55"/>
  <c r="AM79" i="55" s="1"/>
  <c r="R79" i="55"/>
  <c r="AY71" i="55"/>
  <c r="B71" i="55"/>
  <c r="AK70" i="55"/>
  <c r="AD70" i="55" s="1"/>
  <c r="V70" i="55"/>
  <c r="Q70" i="55" s="1"/>
  <c r="AL71" i="55"/>
  <c r="AM71" i="55" s="1"/>
  <c r="U70" i="55"/>
  <c r="P70" i="55" s="1"/>
  <c r="AJ70" i="55"/>
  <c r="AC70" i="55" s="1"/>
  <c r="I71" i="55"/>
  <c r="Z70" i="55"/>
  <c r="AA70" i="55" s="1"/>
  <c r="J70" i="55" s="1"/>
  <c r="AE70" i="55"/>
  <c r="AF70" i="55" s="1"/>
  <c r="AG70" i="55"/>
  <c r="AH70" i="55" s="1"/>
  <c r="R71" i="55"/>
  <c r="AN71" i="55"/>
  <c r="AP71" i="55" s="1"/>
  <c r="F71" i="55"/>
  <c r="D71" i="55"/>
  <c r="W70" i="55"/>
  <c r="X70" i="55" s="1"/>
  <c r="I26" i="55"/>
  <c r="AY26" i="55"/>
  <c r="W58" i="55"/>
  <c r="X58" i="55" s="1"/>
  <c r="AY59" i="55"/>
  <c r="AL59" i="55"/>
  <c r="AM59" i="55" s="1"/>
  <c r="V58" i="55"/>
  <c r="Q58" i="55" s="1"/>
  <c r="R59" i="55"/>
  <c r="D59" i="55"/>
  <c r="S59" i="55" s="1"/>
  <c r="T59" i="55" s="1"/>
  <c r="AK58" i="55"/>
  <c r="AD58" i="55" s="1"/>
  <c r="I59" i="55"/>
  <c r="AE58" i="55"/>
  <c r="AF58" i="55" s="1"/>
  <c r="B59" i="55"/>
  <c r="Z58" i="55"/>
  <c r="AA58" i="55" s="1"/>
  <c r="J58" i="55" s="1"/>
  <c r="AJ58" i="55"/>
  <c r="AC58" i="55" s="1"/>
  <c r="U58" i="55"/>
  <c r="P58" i="55" s="1"/>
  <c r="AG58" i="55"/>
  <c r="AH58" i="55" s="1"/>
  <c r="AN59" i="55"/>
  <c r="AP59" i="55" s="1"/>
  <c r="F59" i="55"/>
  <c r="AY55" i="55"/>
  <c r="I55" i="55"/>
  <c r="AE54" i="55"/>
  <c r="AF54" i="55" s="1"/>
  <c r="W54" i="55"/>
  <c r="X54" i="55" s="1"/>
  <c r="B55" i="55"/>
  <c r="AL55" i="55"/>
  <c r="AM55" i="55" s="1"/>
  <c r="AK54" i="55"/>
  <c r="AD54" i="55" s="1"/>
  <c r="AN55" i="55"/>
  <c r="AP55" i="55" s="1"/>
  <c r="U54" i="55"/>
  <c r="P54" i="55" s="1"/>
  <c r="AJ54" i="55"/>
  <c r="AC54" i="55" s="1"/>
  <c r="F55" i="55"/>
  <c r="V54" i="55"/>
  <c r="Q54" i="55" s="1"/>
  <c r="D55" i="55"/>
  <c r="AG54" i="55"/>
  <c r="AH54" i="55" s="1"/>
  <c r="R55" i="55"/>
  <c r="Z54" i="55"/>
  <c r="AA54" i="55" s="1"/>
  <c r="J54" i="55" s="1"/>
  <c r="AL52" i="55"/>
  <c r="AM52" i="55" s="1"/>
  <c r="AG51" i="55"/>
  <c r="AH51" i="55" s="1"/>
  <c r="D52" i="55"/>
  <c r="Z51" i="55"/>
  <c r="AA51" i="55" s="1"/>
  <c r="J51" i="55" s="1"/>
  <c r="AE51" i="55"/>
  <c r="AF51" i="55" s="1"/>
  <c r="AJ51" i="55"/>
  <c r="AC51" i="55" s="1"/>
  <c r="AN52" i="55"/>
  <c r="AP52" i="55" s="1"/>
  <c r="B52" i="55"/>
  <c r="U51" i="55"/>
  <c r="P51" i="55" s="1"/>
  <c r="I52" i="55"/>
  <c r="F52" i="55"/>
  <c r="AY52" i="55"/>
  <c r="AK51" i="55"/>
  <c r="AD51" i="55" s="1"/>
  <c r="V51" i="55"/>
  <c r="Q51" i="55" s="1"/>
  <c r="W51" i="55"/>
  <c r="X51" i="55" s="1"/>
  <c r="R52" i="55"/>
  <c r="F63" i="55"/>
  <c r="AL63" i="55"/>
  <c r="AM63" i="55" s="1"/>
  <c r="W62" i="55"/>
  <c r="X62" i="55" s="1"/>
  <c r="AY63" i="55"/>
  <c r="R63" i="55"/>
  <c r="AK62" i="55"/>
  <c r="AD62" i="55" s="1"/>
  <c r="D63" i="55"/>
  <c r="B63" i="55"/>
  <c r="I63" i="55"/>
  <c r="AJ62" i="55"/>
  <c r="AC62" i="55" s="1"/>
  <c r="AN63" i="55"/>
  <c r="AP63" i="55" s="1"/>
  <c r="Z62" i="55"/>
  <c r="AA62" i="55" s="1"/>
  <c r="J62" i="55" s="1"/>
  <c r="AG62" i="55"/>
  <c r="AH62" i="55" s="1"/>
  <c r="AE62" i="55"/>
  <c r="AF62" i="55" s="1"/>
  <c r="V62" i="55"/>
  <c r="Q62" i="55" s="1"/>
  <c r="U62" i="55"/>
  <c r="P62" i="55" s="1"/>
  <c r="AY71" i="39"/>
  <c r="AE70" i="39"/>
  <c r="AF70" i="39" s="1"/>
  <c r="W70" i="39"/>
  <c r="X70" i="39" s="1"/>
  <c r="AQ28" i="41"/>
  <c r="AS29" i="41" s="1"/>
  <c r="AC27" i="41"/>
  <c r="AE69" i="1"/>
  <c r="AF69" i="1" s="1"/>
  <c r="W69" i="1"/>
  <c r="X69" i="1" s="1"/>
  <c r="AY70" i="1"/>
  <c r="AE46" i="51"/>
  <c r="AF46" i="51" s="1"/>
  <c r="W46" i="51"/>
  <c r="X46" i="51" s="1"/>
  <c r="AY47" i="51"/>
  <c r="A69" i="61"/>
  <c r="B68" i="61"/>
  <c r="AI26" i="57"/>
  <c r="V26" i="57"/>
  <c r="U26" i="57"/>
  <c r="R27" i="57"/>
  <c r="V27" i="57" s="1"/>
  <c r="Q27" i="57" s="1"/>
  <c r="F27" i="57" s="1"/>
  <c r="H27" i="57" s="1"/>
  <c r="T124" i="68"/>
  <c r="U124" i="68" s="1"/>
  <c r="I124" i="68"/>
  <c r="AK118" i="68"/>
  <c r="AC117" i="68"/>
  <c r="T119" i="68"/>
  <c r="U119" i="68" s="1"/>
  <c r="I119" i="68"/>
  <c r="M30" i="50"/>
  <c r="O29" i="50"/>
  <c r="B42" i="61"/>
  <c r="S82" i="41"/>
  <c r="T82" i="41" s="1"/>
  <c r="S59" i="41"/>
  <c r="T59" i="41" s="1"/>
  <c r="S63" i="41"/>
  <c r="T63" i="41" s="1"/>
  <c r="S69" i="41"/>
  <c r="T69" i="41" s="1"/>
  <c r="S71" i="41"/>
  <c r="T71" i="41" s="1"/>
  <c r="S50" i="41"/>
  <c r="T50" i="41" s="1"/>
  <c r="I112" i="68"/>
  <c r="T112" i="68"/>
  <c r="U112" i="68" s="1"/>
  <c r="M30" i="51"/>
  <c r="S29" i="51"/>
  <c r="T29" i="51" s="1"/>
  <c r="Y29" i="51"/>
  <c r="O29" i="51"/>
  <c r="S65" i="41"/>
  <c r="T65" i="41" s="1"/>
  <c r="M72" i="68"/>
  <c r="Y65" i="47"/>
  <c r="S65" i="47"/>
  <c r="T65" i="47" s="1"/>
  <c r="M66" i="47"/>
  <c r="O65" i="47"/>
  <c r="T127" i="68"/>
  <c r="U127" i="68" s="1"/>
  <c r="I127" i="68"/>
  <c r="M127" i="68"/>
  <c r="AK127" i="68"/>
  <c r="AC127" i="68"/>
  <c r="AC126" i="68"/>
  <c r="AB28" i="41"/>
  <c r="R30" i="41"/>
  <c r="AI29" i="41"/>
  <c r="U30" i="41"/>
  <c r="P30" i="41" s="1"/>
  <c r="V30" i="41"/>
  <c r="Q30" i="41" s="1"/>
  <c r="F30" i="41" s="1"/>
  <c r="F26" i="41"/>
  <c r="M31" i="55"/>
  <c r="Y30" i="55"/>
  <c r="O30" i="55"/>
  <c r="S30" i="55"/>
  <c r="T30" i="55" s="1"/>
  <c r="I30" i="55"/>
  <c r="I123" i="68"/>
  <c r="T123" i="68"/>
  <c r="U123" i="68" s="1"/>
  <c r="AK123" i="68"/>
  <c r="AC122" i="68"/>
  <c r="AC123" i="68"/>
  <c r="AF27" i="41"/>
  <c r="Z27" i="41"/>
  <c r="AA27" i="41" s="1"/>
  <c r="S73" i="41"/>
  <c r="T73" i="41" s="1"/>
  <c r="N61" i="1"/>
  <c r="N27" i="1"/>
  <c r="N36" i="1"/>
  <c r="N43" i="1"/>
  <c r="N55" i="1"/>
  <c r="N78" i="1"/>
  <c r="N72" i="1"/>
  <c r="AE41" i="48"/>
  <c r="AF41" i="48" s="1"/>
  <c r="AY42" i="48"/>
  <c r="W41" i="48"/>
  <c r="X41" i="48" s="1"/>
  <c r="M38" i="3"/>
  <c r="O37" i="3"/>
  <c r="D67" i="61"/>
  <c r="E67" i="61"/>
  <c r="C67" i="61"/>
  <c r="M31" i="45"/>
  <c r="O30" i="45"/>
  <c r="S54" i="41"/>
  <c r="T54" i="41" s="1"/>
  <c r="S61" i="41"/>
  <c r="T61" i="41" s="1"/>
  <c r="AO27" i="41"/>
  <c r="AQ27" i="41"/>
  <c r="AS28" i="41" s="1"/>
  <c r="S78" i="41"/>
  <c r="T78" i="41" s="1"/>
  <c r="S70" i="41"/>
  <c r="T70" i="41" s="1"/>
  <c r="S67" i="41"/>
  <c r="T67" i="41" s="1"/>
  <c r="S68" i="41"/>
  <c r="T68" i="41" s="1"/>
  <c r="AS120" i="68"/>
  <c r="AU121" i="68" s="1"/>
  <c r="AQ120" i="68"/>
  <c r="T113" i="68"/>
  <c r="U113" i="68" s="1"/>
  <c r="I113" i="68"/>
  <c r="AS112" i="68"/>
  <c r="AU113" i="68" s="1"/>
  <c r="AQ112" i="68"/>
  <c r="M35" i="48"/>
  <c r="S34" i="48"/>
  <c r="T34" i="48" s="1"/>
  <c r="Y34" i="48"/>
  <c r="O34" i="48"/>
  <c r="T122" i="68"/>
  <c r="U122" i="68" s="1"/>
  <c r="I122" i="68"/>
  <c r="AS122" i="68"/>
  <c r="AU123" i="68" s="1"/>
  <c r="AQ122" i="68"/>
  <c r="S85" i="41"/>
  <c r="T85" i="41" s="1"/>
  <c r="AZ72" i="68"/>
  <c r="D72" i="68"/>
  <c r="S76" i="41"/>
  <c r="T76" i="41" s="1"/>
  <c r="S57" i="41"/>
  <c r="T57" i="41" s="1"/>
  <c r="C39" i="61"/>
  <c r="I121" i="68"/>
  <c r="T121" i="68"/>
  <c r="U121" i="68" s="1"/>
  <c r="AS131" i="68"/>
  <c r="AU132" i="68" s="1"/>
  <c r="AQ131" i="68"/>
  <c r="M131" i="68"/>
  <c r="AQ123" i="68"/>
  <c r="AS123" i="68"/>
  <c r="AU124" i="68" s="1"/>
  <c r="S51" i="41"/>
  <c r="T51" i="41" s="1"/>
  <c r="AN28" i="41"/>
  <c r="AP28" i="41" s="1"/>
  <c r="S72" i="41"/>
  <c r="T72" i="41" s="1"/>
  <c r="N26" i="1"/>
  <c r="N39" i="1"/>
  <c r="AN114" i="59"/>
  <c r="AO114" i="59" s="1"/>
  <c r="S114" i="59"/>
  <c r="BA114" i="59"/>
  <c r="AP114" i="59"/>
  <c r="AR114" i="59" s="1"/>
  <c r="J114" i="59"/>
  <c r="N82" i="68"/>
  <c r="J81" i="68"/>
  <c r="P81" i="68"/>
  <c r="S83" i="41"/>
  <c r="T83" i="41" s="1"/>
  <c r="S62" i="41"/>
  <c r="T62" i="41" s="1"/>
  <c r="S74" i="41"/>
  <c r="T74" i="41" s="1"/>
  <c r="S79" i="41"/>
  <c r="T79" i="41" s="1"/>
  <c r="S56" i="41"/>
  <c r="T56" i="41" s="1"/>
  <c r="AC119" i="68"/>
  <c r="AK120" i="68"/>
  <c r="AC111" i="68"/>
  <c r="AC112" i="68"/>
  <c r="AK112" i="68"/>
  <c r="Y32" i="1"/>
  <c r="M33" i="1"/>
  <c r="O32" i="1"/>
  <c r="Z31" i="57"/>
  <c r="AA31" i="57" s="1"/>
  <c r="J31" i="57" s="1"/>
  <c r="AG31" i="57"/>
  <c r="AH31" i="57" s="1"/>
  <c r="Z66" i="59"/>
  <c r="AD65" i="59" s="1"/>
  <c r="T66" i="59"/>
  <c r="U66" i="59" s="1"/>
  <c r="N67" i="59"/>
  <c r="P66" i="59"/>
  <c r="AK122" i="68"/>
  <c r="AC121" i="68"/>
  <c r="S84" i="41"/>
  <c r="T84" i="41" s="1"/>
  <c r="Y31" i="39"/>
  <c r="M32" i="39"/>
  <c r="O31" i="39"/>
  <c r="AC63" i="47"/>
  <c r="T128" i="68"/>
  <c r="U128" i="68" s="1"/>
  <c r="I128" i="68"/>
  <c r="S75" i="41"/>
  <c r="T75" i="41" s="1"/>
  <c r="AG30" i="55"/>
  <c r="AH30" i="55" s="1"/>
  <c r="Z30" i="55"/>
  <c r="AA30" i="55" s="1"/>
  <c r="J30" i="55" s="1"/>
  <c r="T132" i="68"/>
  <c r="U132" i="68" s="1"/>
  <c r="I132" i="68"/>
  <c r="S52" i="41"/>
  <c r="T52" i="41" s="1"/>
  <c r="P27" i="41"/>
  <c r="AB27" i="41"/>
  <c r="V29" i="41"/>
  <c r="Q29" i="41" s="1"/>
  <c r="F29" i="41" s="1"/>
  <c r="AI28" i="41"/>
  <c r="AK28" i="41" s="1"/>
  <c r="AD28" i="41" s="1"/>
  <c r="G28" i="41" s="1"/>
  <c r="H28" i="41" s="1"/>
  <c r="U29" i="41"/>
  <c r="P29" i="41" s="1"/>
  <c r="X27" i="41"/>
  <c r="F26" i="1"/>
  <c r="AQ118" i="68"/>
  <c r="AS118" i="68"/>
  <c r="AU119" i="68" s="1"/>
  <c r="T118" i="68"/>
  <c r="U118" i="68" s="1"/>
  <c r="I118" i="68"/>
  <c r="S55" i="41"/>
  <c r="T55" i="41" s="1"/>
  <c r="O28" i="41"/>
  <c r="Y28" i="41"/>
  <c r="AG28" i="41" s="1"/>
  <c r="AH28" i="41" s="1"/>
  <c r="J28" i="41"/>
  <c r="K28" i="41"/>
  <c r="M29" i="41"/>
  <c r="S28" i="41"/>
  <c r="T28" i="41" s="1"/>
  <c r="S80" i="41"/>
  <c r="T80" i="41" s="1"/>
  <c r="S60" i="41"/>
  <c r="T60" i="41" s="1"/>
  <c r="S53" i="41"/>
  <c r="T53" i="41" s="1"/>
  <c r="S66" i="41"/>
  <c r="T66" i="41" s="1"/>
  <c r="S81" i="41"/>
  <c r="T81" i="41" s="1"/>
  <c r="T120" i="68"/>
  <c r="U120" i="68" s="1"/>
  <c r="I120" i="68"/>
  <c r="S77" i="41"/>
  <c r="T77" i="41" s="1"/>
  <c r="I32" i="57"/>
  <c r="S32" i="57"/>
  <c r="T32" i="57" s="1"/>
  <c r="O32" i="57"/>
  <c r="M33" i="57"/>
  <c r="Y32" i="57"/>
  <c r="AG32" i="57" s="1"/>
  <c r="AH32" i="57" s="1"/>
  <c r="L31" i="57"/>
  <c r="AD75" i="68"/>
  <c r="AI76" i="68"/>
  <c r="AJ76" i="68" s="1"/>
  <c r="Z77" i="68"/>
  <c r="AA77" i="68" s="1"/>
  <c r="AB77" i="68" s="1"/>
  <c r="K77" i="68" s="1"/>
  <c r="M77" i="68" s="1"/>
  <c r="AA76" i="68"/>
  <c r="AB76" i="68" s="1"/>
  <c r="K76" i="68" s="1"/>
  <c r="S64" i="41"/>
  <c r="T64" i="41" s="1"/>
  <c r="AS127" i="68"/>
  <c r="AU128" i="68" s="1"/>
  <c r="AQ127" i="68"/>
  <c r="S58" i="41"/>
  <c r="T58" i="41" s="1"/>
  <c r="G26" i="41"/>
  <c r="M33" i="46"/>
  <c r="O32" i="46"/>
  <c r="T131" i="68"/>
  <c r="U131" i="68" s="1"/>
  <c r="I131" i="68"/>
  <c r="AC130" i="68"/>
  <c r="AK131" i="68"/>
  <c r="AC131" i="68"/>
  <c r="B28" i="41"/>
  <c r="AK27" i="41"/>
  <c r="BF31" i="26"/>
  <c r="AA31" i="26"/>
  <c r="M32" i="26"/>
  <c r="S31" i="26"/>
  <c r="T31" i="26" s="1"/>
  <c r="U31" i="26" s="1"/>
  <c r="I31" i="26" s="1"/>
  <c r="O31" i="26"/>
  <c r="Y30" i="52"/>
  <c r="M31" i="52"/>
  <c r="S30" i="52"/>
  <c r="T30" i="52" s="1"/>
  <c r="O30" i="52"/>
  <c r="U27" i="57" l="1"/>
  <c r="P27" i="57" s="1"/>
  <c r="S15" i="57"/>
  <c r="AN75" i="68"/>
  <c r="AO75" i="68" s="1"/>
  <c r="AP75" i="68"/>
  <c r="AR75" i="68" s="1"/>
  <c r="B75" i="68"/>
  <c r="AS74" i="68"/>
  <c r="AU75" i="68" s="1"/>
  <c r="AQ74" i="68"/>
  <c r="AI73" i="67"/>
  <c r="AJ73" i="67" s="1"/>
  <c r="AA73" i="67"/>
  <c r="AB73" i="67" s="1"/>
  <c r="K73" i="67" s="1"/>
  <c r="L29" i="55"/>
  <c r="AH65" i="47"/>
  <c r="AI65" i="47" s="1"/>
  <c r="AJ28" i="41"/>
  <c r="AC28" i="41" s="1"/>
  <c r="N75" i="67"/>
  <c r="P74" i="67"/>
  <c r="Z74" i="67"/>
  <c r="T74" i="67"/>
  <c r="U74" i="67" s="1"/>
  <c r="AL29" i="57"/>
  <c r="AM29" i="57" s="1"/>
  <c r="AN29" i="57"/>
  <c r="AP29" i="57" s="1"/>
  <c r="B29" i="57"/>
  <c r="AO28" i="57"/>
  <c r="AQ28" i="57"/>
  <c r="AS29" i="57" s="1"/>
  <c r="AS61" i="60"/>
  <c r="AU62" i="60" s="1"/>
  <c r="W75" i="49"/>
  <c r="X75" i="49" s="1"/>
  <c r="AE70" i="45"/>
  <c r="AF70" i="45" s="1"/>
  <c r="AS70" i="67"/>
  <c r="AU71" i="67" s="1"/>
  <c r="L69" i="55"/>
  <c r="I42" i="49"/>
  <c r="Z76" i="49"/>
  <c r="AA76" i="49" s="1"/>
  <c r="J76" i="49" s="1"/>
  <c r="D118" i="67"/>
  <c r="D76" i="67"/>
  <c r="D80" i="67"/>
  <c r="D84" i="67"/>
  <c r="D88" i="67"/>
  <c r="D92" i="67"/>
  <c r="D73" i="67"/>
  <c r="D77" i="67"/>
  <c r="D81" i="67"/>
  <c r="D85" i="67"/>
  <c r="D89" i="67"/>
  <c r="D74" i="67"/>
  <c r="D78" i="67"/>
  <c r="D82" i="67"/>
  <c r="D86" i="67"/>
  <c r="D90" i="67"/>
  <c r="D75" i="67"/>
  <c r="D79" i="67"/>
  <c r="D83" i="67"/>
  <c r="D87" i="67"/>
  <c r="D91" i="67"/>
  <c r="H70" i="55"/>
  <c r="V82" i="39"/>
  <c r="Q82" i="39" s="1"/>
  <c r="M114" i="67"/>
  <c r="X100" i="60"/>
  <c r="Y100" i="60" s="1"/>
  <c r="M113" i="67"/>
  <c r="AY34" i="48"/>
  <c r="M102" i="67"/>
  <c r="M99" i="67"/>
  <c r="I123" i="67"/>
  <c r="AC120" i="67"/>
  <c r="M95" i="67"/>
  <c r="J98" i="59"/>
  <c r="I37" i="45"/>
  <c r="AY70" i="48"/>
  <c r="H54" i="55"/>
  <c r="H56" i="55"/>
  <c r="B71" i="67"/>
  <c r="AN72" i="67" s="1"/>
  <c r="AO72" i="67" s="1"/>
  <c r="AP71" i="67"/>
  <c r="AR71" i="67" s="1"/>
  <c r="M105" i="67"/>
  <c r="AQ70" i="67"/>
  <c r="AY38" i="48"/>
  <c r="AQ126" i="67"/>
  <c r="AG91" i="60"/>
  <c r="AH91" i="60" s="1"/>
  <c r="AE30" i="48"/>
  <c r="AF30" i="48" s="1"/>
  <c r="M96" i="67"/>
  <c r="I130" i="67"/>
  <c r="D104" i="67"/>
  <c r="I72" i="48"/>
  <c r="R85" i="48"/>
  <c r="AI85" i="48" s="1"/>
  <c r="I32" i="48"/>
  <c r="AE29" i="48"/>
  <c r="AF29" i="48" s="1"/>
  <c r="AE44" i="48"/>
  <c r="AF44" i="48" s="1"/>
  <c r="W36" i="48"/>
  <c r="X36" i="48" s="1"/>
  <c r="W34" i="48"/>
  <c r="X34" i="48" s="1"/>
  <c r="AY47" i="48"/>
  <c r="W72" i="48"/>
  <c r="X72" i="48" s="1"/>
  <c r="AP62" i="60"/>
  <c r="AR62" i="60" s="1"/>
  <c r="AE69" i="48"/>
  <c r="AF69" i="48" s="1"/>
  <c r="AY60" i="48"/>
  <c r="AE61" i="48"/>
  <c r="AF61" i="48" s="1"/>
  <c r="Z31" i="48"/>
  <c r="AA31" i="48" s="1"/>
  <c r="J31" i="48" s="1"/>
  <c r="AE36" i="48"/>
  <c r="AF36" i="48" s="1"/>
  <c r="AE68" i="48"/>
  <c r="AF68" i="48" s="1"/>
  <c r="W29" i="48"/>
  <c r="X29" i="48" s="1"/>
  <c r="AE72" i="48"/>
  <c r="AF72" i="48" s="1"/>
  <c r="AY30" i="48"/>
  <c r="W59" i="48"/>
  <c r="X59" i="48" s="1"/>
  <c r="AY62" i="48"/>
  <c r="W71" i="48"/>
  <c r="X71" i="48" s="1"/>
  <c r="AY83" i="48"/>
  <c r="AY61" i="48"/>
  <c r="I73" i="48"/>
  <c r="AG29" i="48"/>
  <c r="AH29" i="48" s="1"/>
  <c r="AY72" i="48"/>
  <c r="W46" i="48"/>
  <c r="X46" i="48" s="1"/>
  <c r="AY73" i="48"/>
  <c r="W32" i="48"/>
  <c r="X32" i="48" s="1"/>
  <c r="D86" i="48"/>
  <c r="Z27" i="48"/>
  <c r="AA27" i="48" s="1"/>
  <c r="J27" i="48" s="1"/>
  <c r="W82" i="48"/>
  <c r="X82" i="48" s="1"/>
  <c r="M123" i="67"/>
  <c r="D117" i="67"/>
  <c r="D107" i="67"/>
  <c r="D109" i="67"/>
  <c r="D112" i="67"/>
  <c r="D106" i="67"/>
  <c r="D113" i="67"/>
  <c r="D108" i="67"/>
  <c r="D111" i="67"/>
  <c r="D114" i="67"/>
  <c r="D116" i="67"/>
  <c r="D115" i="67"/>
  <c r="D110" i="67"/>
  <c r="D102" i="67"/>
  <c r="D97" i="67"/>
  <c r="D96" i="67"/>
  <c r="D100" i="67"/>
  <c r="D103" i="67"/>
  <c r="D99" i="67"/>
  <c r="D95" i="67"/>
  <c r="D105" i="67"/>
  <c r="D101" i="67"/>
  <c r="D98" i="67"/>
  <c r="I65" i="48"/>
  <c r="W108" i="60"/>
  <c r="R108" i="60" s="1"/>
  <c r="V109" i="60"/>
  <c r="Q109" i="60" s="1"/>
  <c r="I51" i="48"/>
  <c r="I80" i="48"/>
  <c r="I84" i="48"/>
  <c r="F81" i="48"/>
  <c r="AG81" i="48"/>
  <c r="AH81" i="48" s="1"/>
  <c r="AY65" i="48"/>
  <c r="W38" i="48"/>
  <c r="X38" i="48" s="1"/>
  <c r="R77" i="48"/>
  <c r="AI77" i="48" s="1"/>
  <c r="W65" i="48"/>
  <c r="X65" i="48" s="1"/>
  <c r="W64" i="48"/>
  <c r="X64" i="48" s="1"/>
  <c r="AY52" i="48"/>
  <c r="AE42" i="48"/>
  <c r="AF42" i="48" s="1"/>
  <c r="AJ84" i="48"/>
  <c r="AC84" i="48" s="1"/>
  <c r="W83" i="48"/>
  <c r="X83" i="48" s="1"/>
  <c r="W33" i="48"/>
  <c r="X33" i="48" s="1"/>
  <c r="AE51" i="48"/>
  <c r="AF51" i="48" s="1"/>
  <c r="D81" i="48"/>
  <c r="S81" i="48" s="1"/>
  <c r="T81" i="48" s="1"/>
  <c r="AE58" i="48"/>
  <c r="AF58" i="48" s="1"/>
  <c r="W84" i="48"/>
  <c r="X84" i="48" s="1"/>
  <c r="I64" i="48"/>
  <c r="AE38" i="48"/>
  <c r="AF38" i="48" s="1"/>
  <c r="Z33" i="48"/>
  <c r="AA33" i="48" s="1"/>
  <c r="J33" i="48" s="1"/>
  <c r="AG33" i="48"/>
  <c r="AH33" i="48" s="1"/>
  <c r="I52" i="48"/>
  <c r="V80" i="48"/>
  <c r="Q80" i="48" s="1"/>
  <c r="AY51" i="48"/>
  <c r="AE56" i="48"/>
  <c r="AF56" i="48" s="1"/>
  <c r="AY44" i="48"/>
  <c r="AP110" i="60"/>
  <c r="AR110" i="60" s="1"/>
  <c r="M128" i="67"/>
  <c r="M119" i="67"/>
  <c r="AC123" i="67"/>
  <c r="V84" i="48"/>
  <c r="Q84" i="48" s="1"/>
  <c r="AJ80" i="48"/>
  <c r="AC80" i="48" s="1"/>
  <c r="AY25" i="48"/>
  <c r="M117" i="67"/>
  <c r="M127" i="67"/>
  <c r="D121" i="60"/>
  <c r="T121" i="60" s="1"/>
  <c r="U121" i="60" s="1"/>
  <c r="AC130" i="67"/>
  <c r="Z75" i="48"/>
  <c r="AA75" i="48" s="1"/>
  <c r="J75" i="48" s="1"/>
  <c r="I58" i="48"/>
  <c r="AJ74" i="48"/>
  <c r="AC74" i="48" s="1"/>
  <c r="B78" i="48"/>
  <c r="M109" i="67"/>
  <c r="I71" i="48"/>
  <c r="M97" i="67"/>
  <c r="M98" i="67"/>
  <c r="I120" i="67"/>
  <c r="AE78" i="48"/>
  <c r="AF78" i="48" s="1"/>
  <c r="W49" i="48"/>
  <c r="X49" i="48" s="1"/>
  <c r="Z26" i="48"/>
  <c r="AA26" i="48" s="1"/>
  <c r="J26" i="48" s="1"/>
  <c r="I78" i="48"/>
  <c r="AN76" i="48"/>
  <c r="AP76" i="48" s="1"/>
  <c r="AE76" i="48"/>
  <c r="AF76" i="48" s="1"/>
  <c r="W73" i="48"/>
  <c r="X73" i="48" s="1"/>
  <c r="I31" i="48"/>
  <c r="Z85" i="48"/>
  <c r="AA85" i="48" s="1"/>
  <c r="J85" i="48" s="1"/>
  <c r="I54" i="48"/>
  <c r="Z82" i="48"/>
  <c r="AA82" i="48" s="1"/>
  <c r="J82" i="48" s="1"/>
  <c r="I83" i="48"/>
  <c r="AG31" i="48"/>
  <c r="AH31" i="48" s="1"/>
  <c r="I61" i="48"/>
  <c r="AY33" i="48"/>
  <c r="AK85" i="48"/>
  <c r="AD85" i="48" s="1"/>
  <c r="AJ85" i="48"/>
  <c r="AC85" i="48" s="1"/>
  <c r="W85" i="48"/>
  <c r="X85" i="48" s="1"/>
  <c r="U85" i="48"/>
  <c r="P85" i="48" s="1"/>
  <c r="D84" i="48"/>
  <c r="S84" i="48" s="1"/>
  <c r="T84" i="48" s="1"/>
  <c r="W30" i="48"/>
  <c r="X30" i="48" s="1"/>
  <c r="AG32" i="48"/>
  <c r="AH32" i="48" s="1"/>
  <c r="Z32" i="48"/>
  <c r="AA32" i="48" s="1"/>
  <c r="J32" i="48" s="1"/>
  <c r="AY85" i="48"/>
  <c r="I85" i="48"/>
  <c r="F86" i="48"/>
  <c r="AE84" i="48"/>
  <c r="AF84" i="48" s="1"/>
  <c r="B86" i="48"/>
  <c r="AY36" i="48"/>
  <c r="AY28" i="48"/>
  <c r="AE54" i="48"/>
  <c r="AF54" i="48" s="1"/>
  <c r="I53" i="48"/>
  <c r="AG30" i="48"/>
  <c r="AH30" i="48" s="1"/>
  <c r="AY54" i="48"/>
  <c r="AN83" i="48"/>
  <c r="AP83" i="48" s="1"/>
  <c r="R83" i="48"/>
  <c r="AB82" i="48" s="1"/>
  <c r="W31" i="48"/>
  <c r="X31" i="48" s="1"/>
  <c r="AE60" i="48"/>
  <c r="AF60" i="48" s="1"/>
  <c r="AE27" i="48"/>
  <c r="AF27" i="48" s="1"/>
  <c r="AG27" i="48"/>
  <c r="AH27" i="48" s="1"/>
  <c r="W70" i="48"/>
  <c r="X70" i="48" s="1"/>
  <c r="I33" i="48"/>
  <c r="AG85" i="48"/>
  <c r="AH85" i="48" s="1"/>
  <c r="AL85" i="48"/>
  <c r="AM85" i="48" s="1"/>
  <c r="AE85" i="48"/>
  <c r="AF85" i="48" s="1"/>
  <c r="AN85" i="48"/>
  <c r="AP85" i="48" s="1"/>
  <c r="I30" i="48"/>
  <c r="I60" i="48"/>
  <c r="W45" i="48"/>
  <c r="X45" i="48" s="1"/>
  <c r="AE34" i="48"/>
  <c r="AF34" i="48" s="1"/>
  <c r="Z30" i="48"/>
  <c r="AA30" i="48" s="1"/>
  <c r="J30" i="48" s="1"/>
  <c r="B83" i="48"/>
  <c r="AY32" i="48"/>
  <c r="W55" i="48"/>
  <c r="X55" i="48" s="1"/>
  <c r="AE57" i="48"/>
  <c r="AF57" i="48" s="1"/>
  <c r="AG26" i="48"/>
  <c r="AH26" i="48" s="1"/>
  <c r="Z77" i="48"/>
  <c r="AA77" i="48" s="1"/>
  <c r="J77" i="48" s="1"/>
  <c r="I76" i="48"/>
  <c r="Z78" i="48"/>
  <c r="AA78" i="48" s="1"/>
  <c r="J78" i="48" s="1"/>
  <c r="AY67" i="48"/>
  <c r="I79" i="48"/>
  <c r="AY50" i="48"/>
  <c r="AE62" i="48"/>
  <c r="AF62" i="48" s="1"/>
  <c r="Z28" i="48"/>
  <c r="AA28" i="48" s="1"/>
  <c r="J28" i="48" s="1"/>
  <c r="U78" i="48"/>
  <c r="P78" i="48" s="1"/>
  <c r="D75" i="48"/>
  <c r="I26" i="48"/>
  <c r="W66" i="48"/>
  <c r="X66" i="48" s="1"/>
  <c r="W79" i="48"/>
  <c r="X79" i="48" s="1"/>
  <c r="AY56" i="48"/>
  <c r="AY58" i="48"/>
  <c r="AY29" i="48"/>
  <c r="I27" i="48"/>
  <c r="W26" i="48"/>
  <c r="X26" i="48" s="1"/>
  <c r="F79" i="48"/>
  <c r="AJ78" i="48"/>
  <c r="AC78" i="48" s="1"/>
  <c r="W78" i="48"/>
  <c r="X78" i="48" s="1"/>
  <c r="AY79" i="48"/>
  <c r="I62" i="48"/>
  <c r="AG77" i="48"/>
  <c r="AH77" i="48" s="1"/>
  <c r="AN78" i="48"/>
  <c r="AP78" i="48" s="1"/>
  <c r="AN74" i="48"/>
  <c r="AP74" i="48" s="1"/>
  <c r="I74" i="48"/>
  <c r="AY74" i="48"/>
  <c r="W75" i="48"/>
  <c r="X75" i="48" s="1"/>
  <c r="R76" i="48"/>
  <c r="I57" i="48"/>
  <c r="W40" i="48"/>
  <c r="X40" i="48" s="1"/>
  <c r="AI115" i="60"/>
  <c r="AJ115" i="60" s="1"/>
  <c r="AK83" i="48"/>
  <c r="AD83" i="48" s="1"/>
  <c r="D80" i="48"/>
  <c r="S80" i="48" s="1"/>
  <c r="T80" i="48" s="1"/>
  <c r="AE77" i="48"/>
  <c r="AF77" i="48" s="1"/>
  <c r="W62" i="48"/>
  <c r="X62" i="48" s="1"/>
  <c r="Z79" i="48"/>
  <c r="AA79" i="48" s="1"/>
  <c r="J79" i="48" s="1"/>
  <c r="I56" i="48"/>
  <c r="I28" i="48"/>
  <c r="W57" i="48"/>
  <c r="X57" i="48" s="1"/>
  <c r="AE28" i="48"/>
  <c r="AF28" i="48" s="1"/>
  <c r="I29" i="48"/>
  <c r="L29" i="48" s="1"/>
  <c r="AY27" i="48"/>
  <c r="AK78" i="48"/>
  <c r="AD78" i="48" s="1"/>
  <c r="R79" i="48"/>
  <c r="AB79" i="48" s="1"/>
  <c r="D79" i="48"/>
  <c r="S79" i="48" s="1"/>
  <c r="T79" i="48" s="1"/>
  <c r="AL79" i="48"/>
  <c r="AM79" i="48" s="1"/>
  <c r="AO79" i="48" s="1"/>
  <c r="R78" i="48"/>
  <c r="AI78" i="48" s="1"/>
  <c r="AL78" i="48"/>
  <c r="AM78" i="48" s="1"/>
  <c r="AQ78" i="48" s="1"/>
  <c r="AS79" i="48" s="1"/>
  <c r="AL74" i="48"/>
  <c r="AM74" i="48" s="1"/>
  <c r="AQ74" i="48" s="1"/>
  <c r="AS75" i="48" s="1"/>
  <c r="B74" i="48"/>
  <c r="R74" i="48"/>
  <c r="AI74" i="48" s="1"/>
  <c r="AL76" i="48"/>
  <c r="AM76" i="48" s="1"/>
  <c r="AQ76" i="48" s="1"/>
  <c r="AS77" i="48" s="1"/>
  <c r="W56" i="48"/>
  <c r="X56" i="48" s="1"/>
  <c r="F75" i="48"/>
  <c r="AE43" i="48"/>
  <c r="AF43" i="48" s="1"/>
  <c r="AE40" i="48"/>
  <c r="AF40" i="48" s="1"/>
  <c r="AJ82" i="48"/>
  <c r="AC82" i="48" s="1"/>
  <c r="V76" i="48"/>
  <c r="Q76" i="48" s="1"/>
  <c r="W28" i="48"/>
  <c r="X28" i="48" s="1"/>
  <c r="B79" i="48"/>
  <c r="V78" i="48"/>
  <c r="Q78" i="48" s="1"/>
  <c r="AG78" i="48"/>
  <c r="AH78" i="48" s="1"/>
  <c r="AY78" i="48"/>
  <c r="AE73" i="48"/>
  <c r="AF73" i="48" s="1"/>
  <c r="AY76" i="48"/>
  <c r="I59" i="48"/>
  <c r="B85" i="48"/>
  <c r="AE79" i="48"/>
  <c r="AF79" i="48" s="1"/>
  <c r="AG79" i="48"/>
  <c r="AH79" i="48" s="1"/>
  <c r="B80" i="48"/>
  <c r="V79" i="48"/>
  <c r="Q79" i="48" s="1"/>
  <c r="B84" i="48"/>
  <c r="U83" i="48"/>
  <c r="P83" i="48" s="1"/>
  <c r="AG83" i="48"/>
  <c r="AH83" i="48" s="1"/>
  <c r="AN84" i="48"/>
  <c r="AP84" i="48" s="1"/>
  <c r="I81" i="48"/>
  <c r="AK80" i="48"/>
  <c r="AD80" i="48" s="1"/>
  <c r="AG80" i="48"/>
  <c r="AH80" i="48" s="1"/>
  <c r="U80" i="48"/>
  <c r="P80" i="48" s="1"/>
  <c r="D77" i="48"/>
  <c r="S77" i="48" s="1"/>
  <c r="T77" i="48" s="1"/>
  <c r="U76" i="48"/>
  <c r="P76" i="48" s="1"/>
  <c r="B77" i="48"/>
  <c r="Z76" i="48"/>
  <c r="AA76" i="48" s="1"/>
  <c r="J76" i="48" s="1"/>
  <c r="W50" i="48"/>
  <c r="X50" i="48" s="1"/>
  <c r="W81" i="48"/>
  <c r="X81" i="48" s="1"/>
  <c r="AY66" i="48"/>
  <c r="W77" i="48"/>
  <c r="X77" i="48" s="1"/>
  <c r="AK77" i="48"/>
  <c r="AD77" i="48" s="1"/>
  <c r="AE39" i="48"/>
  <c r="AF39" i="48" s="1"/>
  <c r="B25" i="48"/>
  <c r="AL26" i="48" s="1"/>
  <c r="AM26" i="48" s="1"/>
  <c r="AX61" i="60"/>
  <c r="AY61" i="60" s="1"/>
  <c r="D61" i="60" s="1"/>
  <c r="U74" i="46"/>
  <c r="P74" i="46" s="1"/>
  <c r="Z74" i="48"/>
  <c r="AA74" i="48" s="1"/>
  <c r="J74" i="48" s="1"/>
  <c r="I68" i="48"/>
  <c r="Z84" i="48"/>
  <c r="AA84" i="48" s="1"/>
  <c r="J84" i="48" s="1"/>
  <c r="AY59" i="48"/>
  <c r="AG84" i="48"/>
  <c r="AH84" i="48" s="1"/>
  <c r="D85" i="48"/>
  <c r="S85" i="48" s="1"/>
  <c r="T85" i="48" s="1"/>
  <c r="F80" i="48"/>
  <c r="AJ79" i="48"/>
  <c r="AC79" i="48" s="1"/>
  <c r="U79" i="48"/>
  <c r="P79" i="48" s="1"/>
  <c r="AN80" i="48"/>
  <c r="AP80" i="48" s="1"/>
  <c r="V83" i="48"/>
  <c r="Q83" i="48" s="1"/>
  <c r="R84" i="48"/>
  <c r="AI84" i="48" s="1"/>
  <c r="AE83" i="48"/>
  <c r="AF83" i="48" s="1"/>
  <c r="AJ83" i="48"/>
  <c r="AC83" i="48" s="1"/>
  <c r="B81" i="48"/>
  <c r="R81" i="48"/>
  <c r="AI81" i="48" s="1"/>
  <c r="AE80" i="48"/>
  <c r="AF80" i="48" s="1"/>
  <c r="AY81" i="48"/>
  <c r="AK76" i="48"/>
  <c r="AD76" i="48" s="1"/>
  <c r="W76" i="48"/>
  <c r="X76" i="48" s="1"/>
  <c r="AJ76" i="48"/>
  <c r="AC76" i="48" s="1"/>
  <c r="AG76" i="48"/>
  <c r="AH76" i="48" s="1"/>
  <c r="AE50" i="48"/>
  <c r="AF50" i="48" s="1"/>
  <c r="AK81" i="48"/>
  <c r="AD81" i="48" s="1"/>
  <c r="I66" i="48"/>
  <c r="I50" i="48"/>
  <c r="AJ77" i="48"/>
  <c r="AC77" i="48" s="1"/>
  <c r="U77" i="48"/>
  <c r="P77" i="48" s="1"/>
  <c r="D78" i="48"/>
  <c r="S78" i="48" s="1"/>
  <c r="T78" i="48" s="1"/>
  <c r="AY40" i="48"/>
  <c r="AL25" i="48"/>
  <c r="AM25" i="48" s="1"/>
  <c r="AQ25" i="48" s="1"/>
  <c r="AS26" i="48" s="1"/>
  <c r="AY43" i="48"/>
  <c r="S109" i="60"/>
  <c r="AK109" i="60" s="1"/>
  <c r="I55" i="48"/>
  <c r="AK84" i="48"/>
  <c r="AD84" i="48" s="1"/>
  <c r="F85" i="48"/>
  <c r="U84" i="48"/>
  <c r="P84" i="48" s="1"/>
  <c r="AK79" i="48"/>
  <c r="AD79" i="48" s="1"/>
  <c r="AY80" i="48"/>
  <c r="AL80" i="48"/>
  <c r="AM80" i="48" s="1"/>
  <c r="AQ80" i="48" s="1"/>
  <c r="AS81" i="48" s="1"/>
  <c r="Z83" i="48"/>
  <c r="AA83" i="48" s="1"/>
  <c r="J83" i="48" s="1"/>
  <c r="AY84" i="48"/>
  <c r="F84" i="48"/>
  <c r="X86" i="59"/>
  <c r="Y86" i="59" s="1"/>
  <c r="AN81" i="48"/>
  <c r="AP81" i="48" s="1"/>
  <c r="Z80" i="48"/>
  <c r="AA80" i="48" s="1"/>
  <c r="J80" i="48" s="1"/>
  <c r="W80" i="48"/>
  <c r="X80" i="48" s="1"/>
  <c r="F77" i="48"/>
  <c r="I77" i="48"/>
  <c r="AL77" i="48"/>
  <c r="AM77" i="48" s="1"/>
  <c r="AO77" i="48" s="1"/>
  <c r="AY77" i="48"/>
  <c r="AE65" i="48"/>
  <c r="AF65" i="48" s="1"/>
  <c r="V77" i="48"/>
  <c r="Q77" i="48" s="1"/>
  <c r="F78" i="48"/>
  <c r="AU25" i="48"/>
  <c r="S25" i="48" s="1"/>
  <c r="AP109" i="60"/>
  <c r="AR109" i="60" s="1"/>
  <c r="I67" i="48"/>
  <c r="AE63" i="48"/>
  <c r="AF63" i="48" s="1"/>
  <c r="W68" i="48"/>
  <c r="X68" i="48" s="1"/>
  <c r="I82" i="48"/>
  <c r="W52" i="48"/>
  <c r="X52" i="48" s="1"/>
  <c r="F76" i="48"/>
  <c r="V75" i="48"/>
  <c r="Q75" i="48" s="1"/>
  <c r="AK74" i="48"/>
  <c r="AD74" i="48" s="1"/>
  <c r="AE82" i="48"/>
  <c r="AF82" i="48" s="1"/>
  <c r="M118" i="67"/>
  <c r="I70" i="48"/>
  <c r="I63" i="48"/>
  <c r="W63" i="48"/>
  <c r="X63" i="48" s="1"/>
  <c r="W35" i="48"/>
  <c r="X35" i="48" s="1"/>
  <c r="I69" i="48"/>
  <c r="W67" i="48"/>
  <c r="X67" i="48" s="1"/>
  <c r="W54" i="48"/>
  <c r="X54" i="48" s="1"/>
  <c r="F82" i="48"/>
  <c r="AJ81" i="48"/>
  <c r="AC81" i="48" s="1"/>
  <c r="B82" i="48"/>
  <c r="AY82" i="48"/>
  <c r="AG34" i="48"/>
  <c r="AH34" i="48" s="1"/>
  <c r="AY46" i="48"/>
  <c r="AE52" i="48"/>
  <c r="AF52" i="48" s="1"/>
  <c r="U75" i="48"/>
  <c r="P75" i="48" s="1"/>
  <c r="AG75" i="48"/>
  <c r="AH75" i="48" s="1"/>
  <c r="W37" i="48"/>
  <c r="X37" i="48" s="1"/>
  <c r="AY71" i="48"/>
  <c r="B75" i="48"/>
  <c r="AY75" i="48"/>
  <c r="AG74" i="48"/>
  <c r="AH74" i="48" s="1"/>
  <c r="U74" i="48"/>
  <c r="P74" i="48" s="1"/>
  <c r="W53" i="48"/>
  <c r="X53" i="48" s="1"/>
  <c r="V82" i="48"/>
  <c r="Q82" i="48" s="1"/>
  <c r="U82" i="48"/>
  <c r="P82" i="48" s="1"/>
  <c r="F83" i="48"/>
  <c r="AQ123" i="67"/>
  <c r="AL51" i="46"/>
  <c r="AM51" i="46" s="1"/>
  <c r="AQ51" i="46" s="1"/>
  <c r="AS52" i="46" s="1"/>
  <c r="AY68" i="48"/>
  <c r="AE81" i="48"/>
  <c r="AF81" i="48" s="1"/>
  <c r="D82" i="48"/>
  <c r="AN82" i="48"/>
  <c r="AP82" i="48" s="1"/>
  <c r="W44" i="48"/>
  <c r="X44" i="48" s="1"/>
  <c r="B76" i="48"/>
  <c r="AE75" i="48"/>
  <c r="AF75" i="48" s="1"/>
  <c r="W74" i="48"/>
  <c r="X74" i="48" s="1"/>
  <c r="AE74" i="48"/>
  <c r="AF74" i="48" s="1"/>
  <c r="R75" i="48"/>
  <c r="AI75" i="48" s="1"/>
  <c r="AK82" i="48"/>
  <c r="AD82" i="48" s="1"/>
  <c r="I34" i="48"/>
  <c r="Z81" i="48"/>
  <c r="AA81" i="48" s="1"/>
  <c r="J81" i="48" s="1"/>
  <c r="AL82" i="48"/>
  <c r="AM82" i="48" s="1"/>
  <c r="AQ82" i="48" s="1"/>
  <c r="AS83" i="48" s="1"/>
  <c r="V81" i="48"/>
  <c r="Q81" i="48" s="1"/>
  <c r="U81" i="48"/>
  <c r="P81" i="48" s="1"/>
  <c r="AK75" i="48"/>
  <c r="AD75" i="48" s="1"/>
  <c r="D76" i="48"/>
  <c r="S76" i="48" s="1"/>
  <c r="T76" i="48" s="1"/>
  <c r="AJ75" i="48"/>
  <c r="AC75" i="48" s="1"/>
  <c r="I75" i="48"/>
  <c r="V74" i="48"/>
  <c r="Q74" i="48" s="1"/>
  <c r="AN75" i="48"/>
  <c r="AP75" i="48" s="1"/>
  <c r="D83" i="48"/>
  <c r="S83" i="48" s="1"/>
  <c r="T83" i="48" s="1"/>
  <c r="AG82" i="48"/>
  <c r="AH82" i="48" s="1"/>
  <c r="AC119" i="67"/>
  <c r="AM91" i="60"/>
  <c r="AF91" i="60" s="1"/>
  <c r="AA100" i="60"/>
  <c r="AB100" i="60" s="1"/>
  <c r="K100" i="60" s="1"/>
  <c r="M100" i="60" s="1"/>
  <c r="B104" i="60"/>
  <c r="AQ120" i="67"/>
  <c r="J117" i="60"/>
  <c r="M130" i="67"/>
  <c r="M122" i="67"/>
  <c r="AL25" i="45"/>
  <c r="AM25" i="45" s="1"/>
  <c r="AQ25" i="45" s="1"/>
  <c r="AS26" i="45" s="1"/>
  <c r="AL91" i="60"/>
  <c r="AE91" i="60" s="1"/>
  <c r="R51" i="46"/>
  <c r="AI51" i="46" s="1"/>
  <c r="AP111" i="60"/>
  <c r="AR111" i="60" s="1"/>
  <c r="AA105" i="60"/>
  <c r="AB105" i="60" s="1"/>
  <c r="K105" i="60" s="1"/>
  <c r="M105" i="60" s="1"/>
  <c r="AA87" i="60"/>
  <c r="AB87" i="60" s="1"/>
  <c r="K87" i="60" s="1"/>
  <c r="AN51" i="46"/>
  <c r="AP51" i="46" s="1"/>
  <c r="AY51" i="46"/>
  <c r="AL105" i="60"/>
  <c r="AE105" i="60" s="1"/>
  <c r="AY85" i="46"/>
  <c r="AK51" i="46"/>
  <c r="AD51" i="46" s="1"/>
  <c r="AA104" i="60"/>
  <c r="AB104" i="60" s="1"/>
  <c r="K104" i="60" s="1"/>
  <c r="AM104" i="60"/>
  <c r="AF104" i="60" s="1"/>
  <c r="G106" i="60"/>
  <c r="AQ127" i="67"/>
  <c r="AL100" i="60"/>
  <c r="AE100" i="60" s="1"/>
  <c r="AC122" i="67"/>
  <c r="AC127" i="67"/>
  <c r="B62" i="60"/>
  <c r="AP63" i="60" s="1"/>
  <c r="AR63" i="60" s="1"/>
  <c r="AY61" i="51"/>
  <c r="AN62" i="60"/>
  <c r="AO62" i="60" s="1"/>
  <c r="AN119" i="59"/>
  <c r="AO119" i="59" s="1"/>
  <c r="AS119" i="59" s="1"/>
  <c r="AU120" i="59" s="1"/>
  <c r="BA94" i="60"/>
  <c r="X62" i="60"/>
  <c r="Y62" i="60" s="1"/>
  <c r="BA88" i="60"/>
  <c r="BA116" i="60"/>
  <c r="AG62" i="60"/>
  <c r="AH62" i="60" s="1"/>
  <c r="AP107" i="60"/>
  <c r="AR107" i="60" s="1"/>
  <c r="AN88" i="60"/>
  <c r="AO88" i="60" s="1"/>
  <c r="AS88" i="60" s="1"/>
  <c r="AU89" i="60" s="1"/>
  <c r="V89" i="60"/>
  <c r="Q89" i="60" s="1"/>
  <c r="AJ77" i="46"/>
  <c r="AC77" i="46" s="1"/>
  <c r="AG111" i="60"/>
  <c r="AH111" i="60" s="1"/>
  <c r="B99" i="60"/>
  <c r="J69" i="60"/>
  <c r="S112" i="59"/>
  <c r="AK112" i="59" s="1"/>
  <c r="AQ130" i="67"/>
  <c r="G115" i="60"/>
  <c r="X115" i="60"/>
  <c r="Y115" i="60" s="1"/>
  <c r="X116" i="60"/>
  <c r="Y116" i="60" s="1"/>
  <c r="AN98" i="60"/>
  <c r="AO98" i="60" s="1"/>
  <c r="BA65" i="60"/>
  <c r="AL106" i="60"/>
  <c r="AE106" i="60" s="1"/>
  <c r="V116" i="60"/>
  <c r="Q116" i="60" s="1"/>
  <c r="J116" i="60"/>
  <c r="J107" i="60"/>
  <c r="J88" i="60"/>
  <c r="AG79" i="60"/>
  <c r="AH79" i="60" s="1"/>
  <c r="J62" i="60"/>
  <c r="AG76" i="60"/>
  <c r="AH76" i="60" s="1"/>
  <c r="AM90" i="60"/>
  <c r="AF90" i="60" s="1"/>
  <c r="X64" i="60"/>
  <c r="Y64" i="60" s="1"/>
  <c r="AG71" i="60"/>
  <c r="AH71" i="60" s="1"/>
  <c r="J72" i="60"/>
  <c r="U77" i="46"/>
  <c r="P77" i="46" s="1"/>
  <c r="BA117" i="60"/>
  <c r="AG116" i="60"/>
  <c r="AH116" i="60" s="1"/>
  <c r="S117" i="60"/>
  <c r="AK117" i="60" s="1"/>
  <c r="AI116" i="60"/>
  <c r="AJ116" i="60" s="1"/>
  <c r="AN117" i="60"/>
  <c r="AO117" i="60" s="1"/>
  <c r="AS117" i="60" s="1"/>
  <c r="AU118" i="60" s="1"/>
  <c r="J80" i="60"/>
  <c r="AG80" i="60"/>
  <c r="AH80" i="60" s="1"/>
  <c r="AQ124" i="67"/>
  <c r="S115" i="59"/>
  <c r="AK115" i="59" s="1"/>
  <c r="BA94" i="59"/>
  <c r="AQ121" i="67"/>
  <c r="S94" i="60"/>
  <c r="AK94" i="60" s="1"/>
  <c r="AI62" i="60"/>
  <c r="AJ62" i="60" s="1"/>
  <c r="S98" i="60"/>
  <c r="AK98" i="60" s="1"/>
  <c r="AP98" i="60"/>
  <c r="AR98" i="60" s="1"/>
  <c r="S107" i="60"/>
  <c r="AK107" i="60" s="1"/>
  <c r="AN109" i="60"/>
  <c r="AO109" i="60" s="1"/>
  <c r="AS109" i="60" s="1"/>
  <c r="AU110" i="60" s="1"/>
  <c r="S88" i="60"/>
  <c r="AK88" i="60" s="1"/>
  <c r="BA80" i="60"/>
  <c r="X109" i="60"/>
  <c r="Y109" i="60" s="1"/>
  <c r="X76" i="60"/>
  <c r="Y76" i="60" s="1"/>
  <c r="I52" i="46"/>
  <c r="B25" i="46"/>
  <c r="AN26" i="46" s="1"/>
  <c r="AP26" i="46" s="1"/>
  <c r="AG64" i="60"/>
  <c r="AH64" i="60" s="1"/>
  <c r="AG69" i="60"/>
  <c r="AH69" i="60" s="1"/>
  <c r="BA72" i="60"/>
  <c r="AL78" i="46"/>
  <c r="AM78" i="46" s="1"/>
  <c r="AQ78" i="46" s="1"/>
  <c r="AS79" i="46" s="1"/>
  <c r="AM116" i="60"/>
  <c r="AF116" i="60" s="1"/>
  <c r="G117" i="60"/>
  <c r="B117" i="60"/>
  <c r="J90" i="60"/>
  <c r="AA121" i="60"/>
  <c r="AB121" i="60" s="1"/>
  <c r="K121" i="60" s="1"/>
  <c r="AP116" i="60"/>
  <c r="AR116" i="60" s="1"/>
  <c r="W115" i="60"/>
  <c r="R115" i="60" s="1"/>
  <c r="AA115" i="60"/>
  <c r="AB115" i="60" s="1"/>
  <c r="K115" i="60" s="1"/>
  <c r="AG115" i="60"/>
  <c r="AH115" i="60" s="1"/>
  <c r="B116" i="60"/>
  <c r="X80" i="60"/>
  <c r="Y80" i="60" s="1"/>
  <c r="BA115" i="60"/>
  <c r="S115" i="60"/>
  <c r="AC115" i="60" s="1"/>
  <c r="AA112" i="60"/>
  <c r="AB112" i="60" s="1"/>
  <c r="K112" i="60" s="1"/>
  <c r="B97" i="60"/>
  <c r="X95" i="59"/>
  <c r="Y95" i="59" s="1"/>
  <c r="J94" i="60"/>
  <c r="AA62" i="60"/>
  <c r="AB62" i="60" s="1"/>
  <c r="K62" i="60" s="1"/>
  <c r="J98" i="60"/>
  <c r="AN107" i="60"/>
  <c r="AO107" i="60" s="1"/>
  <c r="AS107" i="60" s="1"/>
  <c r="AU108" i="60" s="1"/>
  <c r="AA64" i="60"/>
  <c r="AB64" i="60" s="1"/>
  <c r="K64" i="60" s="1"/>
  <c r="BA90" i="60"/>
  <c r="AN116" i="60"/>
  <c r="AO116" i="60" s="1"/>
  <c r="AS116" i="60" s="1"/>
  <c r="AU117" i="60" s="1"/>
  <c r="G116" i="60"/>
  <c r="AM115" i="60"/>
  <c r="AF115" i="60" s="1"/>
  <c r="AE40" i="46"/>
  <c r="AF40" i="46" s="1"/>
  <c r="AA116" i="60"/>
  <c r="AB116" i="60" s="1"/>
  <c r="K116" i="60" s="1"/>
  <c r="AA114" i="60"/>
  <c r="AB114" i="60" s="1"/>
  <c r="K114" i="60" s="1"/>
  <c r="M114" i="60" s="1"/>
  <c r="AM114" i="59"/>
  <c r="AF114" i="59" s="1"/>
  <c r="BA70" i="59"/>
  <c r="AN94" i="60"/>
  <c r="AO94" i="60" s="1"/>
  <c r="AQ94" i="60" s="1"/>
  <c r="AP112" i="60"/>
  <c r="AR112" i="60" s="1"/>
  <c r="AN108" i="60"/>
  <c r="AO108" i="60" s="1"/>
  <c r="AS108" i="60" s="1"/>
  <c r="AU109" i="60" s="1"/>
  <c r="J109" i="60"/>
  <c r="AP88" i="60"/>
  <c r="AR88" i="60" s="1"/>
  <c r="D110" i="60"/>
  <c r="T110" i="60" s="1"/>
  <c r="U110" i="60" s="1"/>
  <c r="AG87" i="60"/>
  <c r="AH87" i="60" s="1"/>
  <c r="W33" i="46"/>
  <c r="X33" i="46" s="1"/>
  <c r="AA90" i="60"/>
  <c r="AB90" i="60" s="1"/>
  <c r="K90" i="60" s="1"/>
  <c r="F52" i="46"/>
  <c r="BA70" i="60"/>
  <c r="J95" i="59"/>
  <c r="W116" i="60"/>
  <c r="R116" i="60" s="1"/>
  <c r="D117" i="60"/>
  <c r="T117" i="60" s="1"/>
  <c r="U117" i="60" s="1"/>
  <c r="AL116" i="60"/>
  <c r="AE116" i="60" s="1"/>
  <c r="AP90" i="60"/>
  <c r="AR90" i="60" s="1"/>
  <c r="V115" i="60"/>
  <c r="Q115" i="60" s="1"/>
  <c r="D116" i="60"/>
  <c r="T116" i="60" s="1"/>
  <c r="U116" i="60" s="1"/>
  <c r="AL115" i="60"/>
  <c r="AE115" i="60" s="1"/>
  <c r="S90" i="60"/>
  <c r="AK90" i="60" s="1"/>
  <c r="AP115" i="60"/>
  <c r="AR115" i="60" s="1"/>
  <c r="J115" i="60"/>
  <c r="W90" i="60"/>
  <c r="R90" i="60" s="1"/>
  <c r="V103" i="60"/>
  <c r="Q103" i="60" s="1"/>
  <c r="W87" i="60"/>
  <c r="R87" i="60" s="1"/>
  <c r="AN38" i="45"/>
  <c r="AP38" i="45" s="1"/>
  <c r="J76" i="60"/>
  <c r="AP92" i="60"/>
  <c r="AR92" i="60" s="1"/>
  <c r="D92" i="60"/>
  <c r="T92" i="60" s="1"/>
  <c r="U92" i="60" s="1"/>
  <c r="AL86" i="60"/>
  <c r="AE86" i="60" s="1"/>
  <c r="AG104" i="60"/>
  <c r="AH104" i="60" s="1"/>
  <c r="V87" i="60"/>
  <c r="Q87" i="60" s="1"/>
  <c r="G107" i="60"/>
  <c r="D107" i="60"/>
  <c r="T107" i="60" s="1"/>
  <c r="U107" i="60" s="1"/>
  <c r="AA106" i="60"/>
  <c r="AB106" i="60" s="1"/>
  <c r="K106" i="60" s="1"/>
  <c r="AP103" i="60"/>
  <c r="AR103" i="60" s="1"/>
  <c r="J106" i="60"/>
  <c r="W103" i="60"/>
  <c r="R103" i="60" s="1"/>
  <c r="BA76" i="60"/>
  <c r="BA92" i="60"/>
  <c r="X91" i="60"/>
  <c r="Y91" i="60" s="1"/>
  <c r="X81" i="60"/>
  <c r="Y81" i="60" s="1"/>
  <c r="J91" i="60"/>
  <c r="V92" i="60"/>
  <c r="Q92" i="60" s="1"/>
  <c r="S104" i="60"/>
  <c r="AK104" i="60" s="1"/>
  <c r="AG72" i="60"/>
  <c r="AH72" i="60" s="1"/>
  <c r="B88" i="60"/>
  <c r="AA103" i="60"/>
  <c r="AB103" i="60" s="1"/>
  <c r="K103" i="60" s="1"/>
  <c r="X103" i="60"/>
  <c r="Y103" i="60" s="1"/>
  <c r="AI90" i="60"/>
  <c r="AJ90" i="60" s="1"/>
  <c r="J87" i="60"/>
  <c r="AP105" i="60"/>
  <c r="AR105" i="60" s="1"/>
  <c r="S105" i="60"/>
  <c r="B106" i="60"/>
  <c r="AG106" i="60"/>
  <c r="AH106" i="60" s="1"/>
  <c r="G91" i="60"/>
  <c r="BA103" i="60"/>
  <c r="AA98" i="60"/>
  <c r="AB98" i="60" s="1"/>
  <c r="K98" i="60" s="1"/>
  <c r="S92" i="60"/>
  <c r="AN92" i="60"/>
  <c r="AO92" i="60" s="1"/>
  <c r="AN91" i="60"/>
  <c r="AO91" i="60" s="1"/>
  <c r="AS91" i="60" s="1"/>
  <c r="AU92" i="60" s="1"/>
  <c r="V104" i="60"/>
  <c r="Q104" i="60" s="1"/>
  <c r="J104" i="60"/>
  <c r="AI87" i="60"/>
  <c r="AJ87" i="60" s="1"/>
  <c r="B111" i="60"/>
  <c r="J79" i="60"/>
  <c r="D104" i="60"/>
  <c r="T104" i="60" s="1"/>
  <c r="U104" i="60" s="1"/>
  <c r="W104" i="60"/>
  <c r="R104" i="60" s="1"/>
  <c r="AM103" i="60"/>
  <c r="AF103" i="60" s="1"/>
  <c r="V90" i="60"/>
  <c r="Q90" i="60" s="1"/>
  <c r="D112" i="60"/>
  <c r="T112" i="60" s="1"/>
  <c r="U112" i="60" s="1"/>
  <c r="BA87" i="60"/>
  <c r="S87" i="60"/>
  <c r="AK87" i="60" s="1"/>
  <c r="AM105" i="60"/>
  <c r="AF105" i="60" s="1"/>
  <c r="BA79" i="60"/>
  <c r="AN105" i="60"/>
  <c r="AO105" i="60" s="1"/>
  <c r="AS105" i="60" s="1"/>
  <c r="AU106" i="60" s="1"/>
  <c r="AI106" i="60"/>
  <c r="AJ106" i="60" s="1"/>
  <c r="J111" i="60"/>
  <c r="G87" i="60"/>
  <c r="AG84" i="60"/>
  <c r="AH84" i="60" s="1"/>
  <c r="W92" i="60"/>
  <c r="R92" i="60" s="1"/>
  <c r="AN86" i="60"/>
  <c r="AO86" i="60" s="1"/>
  <c r="AS86" i="60" s="1"/>
  <c r="AU87" i="60" s="1"/>
  <c r="AA92" i="60"/>
  <c r="AB92" i="60" s="1"/>
  <c r="K92" i="60" s="1"/>
  <c r="BA101" i="60"/>
  <c r="R59" i="46"/>
  <c r="AI59" i="46" s="1"/>
  <c r="F68" i="46"/>
  <c r="AA63" i="59"/>
  <c r="AB63" i="59" s="1"/>
  <c r="K63" i="59" s="1"/>
  <c r="AQ122" i="67"/>
  <c r="AK124" i="67"/>
  <c r="AQ119" i="67"/>
  <c r="AQ61" i="60"/>
  <c r="X75" i="60"/>
  <c r="Y75" i="60" s="1"/>
  <c r="AG93" i="60"/>
  <c r="AH93" i="60" s="1"/>
  <c r="AI91" i="60"/>
  <c r="AJ91" i="60" s="1"/>
  <c r="B92" i="60"/>
  <c r="G92" i="60"/>
  <c r="J92" i="60"/>
  <c r="BA82" i="60"/>
  <c r="X101" i="60"/>
  <c r="Y101" i="60" s="1"/>
  <c r="BA91" i="60"/>
  <c r="S91" i="60"/>
  <c r="AK91" i="60" s="1"/>
  <c r="AL92" i="60"/>
  <c r="AE92" i="60" s="1"/>
  <c r="D105" i="60"/>
  <c r="T105" i="60" s="1"/>
  <c r="U105" i="60" s="1"/>
  <c r="AN104" i="60"/>
  <c r="AO104" i="60" s="1"/>
  <c r="AS104" i="60" s="1"/>
  <c r="AU105" i="60" s="1"/>
  <c r="AP104" i="60"/>
  <c r="AR104" i="60" s="1"/>
  <c r="BA73" i="60"/>
  <c r="V88" i="60"/>
  <c r="Q88" i="60" s="1"/>
  <c r="AG70" i="60"/>
  <c r="AH70" i="60" s="1"/>
  <c r="AM87" i="60"/>
  <c r="AF87" i="60" s="1"/>
  <c r="W88" i="60"/>
  <c r="R88" i="60" s="1"/>
  <c r="D88" i="60"/>
  <c r="T88" i="60" s="1"/>
  <c r="U88" i="60" s="1"/>
  <c r="B105" i="60"/>
  <c r="W106" i="60"/>
  <c r="R106" i="60" s="1"/>
  <c r="G105" i="60"/>
  <c r="X106" i="60"/>
  <c r="Y106" i="60" s="1"/>
  <c r="G101" i="60"/>
  <c r="X90" i="60"/>
  <c r="Y90" i="60" s="1"/>
  <c r="J81" i="60"/>
  <c r="AG90" i="60"/>
  <c r="AH90" i="60" s="1"/>
  <c r="B91" i="60"/>
  <c r="AN87" i="60"/>
  <c r="AO87" i="60" s="1"/>
  <c r="AS87" i="60" s="1"/>
  <c r="AU88" i="60" s="1"/>
  <c r="AG97" i="60"/>
  <c r="AH97" i="60" s="1"/>
  <c r="BA111" i="60"/>
  <c r="W105" i="60"/>
  <c r="R105" i="60" s="1"/>
  <c r="X104" i="60"/>
  <c r="Y104" i="60" s="1"/>
  <c r="X83" i="60"/>
  <c r="Y83" i="60" s="1"/>
  <c r="AG83" i="60"/>
  <c r="AH83" i="60" s="1"/>
  <c r="M107" i="67"/>
  <c r="AC126" i="67"/>
  <c r="V105" i="60"/>
  <c r="Q105" i="60" s="1"/>
  <c r="AL103" i="60"/>
  <c r="AE103" i="60" s="1"/>
  <c r="V106" i="60"/>
  <c r="Q106" i="60" s="1"/>
  <c r="AM100" i="60"/>
  <c r="AF100" i="60" s="1"/>
  <c r="J103" i="60"/>
  <c r="S106" i="60"/>
  <c r="AK106" i="60" s="1"/>
  <c r="BA106" i="60"/>
  <c r="AY53" i="46"/>
  <c r="AE27" i="45"/>
  <c r="AF27" i="45" s="1"/>
  <c r="AG88" i="60"/>
  <c r="AH88" i="60" s="1"/>
  <c r="BA64" i="59"/>
  <c r="AE60" i="51"/>
  <c r="AF60" i="51" s="1"/>
  <c r="AI113" i="60"/>
  <c r="AJ113" i="60" s="1"/>
  <c r="AM112" i="60"/>
  <c r="AF112" i="60" s="1"/>
  <c r="AA91" i="60"/>
  <c r="AB91" i="60" s="1"/>
  <c r="K91" i="60" s="1"/>
  <c r="W91" i="60"/>
  <c r="R91" i="60" s="1"/>
  <c r="V91" i="60"/>
  <c r="Q91" i="60" s="1"/>
  <c r="AP91" i="60"/>
  <c r="AR91" i="60" s="1"/>
  <c r="D93" i="60"/>
  <c r="T93" i="60" s="1"/>
  <c r="U93" i="60" s="1"/>
  <c r="AL104" i="60"/>
  <c r="AE104" i="60" s="1"/>
  <c r="BA104" i="60"/>
  <c r="AA88" i="60"/>
  <c r="AB88" i="60" s="1"/>
  <c r="K88" i="60" s="1"/>
  <c r="AL87" i="60"/>
  <c r="AE87" i="60" s="1"/>
  <c r="X87" i="60"/>
  <c r="Y87" i="60" s="1"/>
  <c r="G88" i="60"/>
  <c r="AI103" i="60"/>
  <c r="AJ103" i="60" s="1"/>
  <c r="AI104" i="60"/>
  <c r="AJ104" i="60" s="1"/>
  <c r="AG103" i="60"/>
  <c r="AH103" i="60" s="1"/>
  <c r="W97" i="60"/>
  <c r="R97" i="60" s="1"/>
  <c r="AM106" i="60"/>
  <c r="AF106" i="60" s="1"/>
  <c r="AA86" i="60"/>
  <c r="AB86" i="60" s="1"/>
  <c r="K86" i="60" s="1"/>
  <c r="AL102" i="60"/>
  <c r="AE102" i="60" s="1"/>
  <c r="AL90" i="60"/>
  <c r="AE90" i="60" s="1"/>
  <c r="D91" i="60"/>
  <c r="T91" i="60" s="1"/>
  <c r="U91" i="60" s="1"/>
  <c r="AI117" i="60"/>
  <c r="AJ117" i="60" s="1"/>
  <c r="V97" i="60"/>
  <c r="Q97" i="60" s="1"/>
  <c r="AN111" i="60"/>
  <c r="AO111" i="60" s="1"/>
  <c r="AS111" i="60" s="1"/>
  <c r="AU112" i="60" s="1"/>
  <c r="AP87" i="60"/>
  <c r="AR87" i="60" s="1"/>
  <c r="AI105" i="60"/>
  <c r="AJ105" i="60" s="1"/>
  <c r="X78" i="60"/>
  <c r="Y78" i="60" s="1"/>
  <c r="BA105" i="60"/>
  <c r="X105" i="60"/>
  <c r="Y105" i="60" s="1"/>
  <c r="G104" i="60"/>
  <c r="AG105" i="60"/>
  <c r="AH105" i="60" s="1"/>
  <c r="B107" i="60"/>
  <c r="D101" i="60"/>
  <c r="T101" i="60" s="1"/>
  <c r="U101" i="60" s="1"/>
  <c r="S103" i="60"/>
  <c r="AK103" i="60" s="1"/>
  <c r="D106" i="60"/>
  <c r="AN106" i="60"/>
  <c r="AO106" i="60" s="1"/>
  <c r="AS106" i="60" s="1"/>
  <c r="AU107" i="60" s="1"/>
  <c r="J75" i="60"/>
  <c r="B112" i="60"/>
  <c r="B103" i="60"/>
  <c r="AA94" i="60"/>
  <c r="AB94" i="60" s="1"/>
  <c r="K94" i="60" s="1"/>
  <c r="J68" i="60"/>
  <c r="BA119" i="60"/>
  <c r="AN119" i="60"/>
  <c r="AO119" i="60" s="1"/>
  <c r="AS119" i="60" s="1"/>
  <c r="AU120" i="60" s="1"/>
  <c r="AP119" i="60"/>
  <c r="AR119" i="60" s="1"/>
  <c r="D119" i="60"/>
  <c r="T119" i="60" s="1"/>
  <c r="U119" i="60" s="1"/>
  <c r="AG74" i="60"/>
  <c r="AH74" i="60" s="1"/>
  <c r="J112" i="60"/>
  <c r="AA101" i="60"/>
  <c r="AB101" i="60" s="1"/>
  <c r="K101" i="60" s="1"/>
  <c r="G108" i="60"/>
  <c r="V110" i="60"/>
  <c r="Q110" i="60" s="1"/>
  <c r="AI109" i="60"/>
  <c r="AJ109" i="60" s="1"/>
  <c r="W114" i="60"/>
  <c r="R114" i="60" s="1"/>
  <c r="AL118" i="60"/>
  <c r="AE118" i="60" s="1"/>
  <c r="V118" i="60"/>
  <c r="Q118" i="60" s="1"/>
  <c r="W96" i="60"/>
  <c r="R96" i="60" s="1"/>
  <c r="AG96" i="60"/>
  <c r="AH96" i="60" s="1"/>
  <c r="AM121" i="60"/>
  <c r="AF121" i="60" s="1"/>
  <c r="S121" i="60"/>
  <c r="AK121" i="60" s="1"/>
  <c r="J119" i="60"/>
  <c r="AN96" i="60"/>
  <c r="AO96" i="60" s="1"/>
  <c r="AS96" i="60" s="1"/>
  <c r="AU97" i="60" s="1"/>
  <c r="AN100" i="60"/>
  <c r="AO100" i="60" s="1"/>
  <c r="AS100" i="60" s="1"/>
  <c r="AU101" i="60" s="1"/>
  <c r="AI99" i="60"/>
  <c r="AJ99" i="60" s="1"/>
  <c r="AM99" i="60"/>
  <c r="AF99" i="60" s="1"/>
  <c r="S100" i="60"/>
  <c r="AK100" i="60" s="1"/>
  <c r="AP100" i="60"/>
  <c r="AR100" i="60" s="1"/>
  <c r="G100" i="60"/>
  <c r="S114" i="60"/>
  <c r="AK114" i="60" s="1"/>
  <c r="AI93" i="60"/>
  <c r="AJ93" i="60" s="1"/>
  <c r="AM101" i="60"/>
  <c r="AF101" i="60" s="1"/>
  <c r="AN102" i="60"/>
  <c r="AO102" i="60" s="1"/>
  <c r="AS102" i="60" s="1"/>
  <c r="AU103" i="60" s="1"/>
  <c r="AL107" i="60"/>
  <c r="AE107" i="60" s="1"/>
  <c r="AN93" i="60"/>
  <c r="AO93" i="60" s="1"/>
  <c r="AS93" i="60" s="1"/>
  <c r="AU94" i="60" s="1"/>
  <c r="AM109" i="60"/>
  <c r="AF109" i="60" s="1"/>
  <c r="J110" i="60"/>
  <c r="AI88" i="60"/>
  <c r="AJ88" i="60" s="1"/>
  <c r="D89" i="60"/>
  <c r="T89" i="60" s="1"/>
  <c r="U89" i="60" s="1"/>
  <c r="G89" i="60"/>
  <c r="G98" i="60"/>
  <c r="AM97" i="60"/>
  <c r="AF97" i="60" s="1"/>
  <c r="AM114" i="60"/>
  <c r="AF114" i="60" s="1"/>
  <c r="D97" i="60"/>
  <c r="T97" i="60" s="1"/>
  <c r="U97" i="60" s="1"/>
  <c r="V96" i="60"/>
  <c r="Q96" i="60" s="1"/>
  <c r="J84" i="60"/>
  <c r="X84" i="60"/>
  <c r="Y84" i="60" s="1"/>
  <c r="V95" i="60"/>
  <c r="Q95" i="60" s="1"/>
  <c r="D90" i="60"/>
  <c r="T90" i="60" s="1"/>
  <c r="U90" i="60" s="1"/>
  <c r="BA100" i="60"/>
  <c r="X119" i="60"/>
  <c r="Y119" i="60" s="1"/>
  <c r="W121" i="60"/>
  <c r="R121" i="60" s="1"/>
  <c r="AN121" i="60"/>
  <c r="AO121" i="60" s="1"/>
  <c r="AS121" i="60" s="1"/>
  <c r="AP121" i="60"/>
  <c r="AR121" i="60" s="1"/>
  <c r="V120" i="60"/>
  <c r="Q120" i="60" s="1"/>
  <c r="BA121" i="60"/>
  <c r="X121" i="60"/>
  <c r="Y121" i="60" s="1"/>
  <c r="V121" i="60"/>
  <c r="Q121" i="60" s="1"/>
  <c r="J121" i="60"/>
  <c r="G121" i="60"/>
  <c r="AL114" i="60"/>
  <c r="AE114" i="60" s="1"/>
  <c r="V114" i="60"/>
  <c r="Q114" i="60" s="1"/>
  <c r="D115" i="60"/>
  <c r="T115" i="60" s="1"/>
  <c r="U115" i="60" s="1"/>
  <c r="AI114" i="60"/>
  <c r="AJ114" i="60" s="1"/>
  <c r="AL113" i="60"/>
  <c r="AE113" i="60" s="1"/>
  <c r="AG114" i="60"/>
  <c r="AH114" i="60" s="1"/>
  <c r="B115" i="60"/>
  <c r="BA114" i="60"/>
  <c r="AN114" i="60"/>
  <c r="AO114" i="60" s="1"/>
  <c r="AS114" i="60" s="1"/>
  <c r="AU115" i="60" s="1"/>
  <c r="X113" i="60"/>
  <c r="Y113" i="60" s="1"/>
  <c r="X74" i="60"/>
  <c r="Y74" i="60" s="1"/>
  <c r="BA75" i="60"/>
  <c r="J96" i="60"/>
  <c r="AP96" i="60"/>
  <c r="AR96" i="60" s="1"/>
  <c r="G96" i="60"/>
  <c r="BA96" i="60"/>
  <c r="AM111" i="60"/>
  <c r="AF111" i="60" s="1"/>
  <c r="W111" i="60"/>
  <c r="R111" i="60" s="1"/>
  <c r="V111" i="60"/>
  <c r="Q111" i="60" s="1"/>
  <c r="AA111" i="60"/>
  <c r="AB111" i="60" s="1"/>
  <c r="K111" i="60" s="1"/>
  <c r="S112" i="60"/>
  <c r="AK112" i="60" s="1"/>
  <c r="X111" i="60"/>
  <c r="Y111" i="60" s="1"/>
  <c r="G112" i="60"/>
  <c r="AN112" i="60"/>
  <c r="AO112" i="60" s="1"/>
  <c r="AA102" i="60"/>
  <c r="AB102" i="60" s="1"/>
  <c r="K102" i="60" s="1"/>
  <c r="X102" i="60"/>
  <c r="Y102" i="60" s="1"/>
  <c r="AG102" i="60"/>
  <c r="AH102" i="60" s="1"/>
  <c r="W102" i="60"/>
  <c r="R102" i="60" s="1"/>
  <c r="B102" i="60"/>
  <c r="S102" i="60"/>
  <c r="AK102" i="60" s="1"/>
  <c r="J102" i="60"/>
  <c r="D102" i="60"/>
  <c r="G103" i="60"/>
  <c r="AI102" i="60"/>
  <c r="AJ102" i="60" s="1"/>
  <c r="D103" i="60"/>
  <c r="T103" i="60" s="1"/>
  <c r="U103" i="60" s="1"/>
  <c r="AP102" i="60"/>
  <c r="AR102" i="60" s="1"/>
  <c r="V101" i="60"/>
  <c r="Q101" i="60" s="1"/>
  <c r="AG101" i="60"/>
  <c r="AH101" i="60" s="1"/>
  <c r="AI101" i="60"/>
  <c r="AJ101" i="60" s="1"/>
  <c r="AN120" i="60"/>
  <c r="AO120" i="60" s="1"/>
  <c r="AS120" i="60" s="1"/>
  <c r="AU121" i="60" s="1"/>
  <c r="AM119" i="60"/>
  <c r="AF119" i="60" s="1"/>
  <c r="AG119" i="60"/>
  <c r="AH119" i="60" s="1"/>
  <c r="BA95" i="60"/>
  <c r="AP95" i="60"/>
  <c r="AR95" i="60" s="1"/>
  <c r="AI94" i="60"/>
  <c r="AJ94" i="60" s="1"/>
  <c r="X94" i="60"/>
  <c r="Y94" i="60" s="1"/>
  <c r="AL108" i="60"/>
  <c r="AE108" i="60" s="1"/>
  <c r="V108" i="60"/>
  <c r="Q108" i="60" s="1"/>
  <c r="AM108" i="60"/>
  <c r="AF108" i="60" s="1"/>
  <c r="V107" i="60"/>
  <c r="Q107" i="60" s="1"/>
  <c r="AP108" i="60"/>
  <c r="AR108" i="60" s="1"/>
  <c r="G109" i="60"/>
  <c r="B109" i="60"/>
  <c r="S108" i="60"/>
  <c r="AK108" i="60" s="1"/>
  <c r="AM107" i="60"/>
  <c r="AF107" i="60" s="1"/>
  <c r="AG99" i="60"/>
  <c r="AH99" i="60" s="1"/>
  <c r="X98" i="60"/>
  <c r="Y98" i="60" s="1"/>
  <c r="G99" i="60"/>
  <c r="J99" i="60"/>
  <c r="AM98" i="60"/>
  <c r="AF98" i="60" s="1"/>
  <c r="BA69" i="60"/>
  <c r="X68" i="60"/>
  <c r="Y68" i="60" s="1"/>
  <c r="BA68" i="60"/>
  <c r="X67" i="60"/>
  <c r="Y67" i="60" s="1"/>
  <c r="AI110" i="60"/>
  <c r="AJ110" i="60" s="1"/>
  <c r="S110" i="60"/>
  <c r="AC110" i="60" s="1"/>
  <c r="AA109" i="60"/>
  <c r="AB109" i="60" s="1"/>
  <c r="K109" i="60" s="1"/>
  <c r="AL109" i="60"/>
  <c r="AE109" i="60" s="1"/>
  <c r="B110" i="60"/>
  <c r="AN110" i="60"/>
  <c r="AO110" i="60" s="1"/>
  <c r="AS110" i="60" s="1"/>
  <c r="AU111" i="60" s="1"/>
  <c r="AM110" i="60"/>
  <c r="AF110" i="60" s="1"/>
  <c r="G111" i="60"/>
  <c r="AL110" i="60"/>
  <c r="AE110" i="60" s="1"/>
  <c r="AG109" i="60"/>
  <c r="AH109" i="60" s="1"/>
  <c r="G110" i="60"/>
  <c r="AA110" i="60"/>
  <c r="AB110" i="60" s="1"/>
  <c r="K110" i="60" s="1"/>
  <c r="D111" i="60"/>
  <c r="T111" i="60" s="1"/>
  <c r="U111" i="60" s="1"/>
  <c r="W110" i="60"/>
  <c r="R110" i="60" s="1"/>
  <c r="AP114" i="60"/>
  <c r="AR114" i="60" s="1"/>
  <c r="B114" i="60"/>
  <c r="G102" i="60"/>
  <c r="D99" i="60"/>
  <c r="T99" i="60" s="1"/>
  <c r="U99" i="60" s="1"/>
  <c r="AI108" i="60"/>
  <c r="AJ108" i="60" s="1"/>
  <c r="X110" i="60"/>
  <c r="Y110" i="60" s="1"/>
  <c r="AL111" i="60"/>
  <c r="AE111" i="60" s="1"/>
  <c r="AL96" i="60"/>
  <c r="AE96" i="60" s="1"/>
  <c r="S95" i="60"/>
  <c r="AC95" i="60" s="1"/>
  <c r="AL121" i="60"/>
  <c r="AE121" i="60" s="1"/>
  <c r="S119" i="60"/>
  <c r="AK119" i="60" s="1"/>
  <c r="X82" i="60"/>
  <c r="Y82" i="60" s="1"/>
  <c r="J83" i="60"/>
  <c r="X77" i="60"/>
  <c r="Y77" i="60" s="1"/>
  <c r="AG77" i="60"/>
  <c r="AH77" i="60" s="1"/>
  <c r="B118" i="60"/>
  <c r="W117" i="60"/>
  <c r="R117" i="60" s="1"/>
  <c r="BA118" i="60"/>
  <c r="X112" i="60"/>
  <c r="Y112" i="60" s="1"/>
  <c r="B113" i="60"/>
  <c r="AN113" i="60"/>
  <c r="AO113" i="60" s="1"/>
  <c r="AS113" i="60" s="1"/>
  <c r="AU114" i="60" s="1"/>
  <c r="V112" i="60"/>
  <c r="Q112" i="60" s="1"/>
  <c r="J113" i="60"/>
  <c r="J65" i="60"/>
  <c r="X65" i="60"/>
  <c r="Y65" i="60" s="1"/>
  <c r="X86" i="60"/>
  <c r="Y86" i="60" s="1"/>
  <c r="BA86" i="60"/>
  <c r="W86" i="60"/>
  <c r="R86" i="60" s="1"/>
  <c r="AP86" i="60"/>
  <c r="AR86" i="60" s="1"/>
  <c r="BA89" i="60"/>
  <c r="J89" i="60"/>
  <c r="X89" i="60"/>
  <c r="Y89" i="60" s="1"/>
  <c r="AM89" i="60"/>
  <c r="AF89" i="60" s="1"/>
  <c r="W89" i="60"/>
  <c r="R89" i="60" s="1"/>
  <c r="AG89" i="60"/>
  <c r="AH89" i="60" s="1"/>
  <c r="G90" i="60"/>
  <c r="AL88" i="60"/>
  <c r="AE88" i="60" s="1"/>
  <c r="AM88" i="60"/>
  <c r="AF88" i="60" s="1"/>
  <c r="AN89" i="60"/>
  <c r="AO89" i="60" s="1"/>
  <c r="AS89" i="60" s="1"/>
  <c r="AU90" i="60" s="1"/>
  <c r="AL89" i="60"/>
  <c r="AE89" i="60" s="1"/>
  <c r="AP89" i="60"/>
  <c r="AR89" i="60" s="1"/>
  <c r="AA89" i="60"/>
  <c r="AB89" i="60" s="1"/>
  <c r="K89" i="60" s="1"/>
  <c r="B90" i="60"/>
  <c r="X88" i="60"/>
  <c r="Y88" i="60" s="1"/>
  <c r="BA85" i="60"/>
  <c r="J85" i="60"/>
  <c r="S93" i="60"/>
  <c r="AK93" i="60" s="1"/>
  <c r="AP93" i="60"/>
  <c r="AR93" i="60" s="1"/>
  <c r="G93" i="60"/>
  <c r="B93" i="60"/>
  <c r="V93" i="60"/>
  <c r="Q93" i="60" s="1"/>
  <c r="AA93" i="60"/>
  <c r="AB93" i="60" s="1"/>
  <c r="K93" i="60" s="1"/>
  <c r="X93" i="60"/>
  <c r="Y93" i="60" s="1"/>
  <c r="AI92" i="60"/>
  <c r="AJ92" i="60" s="1"/>
  <c r="AG92" i="60"/>
  <c r="AH92" i="60" s="1"/>
  <c r="J93" i="60"/>
  <c r="X92" i="60"/>
  <c r="Y92" i="60" s="1"/>
  <c r="G94" i="60"/>
  <c r="B94" i="60"/>
  <c r="D94" i="60"/>
  <c r="T94" i="60" s="1"/>
  <c r="U94" i="60" s="1"/>
  <c r="AL93" i="60"/>
  <c r="AE93" i="60" s="1"/>
  <c r="W100" i="60"/>
  <c r="R100" i="60" s="1"/>
  <c r="AI100" i="60"/>
  <c r="AJ100" i="60" s="1"/>
  <c r="V100" i="60"/>
  <c r="Q100" i="60" s="1"/>
  <c r="AP101" i="60"/>
  <c r="AR101" i="60" s="1"/>
  <c r="B101" i="60"/>
  <c r="AN101" i="60"/>
  <c r="AO101" i="60" s="1"/>
  <c r="AS101" i="60" s="1"/>
  <c r="AU102" i="60" s="1"/>
  <c r="J101" i="60"/>
  <c r="AP97" i="60"/>
  <c r="AR97" i="60" s="1"/>
  <c r="AN97" i="60"/>
  <c r="AO97" i="60" s="1"/>
  <c r="AS97" i="60" s="1"/>
  <c r="AU98" i="60" s="1"/>
  <c r="J97" i="60"/>
  <c r="AI96" i="60"/>
  <c r="AJ96" i="60" s="1"/>
  <c r="AA96" i="60"/>
  <c r="AB96" i="60" s="1"/>
  <c r="K96" i="60" s="1"/>
  <c r="S97" i="60"/>
  <c r="AC96" i="60" s="1"/>
  <c r="AI97" i="60"/>
  <c r="AJ97" i="60" s="1"/>
  <c r="AA97" i="60"/>
  <c r="AB97" i="60" s="1"/>
  <c r="K97" i="60" s="1"/>
  <c r="B98" i="60"/>
  <c r="AM96" i="60"/>
  <c r="AF96" i="60" s="1"/>
  <c r="BA97" i="60"/>
  <c r="G97" i="60"/>
  <c r="D98" i="60"/>
  <c r="T98" i="60" s="1"/>
  <c r="U98" i="60" s="1"/>
  <c r="X97" i="60"/>
  <c r="Y97" i="60" s="1"/>
  <c r="J71" i="60"/>
  <c r="X70" i="60"/>
  <c r="Y70" i="60" s="1"/>
  <c r="X73" i="60"/>
  <c r="Y73" i="60" s="1"/>
  <c r="BA74" i="60"/>
  <c r="J73" i="60"/>
  <c r="J74" i="60"/>
  <c r="W113" i="60"/>
  <c r="R113" i="60" s="1"/>
  <c r="AP118" i="60"/>
  <c r="AR118" i="60" s="1"/>
  <c r="AM93" i="60"/>
  <c r="AF93" i="60" s="1"/>
  <c r="W93" i="60"/>
  <c r="R93" i="60" s="1"/>
  <c r="AP113" i="60"/>
  <c r="AR113" i="60" s="1"/>
  <c r="BA112" i="60"/>
  <c r="AL101" i="60"/>
  <c r="AE101" i="60" s="1"/>
  <c r="W101" i="60"/>
  <c r="R101" i="60" s="1"/>
  <c r="V86" i="60"/>
  <c r="Q86" i="60" s="1"/>
  <c r="X107" i="60"/>
  <c r="Y107" i="60" s="1"/>
  <c r="BA93" i="60"/>
  <c r="AM92" i="60"/>
  <c r="AF92" i="60" s="1"/>
  <c r="V98" i="60"/>
  <c r="Q98" i="60" s="1"/>
  <c r="S101" i="60"/>
  <c r="AK101" i="60" s="1"/>
  <c r="AG67" i="60"/>
  <c r="AH67" i="60" s="1"/>
  <c r="BA110" i="60"/>
  <c r="AG110" i="60"/>
  <c r="AH110" i="60" s="1"/>
  <c r="W109" i="60"/>
  <c r="R109" i="60" s="1"/>
  <c r="B89" i="60"/>
  <c r="J70" i="60"/>
  <c r="D100" i="60"/>
  <c r="T100" i="60" s="1"/>
  <c r="U100" i="60" s="1"/>
  <c r="AG100" i="60"/>
  <c r="AH100" i="60" s="1"/>
  <c r="AI111" i="60"/>
  <c r="AJ111" i="60" s="1"/>
  <c r="V102" i="60"/>
  <c r="Q102" i="60" s="1"/>
  <c r="X114" i="60"/>
  <c r="Y114" i="60" s="1"/>
  <c r="J64" i="60"/>
  <c r="X96" i="60"/>
  <c r="Y96" i="60" s="1"/>
  <c r="AL97" i="60"/>
  <c r="AE97" i="60" s="1"/>
  <c r="X85" i="60"/>
  <c r="Y85" i="60" s="1"/>
  <c r="AM102" i="60"/>
  <c r="AF102" i="60" s="1"/>
  <c r="AM118" i="60"/>
  <c r="AF118" i="60" s="1"/>
  <c r="AI89" i="60"/>
  <c r="AJ89" i="60" s="1"/>
  <c r="AI121" i="60"/>
  <c r="AJ121" i="60" s="1"/>
  <c r="AG68" i="60"/>
  <c r="AH68" i="60" s="1"/>
  <c r="AG73" i="60"/>
  <c r="AH73" i="60" s="1"/>
  <c r="S120" i="60"/>
  <c r="AK120" i="60" s="1"/>
  <c r="AA113" i="60"/>
  <c r="AB113" i="60" s="1"/>
  <c r="K113" i="60" s="1"/>
  <c r="AG113" i="60"/>
  <c r="AH113" i="60" s="1"/>
  <c r="D114" i="60"/>
  <c r="T114" i="60" s="1"/>
  <c r="U114" i="60" s="1"/>
  <c r="S118" i="60"/>
  <c r="AK118" i="60" s="1"/>
  <c r="X117" i="60"/>
  <c r="Y117" i="60" s="1"/>
  <c r="G113" i="60"/>
  <c r="AI112" i="60"/>
  <c r="AJ112" i="60" s="1"/>
  <c r="D113" i="60"/>
  <c r="T113" i="60" s="1"/>
  <c r="U113" i="60" s="1"/>
  <c r="S113" i="60"/>
  <c r="BA66" i="60"/>
  <c r="D87" i="60"/>
  <c r="T87" i="60" s="1"/>
  <c r="U87" i="60" s="1"/>
  <c r="AI86" i="60"/>
  <c r="AJ86" i="60" s="1"/>
  <c r="D108" i="60"/>
  <c r="T108" i="60" s="1"/>
  <c r="U108" i="60" s="1"/>
  <c r="W107" i="60"/>
  <c r="R107" i="60" s="1"/>
  <c r="AG107" i="60"/>
  <c r="AH107" i="60" s="1"/>
  <c r="B108" i="60"/>
  <c r="AG98" i="60"/>
  <c r="AH98" i="60" s="1"/>
  <c r="S99" i="60"/>
  <c r="AK99" i="60" s="1"/>
  <c r="AL98" i="60"/>
  <c r="AE98" i="60" s="1"/>
  <c r="AP99" i="60"/>
  <c r="AR99" i="60" s="1"/>
  <c r="AG108" i="60"/>
  <c r="AH108" i="60" s="1"/>
  <c r="AA108" i="60"/>
  <c r="AB108" i="60" s="1"/>
  <c r="K108" i="60" s="1"/>
  <c r="D109" i="60"/>
  <c r="T109" i="60" s="1"/>
  <c r="U109" i="60" s="1"/>
  <c r="W99" i="60"/>
  <c r="R99" i="60" s="1"/>
  <c r="B100" i="60"/>
  <c r="AA99" i="60"/>
  <c r="AB99" i="60" s="1"/>
  <c r="K99" i="60" s="1"/>
  <c r="B86" i="60"/>
  <c r="AI118" i="60"/>
  <c r="AJ118" i="60" s="1"/>
  <c r="D118" i="60"/>
  <c r="T118" i="60" s="1"/>
  <c r="U118" i="60" s="1"/>
  <c r="AG118" i="60"/>
  <c r="AH118" i="60" s="1"/>
  <c r="V94" i="60"/>
  <c r="Q94" i="60" s="1"/>
  <c r="W94" i="60"/>
  <c r="R94" i="60" s="1"/>
  <c r="AM94" i="60"/>
  <c r="AF94" i="60" s="1"/>
  <c r="AG86" i="60"/>
  <c r="AH86" i="60" s="1"/>
  <c r="Z83" i="46"/>
  <c r="AA83" i="46" s="1"/>
  <c r="J83" i="46" s="1"/>
  <c r="X63" i="60"/>
  <c r="Y63" i="60" s="1"/>
  <c r="AE83" i="46"/>
  <c r="AF83" i="46" s="1"/>
  <c r="AI63" i="60"/>
  <c r="AJ63" i="60" s="1"/>
  <c r="AL117" i="60"/>
  <c r="AE117" i="60" s="1"/>
  <c r="W95" i="60"/>
  <c r="R95" i="60" s="1"/>
  <c r="AN95" i="60"/>
  <c r="AO95" i="60" s="1"/>
  <c r="AS95" i="60" s="1"/>
  <c r="AU96" i="60" s="1"/>
  <c r="AA95" i="60"/>
  <c r="AB95" i="60" s="1"/>
  <c r="K95" i="60" s="1"/>
  <c r="AG120" i="60"/>
  <c r="AH120" i="60" s="1"/>
  <c r="AI120" i="60"/>
  <c r="AJ120" i="60" s="1"/>
  <c r="AL119" i="60"/>
  <c r="AE119" i="60" s="1"/>
  <c r="AG82" i="60"/>
  <c r="AH82" i="60" s="1"/>
  <c r="V119" i="60"/>
  <c r="Q119" i="60" s="1"/>
  <c r="BA83" i="60"/>
  <c r="AI119" i="60"/>
  <c r="AJ119" i="60" s="1"/>
  <c r="AL95" i="60"/>
  <c r="AE95" i="60" s="1"/>
  <c r="BA67" i="60"/>
  <c r="X66" i="60"/>
  <c r="Y66" i="60" s="1"/>
  <c r="AN64" i="45"/>
  <c r="AP64" i="45" s="1"/>
  <c r="V113" i="60"/>
  <c r="Q113" i="60" s="1"/>
  <c r="AM113" i="60"/>
  <c r="AF113" i="60" s="1"/>
  <c r="G114" i="60"/>
  <c r="AN118" i="60"/>
  <c r="AO118" i="60" s="1"/>
  <c r="AS118" i="60" s="1"/>
  <c r="AU119" i="60" s="1"/>
  <c r="AG117" i="60"/>
  <c r="AH117" i="60" s="1"/>
  <c r="AL112" i="60"/>
  <c r="AE112" i="60" s="1"/>
  <c r="AG112" i="60"/>
  <c r="AH112" i="60" s="1"/>
  <c r="W112" i="60"/>
  <c r="R112" i="60" s="1"/>
  <c r="B87" i="60"/>
  <c r="S86" i="60"/>
  <c r="AK86" i="60" s="1"/>
  <c r="J86" i="60"/>
  <c r="J108" i="60"/>
  <c r="AI107" i="60"/>
  <c r="AJ107" i="60" s="1"/>
  <c r="AA107" i="60"/>
  <c r="AB107" i="60" s="1"/>
  <c r="K107" i="60" s="1"/>
  <c r="BA108" i="60"/>
  <c r="BA99" i="60"/>
  <c r="AI98" i="60"/>
  <c r="AJ98" i="60" s="1"/>
  <c r="AN99" i="60"/>
  <c r="AO99" i="60" s="1"/>
  <c r="AS99" i="60" s="1"/>
  <c r="AU100" i="60" s="1"/>
  <c r="W98" i="60"/>
  <c r="R98" i="60" s="1"/>
  <c r="X108" i="60"/>
  <c r="Y108" i="60" s="1"/>
  <c r="AL99" i="60"/>
  <c r="AE99" i="60" s="1"/>
  <c r="X99" i="60"/>
  <c r="Y99" i="60" s="1"/>
  <c r="V99" i="60"/>
  <c r="Q99" i="60" s="1"/>
  <c r="J66" i="60"/>
  <c r="AG85" i="60"/>
  <c r="AH85" i="60" s="1"/>
  <c r="W118" i="60"/>
  <c r="R118" i="60" s="1"/>
  <c r="AA118" i="60"/>
  <c r="AB118" i="60" s="1"/>
  <c r="K118" i="60" s="1"/>
  <c r="M118" i="60" s="1"/>
  <c r="V117" i="60"/>
  <c r="Q117" i="60" s="1"/>
  <c r="B119" i="60"/>
  <c r="B95" i="60"/>
  <c r="G95" i="60"/>
  <c r="G118" i="60"/>
  <c r="J77" i="60"/>
  <c r="D56" i="46"/>
  <c r="S56" i="46" s="1"/>
  <c r="T56" i="46" s="1"/>
  <c r="BA78" i="60"/>
  <c r="AA63" i="60"/>
  <c r="AB63" i="60" s="1"/>
  <c r="K63" i="60" s="1"/>
  <c r="J78" i="60"/>
  <c r="AG95" i="60"/>
  <c r="AH95" i="60" s="1"/>
  <c r="AM95" i="60"/>
  <c r="AF95" i="60" s="1"/>
  <c r="D96" i="60"/>
  <c r="T96" i="60" s="1"/>
  <c r="U96" i="60" s="1"/>
  <c r="AA120" i="60"/>
  <c r="AB120" i="60" s="1"/>
  <c r="K120" i="60" s="1"/>
  <c r="X120" i="60"/>
  <c r="Y120" i="60" s="1"/>
  <c r="D120" i="60"/>
  <c r="T120" i="60" s="1"/>
  <c r="U120" i="60" s="1"/>
  <c r="B120" i="60"/>
  <c r="G120" i="60"/>
  <c r="J67" i="60"/>
  <c r="AL120" i="60"/>
  <c r="AE120" i="60" s="1"/>
  <c r="AE52" i="46"/>
  <c r="AF52" i="46" s="1"/>
  <c r="J82" i="60"/>
  <c r="AM86" i="60"/>
  <c r="AF86" i="60" s="1"/>
  <c r="AM117" i="60"/>
  <c r="AF117" i="60" s="1"/>
  <c r="G119" i="60"/>
  <c r="X118" i="60"/>
  <c r="Y118" i="60" s="1"/>
  <c r="AA117" i="60"/>
  <c r="AB117" i="60" s="1"/>
  <c r="K117" i="60" s="1"/>
  <c r="AL94" i="60"/>
  <c r="AE94" i="60" s="1"/>
  <c r="BA64" i="60"/>
  <c r="J63" i="60"/>
  <c r="I83" i="46"/>
  <c r="AG94" i="60"/>
  <c r="AH94" i="60" s="1"/>
  <c r="X95" i="60"/>
  <c r="Y95" i="60" s="1"/>
  <c r="J95" i="60"/>
  <c r="AI95" i="60"/>
  <c r="AJ95" i="60" s="1"/>
  <c r="B121" i="60"/>
  <c r="AM120" i="60"/>
  <c r="AF120" i="60" s="1"/>
  <c r="D95" i="60"/>
  <c r="T95" i="60" s="1"/>
  <c r="U95" i="60" s="1"/>
  <c r="W120" i="60"/>
  <c r="R120" i="60" s="1"/>
  <c r="B96" i="60"/>
  <c r="W119" i="60"/>
  <c r="R119" i="60" s="1"/>
  <c r="AP120" i="60"/>
  <c r="AR120" i="60" s="1"/>
  <c r="J120" i="60"/>
  <c r="R53" i="46"/>
  <c r="AI53" i="46" s="1"/>
  <c r="AA119" i="60"/>
  <c r="AB119" i="60" s="1"/>
  <c r="K119" i="60" s="1"/>
  <c r="BA120" i="60"/>
  <c r="AG53" i="46"/>
  <c r="AH53" i="46" s="1"/>
  <c r="M106" i="67"/>
  <c r="M125" i="67"/>
  <c r="I124" i="67"/>
  <c r="M116" i="67"/>
  <c r="I127" i="67"/>
  <c r="AK121" i="67"/>
  <c r="AY77" i="45"/>
  <c r="BA122" i="59"/>
  <c r="AG79" i="59"/>
  <c r="AH79" i="59" s="1"/>
  <c r="J106" i="59"/>
  <c r="AQ129" i="67"/>
  <c r="AY34" i="46"/>
  <c r="I27" i="46"/>
  <c r="AG39" i="46"/>
  <c r="AH39" i="46" s="1"/>
  <c r="M100" i="67"/>
  <c r="I126" i="67"/>
  <c r="I128" i="67"/>
  <c r="M103" i="67"/>
  <c r="M124" i="67"/>
  <c r="AC124" i="67"/>
  <c r="R41" i="46"/>
  <c r="AI41" i="46" s="1"/>
  <c r="AK77" i="45"/>
  <c r="AD77" i="45" s="1"/>
  <c r="U84" i="49"/>
  <c r="P84" i="49" s="1"/>
  <c r="BA104" i="59"/>
  <c r="AI122" i="59"/>
  <c r="AJ122" i="59" s="1"/>
  <c r="AN113" i="59"/>
  <c r="AO113" i="59" s="1"/>
  <c r="AS113" i="59" s="1"/>
  <c r="AU114" i="59" s="1"/>
  <c r="B25" i="45"/>
  <c r="B26" i="45" s="1"/>
  <c r="AN27" i="45" s="1"/>
  <c r="AP27" i="45" s="1"/>
  <c r="M104" i="67"/>
  <c r="I122" i="67"/>
  <c r="D57" i="46"/>
  <c r="S57" i="46" s="1"/>
  <c r="T57" i="46" s="1"/>
  <c r="AL82" i="46"/>
  <c r="AM82" i="46" s="1"/>
  <c r="AQ82" i="46" s="1"/>
  <c r="AS83" i="46" s="1"/>
  <c r="AY69" i="51"/>
  <c r="AL64" i="45"/>
  <c r="AM64" i="45" s="1"/>
  <c r="AQ64" i="45" s="1"/>
  <c r="AS65" i="45" s="1"/>
  <c r="Z28" i="46"/>
  <c r="AA28" i="46" s="1"/>
  <c r="J28" i="46" s="1"/>
  <c r="W32" i="46"/>
  <c r="X32" i="46" s="1"/>
  <c r="AE82" i="46"/>
  <c r="AF82" i="46" s="1"/>
  <c r="AY59" i="46"/>
  <c r="AI63" i="59"/>
  <c r="AJ63" i="59" s="1"/>
  <c r="AE32" i="46"/>
  <c r="AF32" i="46" s="1"/>
  <c r="D83" i="46"/>
  <c r="S83" i="46" s="1"/>
  <c r="T83" i="46" s="1"/>
  <c r="D43" i="46"/>
  <c r="X63" i="59"/>
  <c r="Y63" i="59" s="1"/>
  <c r="S108" i="59"/>
  <c r="AC108" i="59" s="1"/>
  <c r="AP40" i="53"/>
  <c r="AY64" i="45"/>
  <c r="R64" i="45"/>
  <c r="AI64" i="45" s="1"/>
  <c r="W67" i="46"/>
  <c r="X67" i="46" s="1"/>
  <c r="U82" i="46"/>
  <c r="P82" i="46" s="1"/>
  <c r="R83" i="46"/>
  <c r="AB83" i="46" s="1"/>
  <c r="W83" i="46"/>
  <c r="X83" i="46" s="1"/>
  <c r="D39" i="46"/>
  <c r="W63" i="45"/>
  <c r="X63" i="45" s="1"/>
  <c r="W36" i="46"/>
  <c r="X36" i="46" s="1"/>
  <c r="L76" i="53"/>
  <c r="U52" i="46"/>
  <c r="P52" i="46" s="1"/>
  <c r="AG67" i="46"/>
  <c r="AH67" i="46" s="1"/>
  <c r="AL53" i="46"/>
  <c r="AM53" i="46" s="1"/>
  <c r="AQ53" i="46" s="1"/>
  <c r="AS54" i="46" s="1"/>
  <c r="R62" i="45"/>
  <c r="AI62" i="45" s="1"/>
  <c r="D54" i="46"/>
  <c r="S54" i="46" s="1"/>
  <c r="T54" i="46" s="1"/>
  <c r="U53" i="46"/>
  <c r="P53" i="46" s="1"/>
  <c r="AK66" i="46"/>
  <c r="AD66" i="46" s="1"/>
  <c r="BA67" i="59"/>
  <c r="AJ81" i="46"/>
  <c r="AC81" i="46" s="1"/>
  <c r="D75" i="46"/>
  <c r="S75" i="46" s="1"/>
  <c r="T75" i="46" s="1"/>
  <c r="D61" i="46"/>
  <c r="S61" i="46" s="1"/>
  <c r="T61" i="46" s="1"/>
  <c r="Z53" i="46"/>
  <c r="AA53" i="46" s="1"/>
  <c r="J53" i="46" s="1"/>
  <c r="L53" i="46" s="1"/>
  <c r="AL64" i="46"/>
  <c r="AM64" i="46" s="1"/>
  <c r="AQ64" i="46" s="1"/>
  <c r="AS65" i="46" s="1"/>
  <c r="AK58" i="46"/>
  <c r="AD58" i="46" s="1"/>
  <c r="B77" i="46"/>
  <c r="AG28" i="46"/>
  <c r="AH28" i="46" s="1"/>
  <c r="I62" i="45"/>
  <c r="AL62" i="45"/>
  <c r="AM62" i="45" s="1"/>
  <c r="AQ62" i="45" s="1"/>
  <c r="AS63" i="45" s="1"/>
  <c r="I64" i="46"/>
  <c r="F65" i="46"/>
  <c r="AJ70" i="46"/>
  <c r="AC70" i="46" s="1"/>
  <c r="D82" i="46"/>
  <c r="S82" i="46" s="1"/>
  <c r="T82" i="46" s="1"/>
  <c r="B54" i="46"/>
  <c r="Z66" i="46"/>
  <c r="AA66" i="46" s="1"/>
  <c r="J66" i="46" s="1"/>
  <c r="L66" i="46" s="1"/>
  <c r="AG81" i="46"/>
  <c r="AH81" i="46" s="1"/>
  <c r="R81" i="46"/>
  <c r="AI81" i="46" s="1"/>
  <c r="AG50" i="46"/>
  <c r="AH50" i="46" s="1"/>
  <c r="AJ50" i="46"/>
  <c r="AC50" i="46" s="1"/>
  <c r="B80" i="46"/>
  <c r="F51" i="46"/>
  <c r="AL79" i="46"/>
  <c r="AM79" i="46" s="1"/>
  <c r="AQ79" i="46" s="1"/>
  <c r="AS80" i="46" s="1"/>
  <c r="AY66" i="46"/>
  <c r="AN62" i="45"/>
  <c r="AP62" i="45" s="1"/>
  <c r="AY64" i="46"/>
  <c r="W63" i="46"/>
  <c r="X63" i="46" s="1"/>
  <c r="AN75" i="46"/>
  <c r="AP75" i="46" s="1"/>
  <c r="I71" i="46"/>
  <c r="AK53" i="46"/>
  <c r="AD53" i="46" s="1"/>
  <c r="AJ53" i="46"/>
  <c r="AC53" i="46" s="1"/>
  <c r="D81" i="46"/>
  <c r="S81" i="46" s="1"/>
  <c r="T81" i="46" s="1"/>
  <c r="W81" i="46"/>
  <c r="X81" i="46" s="1"/>
  <c r="W80" i="46"/>
  <c r="X80" i="46" s="1"/>
  <c r="W73" i="46"/>
  <c r="X73" i="46" s="1"/>
  <c r="D51" i="46"/>
  <c r="S51" i="46" s="1"/>
  <c r="T51" i="46" s="1"/>
  <c r="AE75" i="46"/>
  <c r="AF75" i="46" s="1"/>
  <c r="AE58" i="46"/>
  <c r="AF58" i="46" s="1"/>
  <c r="R50" i="46"/>
  <c r="AI50" i="46" s="1"/>
  <c r="AN64" i="46"/>
  <c r="AP64" i="46" s="1"/>
  <c r="R75" i="46"/>
  <c r="AI75" i="46" s="1"/>
  <c r="AY71" i="46"/>
  <c r="U80" i="46"/>
  <c r="P80" i="46" s="1"/>
  <c r="AE53" i="46"/>
  <c r="AF53" i="46" s="1"/>
  <c r="F54" i="46"/>
  <c r="Z80" i="46"/>
  <c r="AA80" i="46" s="1"/>
  <c r="J80" i="46" s="1"/>
  <c r="AE81" i="46"/>
  <c r="AF81" i="46" s="1"/>
  <c r="V50" i="46"/>
  <c r="Q50" i="46" s="1"/>
  <c r="V75" i="46"/>
  <c r="Q75" i="46" s="1"/>
  <c r="AG75" i="46"/>
  <c r="AH75" i="46" s="1"/>
  <c r="AE80" i="46"/>
  <c r="AF80" i="46" s="1"/>
  <c r="W79" i="46"/>
  <c r="X79" i="46" s="1"/>
  <c r="AG80" i="46"/>
  <c r="AH80" i="46" s="1"/>
  <c r="AY38" i="46"/>
  <c r="AE50" i="46"/>
  <c r="AF50" i="46" s="1"/>
  <c r="W50" i="46"/>
  <c r="X50" i="46" s="1"/>
  <c r="B51" i="46"/>
  <c r="AJ75" i="46"/>
  <c r="AC75" i="46" s="1"/>
  <c r="Z75" i="46"/>
  <c r="AA75" i="46" s="1"/>
  <c r="J75" i="46" s="1"/>
  <c r="B76" i="46"/>
  <c r="B59" i="46"/>
  <c r="W74" i="46"/>
  <c r="X74" i="46" s="1"/>
  <c r="AL75" i="46"/>
  <c r="AM75" i="46" s="1"/>
  <c r="AQ75" i="46" s="1"/>
  <c r="AS76" i="46" s="1"/>
  <c r="AJ76" i="46"/>
  <c r="AC76" i="46" s="1"/>
  <c r="AN50" i="46"/>
  <c r="AP50" i="46" s="1"/>
  <c r="AE60" i="46"/>
  <c r="AF60" i="46" s="1"/>
  <c r="Z79" i="46"/>
  <c r="AA79" i="46" s="1"/>
  <c r="J79" i="46" s="1"/>
  <c r="F55" i="46"/>
  <c r="AL66" i="46"/>
  <c r="AM66" i="46" s="1"/>
  <c r="AQ66" i="46" s="1"/>
  <c r="AS67" i="46" s="1"/>
  <c r="R66" i="46"/>
  <c r="AI66" i="46" s="1"/>
  <c r="AL76" i="46"/>
  <c r="AM76" i="46" s="1"/>
  <c r="AQ76" i="46" s="1"/>
  <c r="AS77" i="46" s="1"/>
  <c r="AL80" i="46"/>
  <c r="AM80" i="46" s="1"/>
  <c r="AO80" i="46" s="1"/>
  <c r="AJ80" i="46"/>
  <c r="AC80" i="46" s="1"/>
  <c r="AE79" i="46"/>
  <c r="AF79" i="46" s="1"/>
  <c r="V74" i="46"/>
  <c r="Q74" i="46" s="1"/>
  <c r="AL71" i="46"/>
  <c r="AM71" i="46" s="1"/>
  <c r="AQ71" i="46" s="1"/>
  <c r="AS72" i="46" s="1"/>
  <c r="B81" i="46"/>
  <c r="AK81" i="46"/>
  <c r="AD81" i="46" s="1"/>
  <c r="V53" i="46"/>
  <c r="Q53" i="46" s="1"/>
  <c r="I54" i="46"/>
  <c r="R54" i="46"/>
  <c r="AL81" i="46"/>
  <c r="AM81" i="46" s="1"/>
  <c r="AO81" i="46" s="1"/>
  <c r="AK54" i="46"/>
  <c r="AD54" i="46" s="1"/>
  <c r="AY81" i="46"/>
  <c r="W38" i="46"/>
  <c r="X38" i="46" s="1"/>
  <c r="U54" i="46"/>
  <c r="P54" i="46" s="1"/>
  <c r="AK50" i="46"/>
  <c r="AD50" i="46" s="1"/>
  <c r="D76" i="46"/>
  <c r="S76" i="46" s="1"/>
  <c r="T76" i="46" s="1"/>
  <c r="I76" i="46"/>
  <c r="AK78" i="46"/>
  <c r="AD78" i="46" s="1"/>
  <c r="U50" i="46"/>
  <c r="P50" i="46" s="1"/>
  <c r="AY75" i="46"/>
  <c r="I75" i="46"/>
  <c r="V79" i="46"/>
  <c r="Q79" i="46" s="1"/>
  <c r="I79" i="46"/>
  <c r="AK79" i="46"/>
  <c r="AD79" i="46" s="1"/>
  <c r="AG79" i="46"/>
  <c r="AH79" i="46" s="1"/>
  <c r="AL50" i="46"/>
  <c r="AM50" i="46" s="1"/>
  <c r="AQ50" i="46" s="1"/>
  <c r="AS51" i="46" s="1"/>
  <c r="AJ79" i="46"/>
  <c r="AC79" i="46" s="1"/>
  <c r="R79" i="46"/>
  <c r="AI79" i="46" s="1"/>
  <c r="AK75" i="46"/>
  <c r="AD75" i="46" s="1"/>
  <c r="AJ61" i="46"/>
  <c r="AC61" i="46" s="1"/>
  <c r="AY58" i="46"/>
  <c r="F58" i="46"/>
  <c r="AL38" i="46"/>
  <c r="AM38" i="46" s="1"/>
  <c r="AQ38" i="46" s="1"/>
  <c r="AS39" i="46" s="1"/>
  <c r="Z74" i="46"/>
  <c r="AA74" i="46" s="1"/>
  <c r="J74" i="46" s="1"/>
  <c r="F67" i="46"/>
  <c r="AK80" i="46"/>
  <c r="AD80" i="46" s="1"/>
  <c r="V81" i="46"/>
  <c r="Q81" i="46" s="1"/>
  <c r="AL54" i="46"/>
  <c r="AM54" i="46" s="1"/>
  <c r="AQ54" i="46" s="1"/>
  <c r="AS55" i="46" s="1"/>
  <c r="AY54" i="46"/>
  <c r="W53" i="46"/>
  <c r="X53" i="46" s="1"/>
  <c r="I81" i="46"/>
  <c r="Z81" i="46"/>
  <c r="AA81" i="46" s="1"/>
  <c r="J81" i="46" s="1"/>
  <c r="AN54" i="46"/>
  <c r="AP54" i="46" s="1"/>
  <c r="F81" i="46"/>
  <c r="B82" i="46"/>
  <c r="Z50" i="46"/>
  <c r="AA50" i="46" s="1"/>
  <c r="J50" i="46" s="1"/>
  <c r="AN76" i="46"/>
  <c r="AP76" i="46" s="1"/>
  <c r="W75" i="46"/>
  <c r="X75" i="46" s="1"/>
  <c r="R74" i="46"/>
  <c r="AI74" i="46" s="1"/>
  <c r="F76" i="46"/>
  <c r="U75" i="46"/>
  <c r="P75" i="46" s="1"/>
  <c r="I50" i="46"/>
  <c r="AN79" i="46"/>
  <c r="AP79" i="46" s="1"/>
  <c r="AN66" i="46"/>
  <c r="AP66" i="46" s="1"/>
  <c r="F80" i="46"/>
  <c r="W76" i="46"/>
  <c r="X76" i="46" s="1"/>
  <c r="D80" i="46"/>
  <c r="S80" i="46" s="1"/>
  <c r="T80" i="46" s="1"/>
  <c r="U79" i="46"/>
  <c r="P79" i="46" s="1"/>
  <c r="R76" i="46"/>
  <c r="AI76" i="46" s="1"/>
  <c r="R61" i="46"/>
  <c r="AI61" i="46" s="1"/>
  <c r="AG56" i="46"/>
  <c r="AH56" i="46" s="1"/>
  <c r="B53" i="46"/>
  <c r="AN53" i="46"/>
  <c r="AP53" i="46" s="1"/>
  <c r="AL58" i="46"/>
  <c r="AM58" i="46" s="1"/>
  <c r="AQ58" i="46" s="1"/>
  <c r="AS59" i="46" s="1"/>
  <c r="I38" i="46"/>
  <c r="AN58" i="46"/>
  <c r="AP58" i="46" s="1"/>
  <c r="AG57" i="46"/>
  <c r="AH57" i="46" s="1"/>
  <c r="BA66" i="59"/>
  <c r="W101" i="59"/>
  <c r="R101" i="59" s="1"/>
  <c r="AA65" i="59"/>
  <c r="AB65" i="59" s="1"/>
  <c r="K65" i="59" s="1"/>
  <c r="X72" i="59"/>
  <c r="Y72" i="59" s="1"/>
  <c r="AN38" i="46"/>
  <c r="AP38" i="46" s="1"/>
  <c r="R58" i="46"/>
  <c r="AB57" i="46" s="1"/>
  <c r="Z57" i="46"/>
  <c r="AA57" i="46" s="1"/>
  <c r="J57" i="46" s="1"/>
  <c r="L57" i="46" s="1"/>
  <c r="AK84" i="46"/>
  <c r="AD84" i="46" s="1"/>
  <c r="F77" i="46"/>
  <c r="AK77" i="46"/>
  <c r="AD77" i="46" s="1"/>
  <c r="F72" i="46"/>
  <c r="AE57" i="46"/>
  <c r="AF57" i="46" s="1"/>
  <c r="B58" i="46"/>
  <c r="AN82" i="46"/>
  <c r="AP82" i="46" s="1"/>
  <c r="AN40" i="46"/>
  <c r="AP40" i="46" s="1"/>
  <c r="AE73" i="46"/>
  <c r="AF73" i="46" s="1"/>
  <c r="W45" i="51"/>
  <c r="X45" i="51" s="1"/>
  <c r="AG95" i="59"/>
  <c r="AH95" i="59" s="1"/>
  <c r="AG93" i="59"/>
  <c r="AH93" i="59" s="1"/>
  <c r="AG69" i="59"/>
  <c r="AH69" i="59" s="1"/>
  <c r="I26" i="46"/>
  <c r="I37" i="46"/>
  <c r="AJ51" i="46"/>
  <c r="AC51" i="46" s="1"/>
  <c r="AY25" i="46"/>
  <c r="AK71" i="46"/>
  <c r="AD71" i="46" s="1"/>
  <c r="AG52" i="46"/>
  <c r="AH52" i="46" s="1"/>
  <c r="AE71" i="46"/>
  <c r="AF71" i="46" s="1"/>
  <c r="W52" i="46"/>
  <c r="X52" i="46" s="1"/>
  <c r="B79" i="46"/>
  <c r="AG68" i="46"/>
  <c r="AH68" i="46" s="1"/>
  <c r="AK76" i="46"/>
  <c r="AD76" i="46" s="1"/>
  <c r="AK85" i="46"/>
  <c r="AD85" i="46" s="1"/>
  <c r="U84" i="46"/>
  <c r="P84" i="46" s="1"/>
  <c r="AK55" i="46"/>
  <c r="AD55" i="46" s="1"/>
  <c r="D78" i="46"/>
  <c r="S78" i="46" s="1"/>
  <c r="T78" i="46" s="1"/>
  <c r="AY77" i="46"/>
  <c r="I85" i="46"/>
  <c r="AG55" i="46"/>
  <c r="AH55" i="46" s="1"/>
  <c r="I78" i="46"/>
  <c r="AJ68" i="46"/>
  <c r="AC68" i="46" s="1"/>
  <c r="AL41" i="46"/>
  <c r="AM41" i="46" s="1"/>
  <c r="AQ41" i="46" s="1"/>
  <c r="AS42" i="46" s="1"/>
  <c r="AE68" i="46"/>
  <c r="AF68" i="46" s="1"/>
  <c r="AN72" i="46"/>
  <c r="AP72" i="46" s="1"/>
  <c r="AN56" i="46"/>
  <c r="AP56" i="46" s="1"/>
  <c r="Z56" i="46"/>
  <c r="AA56" i="46" s="1"/>
  <c r="J56" i="46" s="1"/>
  <c r="U56" i="46"/>
  <c r="P56" i="46" s="1"/>
  <c r="V56" i="46"/>
  <c r="Q56" i="46" s="1"/>
  <c r="AY69" i="46"/>
  <c r="R56" i="46"/>
  <c r="AI56" i="46" s="1"/>
  <c r="W26" i="46"/>
  <c r="X26" i="46" s="1"/>
  <c r="Z26" i="46"/>
  <c r="AA26" i="46" s="1"/>
  <c r="J26" i="46" s="1"/>
  <c r="AG26" i="46"/>
  <c r="AH26" i="46" s="1"/>
  <c r="AL52" i="46"/>
  <c r="AM52" i="46" s="1"/>
  <c r="AQ52" i="46" s="1"/>
  <c r="AS53" i="46" s="1"/>
  <c r="R52" i="46"/>
  <c r="AL25" i="46"/>
  <c r="AM25" i="46" s="1"/>
  <c r="AQ25" i="46" s="1"/>
  <c r="AS26" i="46" s="1"/>
  <c r="W71" i="46"/>
  <c r="X71" i="46" s="1"/>
  <c r="D72" i="46"/>
  <c r="S72" i="46" s="1"/>
  <c r="T72" i="46" s="1"/>
  <c r="AK52" i="46"/>
  <c r="AD52" i="46" s="1"/>
  <c r="AG71" i="46"/>
  <c r="AH71" i="46" s="1"/>
  <c r="Z52" i="46"/>
  <c r="AA52" i="46" s="1"/>
  <c r="J52" i="46" s="1"/>
  <c r="B73" i="46"/>
  <c r="U71" i="46"/>
  <c r="P71" i="46" s="1"/>
  <c r="Z78" i="46"/>
  <c r="AA78" i="46" s="1"/>
  <c r="J78" i="46" s="1"/>
  <c r="F86" i="46"/>
  <c r="F78" i="46"/>
  <c r="AE85" i="46"/>
  <c r="AF85" i="46" s="1"/>
  <c r="V85" i="46"/>
  <c r="Q85" i="46" s="1"/>
  <c r="AY28" i="46"/>
  <c r="AY61" i="46"/>
  <c r="I80" i="46"/>
  <c r="AL61" i="46"/>
  <c r="AM61" i="46" s="1"/>
  <c r="AO61" i="46" s="1"/>
  <c r="R80" i="46"/>
  <c r="AI80" i="46" s="1"/>
  <c r="AY80" i="46"/>
  <c r="U40" i="46"/>
  <c r="P40" i="46" s="1"/>
  <c r="AJ40" i="46"/>
  <c r="AC40" i="46" s="1"/>
  <c r="I45" i="46"/>
  <c r="AL56" i="46"/>
  <c r="AM56" i="46" s="1"/>
  <c r="AQ56" i="46" s="1"/>
  <c r="AS57" i="46" s="1"/>
  <c r="AK56" i="46"/>
  <c r="AD56" i="46" s="1"/>
  <c r="V57" i="46"/>
  <c r="Q57" i="46" s="1"/>
  <c r="V80" i="46"/>
  <c r="Q80" i="46" s="1"/>
  <c r="W57" i="46"/>
  <c r="X57" i="46" s="1"/>
  <c r="AK57" i="46"/>
  <c r="AD57" i="46" s="1"/>
  <c r="W56" i="46"/>
  <c r="X56" i="46" s="1"/>
  <c r="B57" i="46"/>
  <c r="R82" i="46"/>
  <c r="AI82" i="46" s="1"/>
  <c r="AY56" i="46"/>
  <c r="U60" i="46"/>
  <c r="P60" i="46" s="1"/>
  <c r="BA83" i="59"/>
  <c r="AG75" i="59"/>
  <c r="AH75" i="59" s="1"/>
  <c r="X83" i="59"/>
  <c r="Y83" i="59" s="1"/>
  <c r="I40" i="45"/>
  <c r="AY27" i="46"/>
  <c r="W51" i="49"/>
  <c r="X51" i="49" s="1"/>
  <c r="AY52" i="46"/>
  <c r="AU25" i="46"/>
  <c r="AV25" i="46" s="1"/>
  <c r="AW25" i="46" s="1"/>
  <c r="T25" i="46" s="1"/>
  <c r="I25" i="46" s="1"/>
  <c r="L25" i="46" s="1"/>
  <c r="AJ41" i="46"/>
  <c r="AC41" i="46" s="1"/>
  <c r="V71" i="46"/>
  <c r="Q71" i="46" s="1"/>
  <c r="F53" i="46"/>
  <c r="Z51" i="46"/>
  <c r="AA51" i="46" s="1"/>
  <c r="J51" i="46" s="1"/>
  <c r="L51" i="46" s="1"/>
  <c r="W78" i="46"/>
  <c r="X78" i="46" s="1"/>
  <c r="Z85" i="46"/>
  <c r="AA85" i="46" s="1"/>
  <c r="J85" i="46" s="1"/>
  <c r="AE77" i="46"/>
  <c r="AF77" i="46" s="1"/>
  <c r="B86" i="46"/>
  <c r="U76" i="46"/>
  <c r="P76" i="46" s="1"/>
  <c r="W85" i="46"/>
  <c r="X85" i="46" s="1"/>
  <c r="I61" i="46"/>
  <c r="W61" i="46"/>
  <c r="X61" i="46" s="1"/>
  <c r="D58" i="46"/>
  <c r="S58" i="46" s="1"/>
  <c r="T58" i="46" s="1"/>
  <c r="AE56" i="46"/>
  <c r="AF56" i="46" s="1"/>
  <c r="I56" i="46"/>
  <c r="Z64" i="46"/>
  <c r="AA64" i="46" s="1"/>
  <c r="J64" i="46" s="1"/>
  <c r="U44" i="46"/>
  <c r="P44" i="46" s="1"/>
  <c r="Z45" i="46"/>
  <c r="AA45" i="46" s="1"/>
  <c r="J45" i="46" s="1"/>
  <c r="AK61" i="46"/>
  <c r="AD61" i="46" s="1"/>
  <c r="AG41" i="46"/>
  <c r="AH41" i="46" s="1"/>
  <c r="AJ56" i="46"/>
  <c r="AC56" i="46" s="1"/>
  <c r="BA72" i="59"/>
  <c r="V114" i="59"/>
  <c r="Q114" i="59" s="1"/>
  <c r="W113" i="59"/>
  <c r="R113" i="59" s="1"/>
  <c r="AG66" i="59"/>
  <c r="AH66" i="59" s="1"/>
  <c r="J96" i="59"/>
  <c r="AG96" i="59"/>
  <c r="AH96" i="59" s="1"/>
  <c r="J63" i="59"/>
  <c r="U42" i="46"/>
  <c r="P42" i="46" s="1"/>
  <c r="AG63" i="46"/>
  <c r="AH63" i="46" s="1"/>
  <c r="AE63" i="46"/>
  <c r="AF63" i="46" s="1"/>
  <c r="U43" i="46"/>
  <c r="P43" i="46" s="1"/>
  <c r="D66" i="46"/>
  <c r="S66" i="46" s="1"/>
  <c r="T66" i="46" s="1"/>
  <c r="D63" i="46"/>
  <c r="S63" i="46" s="1"/>
  <c r="T63" i="46" s="1"/>
  <c r="F70" i="46"/>
  <c r="AK41" i="46"/>
  <c r="AD41" i="46" s="1"/>
  <c r="J122" i="59"/>
  <c r="AN106" i="59"/>
  <c r="AO106" i="59" s="1"/>
  <c r="AS106" i="59" s="1"/>
  <c r="AU107" i="59" s="1"/>
  <c r="BA118" i="59"/>
  <c r="AL118" i="59"/>
  <c r="AE118" i="59" s="1"/>
  <c r="AY35" i="46"/>
  <c r="AK43" i="46"/>
  <c r="AD43" i="46" s="1"/>
  <c r="V63" i="46"/>
  <c r="Q63" i="46" s="1"/>
  <c r="AE43" i="46"/>
  <c r="AF43" i="46" s="1"/>
  <c r="F71" i="46"/>
  <c r="F73" i="46"/>
  <c r="U41" i="46"/>
  <c r="P41" i="46" s="1"/>
  <c r="AE62" i="46"/>
  <c r="AF62" i="46" s="1"/>
  <c r="I82" i="46"/>
  <c r="R45" i="46"/>
  <c r="AI45" i="46" s="1"/>
  <c r="U81" i="46"/>
  <c r="P81" i="46" s="1"/>
  <c r="F82" i="46"/>
  <c r="AY45" i="46"/>
  <c r="AL40" i="46"/>
  <c r="AM40" i="46" s="1"/>
  <c r="AQ40" i="46" s="1"/>
  <c r="AS41" i="46" s="1"/>
  <c r="R40" i="46"/>
  <c r="AI40" i="46" s="1"/>
  <c r="AE31" i="46"/>
  <c r="AF31" i="46" s="1"/>
  <c r="I40" i="46"/>
  <c r="AN69" i="46"/>
  <c r="AP69" i="46" s="1"/>
  <c r="AN45" i="46"/>
  <c r="I69" i="46"/>
  <c r="AL69" i="46"/>
  <c r="AM69" i="46" s="1"/>
  <c r="AP57" i="46"/>
  <c r="AO57" i="46"/>
  <c r="AE65" i="46"/>
  <c r="AF65" i="46" s="1"/>
  <c r="V64" i="46"/>
  <c r="Q64" i="46" s="1"/>
  <c r="AG65" i="46"/>
  <c r="AH65" i="46" s="1"/>
  <c r="Z65" i="46"/>
  <c r="AA65" i="46" s="1"/>
  <c r="J65" i="46" s="1"/>
  <c r="U65" i="46"/>
  <c r="P65" i="46" s="1"/>
  <c r="I65" i="46"/>
  <c r="V65" i="46"/>
  <c r="Q65" i="46" s="1"/>
  <c r="W44" i="46"/>
  <c r="X44" i="46" s="1"/>
  <c r="F45" i="46"/>
  <c r="AG44" i="46"/>
  <c r="AH44" i="46" s="1"/>
  <c r="V45" i="46"/>
  <c r="Q45" i="46" s="1"/>
  <c r="AN46" i="46"/>
  <c r="AP46" i="46" s="1"/>
  <c r="D46" i="46"/>
  <c r="AE45" i="46"/>
  <c r="AF45" i="46" s="1"/>
  <c r="Z46" i="46"/>
  <c r="AA46" i="46" s="1"/>
  <c r="J46" i="46" s="1"/>
  <c r="AK45" i="46"/>
  <c r="AD45" i="46" s="1"/>
  <c r="I46" i="46"/>
  <c r="B46" i="46"/>
  <c r="AK46" i="46"/>
  <c r="AD46" i="46" s="1"/>
  <c r="AY30" i="46"/>
  <c r="Z29" i="46"/>
  <c r="AA29" i="46" s="1"/>
  <c r="J29" i="46" s="1"/>
  <c r="AE30" i="46"/>
  <c r="AF30" i="46" s="1"/>
  <c r="AG30" i="46"/>
  <c r="AH30" i="46" s="1"/>
  <c r="AY31" i="46"/>
  <c r="AY73" i="46"/>
  <c r="AJ72" i="46"/>
  <c r="AC72" i="46" s="1"/>
  <c r="W72" i="46"/>
  <c r="X72" i="46" s="1"/>
  <c r="Z72" i="46"/>
  <c r="AA72" i="46" s="1"/>
  <c r="J72" i="46" s="1"/>
  <c r="U72" i="46"/>
  <c r="P72" i="46" s="1"/>
  <c r="R73" i="46"/>
  <c r="V72" i="46"/>
  <c r="Q72" i="46" s="1"/>
  <c r="I39" i="46"/>
  <c r="AN39" i="46"/>
  <c r="AP39" i="46" s="1"/>
  <c r="F39" i="46"/>
  <c r="B40" i="46"/>
  <c r="AJ39" i="46"/>
  <c r="AC39" i="46" s="1"/>
  <c r="V39" i="46"/>
  <c r="Q39" i="46" s="1"/>
  <c r="B39" i="46"/>
  <c r="F40" i="46"/>
  <c r="AK38" i="46"/>
  <c r="AD38" i="46" s="1"/>
  <c r="AE39" i="46"/>
  <c r="AF39" i="46" s="1"/>
  <c r="Z39" i="46"/>
  <c r="AA39" i="46" s="1"/>
  <c r="J39" i="46" s="1"/>
  <c r="U38" i="46"/>
  <c r="P38" i="46" s="1"/>
  <c r="AJ69" i="46"/>
  <c r="AC69" i="46" s="1"/>
  <c r="V69" i="46"/>
  <c r="Q69" i="46" s="1"/>
  <c r="U69" i="46"/>
  <c r="P69" i="46" s="1"/>
  <c r="AN70" i="46"/>
  <c r="AP70" i="46" s="1"/>
  <c r="D70" i="46"/>
  <c r="S70" i="46" s="1"/>
  <c r="T70" i="46" s="1"/>
  <c r="AY70" i="46"/>
  <c r="AG69" i="46"/>
  <c r="AH69" i="46" s="1"/>
  <c r="B70" i="46"/>
  <c r="W69" i="46"/>
  <c r="X69" i="46" s="1"/>
  <c r="AK69" i="46"/>
  <c r="AD69" i="46" s="1"/>
  <c r="I32" i="46"/>
  <c r="X122" i="59"/>
  <c r="Y122" i="59" s="1"/>
  <c r="AG122" i="59"/>
  <c r="AH122" i="59" s="1"/>
  <c r="V122" i="59"/>
  <c r="Q122" i="59" s="1"/>
  <c r="S110" i="59"/>
  <c r="AK110" i="59" s="1"/>
  <c r="BA97" i="59"/>
  <c r="I42" i="46"/>
  <c r="W64" i="46"/>
  <c r="X64" i="46" s="1"/>
  <c r="D64" i="46"/>
  <c r="S64" i="46" s="1"/>
  <c r="T64" i="46" s="1"/>
  <c r="B64" i="46"/>
  <c r="W34" i="46"/>
  <c r="X34" i="46" s="1"/>
  <c r="B65" i="46"/>
  <c r="AG42" i="46"/>
  <c r="AH42" i="46" s="1"/>
  <c r="F43" i="46"/>
  <c r="V43" i="46"/>
  <c r="Q43" i="46" s="1"/>
  <c r="B44" i="46"/>
  <c r="AN44" i="46"/>
  <c r="AP44" i="46" s="1"/>
  <c r="AY42" i="46"/>
  <c r="U63" i="46"/>
  <c r="P63" i="46" s="1"/>
  <c r="R43" i="46"/>
  <c r="AI43" i="46" s="1"/>
  <c r="I43" i="46"/>
  <c r="Z43" i="46"/>
  <c r="AA43" i="46" s="1"/>
  <c r="J43" i="46" s="1"/>
  <c r="AK70" i="46"/>
  <c r="AD70" i="46" s="1"/>
  <c r="R65" i="46"/>
  <c r="AI65" i="46" s="1"/>
  <c r="AK39" i="46"/>
  <c r="AD39" i="46" s="1"/>
  <c r="AG70" i="46"/>
  <c r="AH70" i="46" s="1"/>
  <c r="I31" i="46"/>
  <c r="Y32" i="46" s="1"/>
  <c r="Z32" i="46" s="1"/>
  <c r="AA32" i="46" s="1"/>
  <c r="J32" i="46" s="1"/>
  <c r="Z30" i="46"/>
  <c r="AA30" i="46" s="1"/>
  <c r="J30" i="46" s="1"/>
  <c r="AE72" i="46"/>
  <c r="AF72" i="46" s="1"/>
  <c r="AL73" i="46"/>
  <c r="AM73" i="46" s="1"/>
  <c r="AQ73" i="46" s="1"/>
  <c r="AS74" i="46" s="1"/>
  <c r="R46" i="46"/>
  <c r="AI46" i="46" s="1"/>
  <c r="Z69" i="46"/>
  <c r="AA69" i="46" s="1"/>
  <c r="J69" i="46" s="1"/>
  <c r="V41" i="46"/>
  <c r="Q41" i="46" s="1"/>
  <c r="AK65" i="46"/>
  <c r="AD65" i="46" s="1"/>
  <c r="B66" i="46"/>
  <c r="AE29" i="46"/>
  <c r="AF29" i="46" s="1"/>
  <c r="D45" i="46"/>
  <c r="Z62" i="46"/>
  <c r="AA62" i="46" s="1"/>
  <c r="J62" i="46" s="1"/>
  <c r="AN85" i="46"/>
  <c r="AP85" i="46" s="1"/>
  <c r="AL85" i="46"/>
  <c r="AM85" i="46" s="1"/>
  <c r="AQ85" i="46" s="1"/>
  <c r="W84" i="46"/>
  <c r="X84" i="46" s="1"/>
  <c r="AJ84" i="46"/>
  <c r="AC84" i="46" s="1"/>
  <c r="D86" i="46"/>
  <c r="AG85" i="46"/>
  <c r="AH85" i="46" s="1"/>
  <c r="U85" i="46"/>
  <c r="P85" i="46" s="1"/>
  <c r="AJ85" i="46"/>
  <c r="AC85" i="46" s="1"/>
  <c r="AG84" i="46"/>
  <c r="AH84" i="46" s="1"/>
  <c r="W27" i="46"/>
  <c r="X27" i="46" s="1"/>
  <c r="AE27" i="46"/>
  <c r="AF27" i="46" s="1"/>
  <c r="Z27" i="46"/>
  <c r="AA27" i="46" s="1"/>
  <c r="J27" i="46" s="1"/>
  <c r="Z76" i="46"/>
  <c r="AA76" i="46" s="1"/>
  <c r="J76" i="46" s="1"/>
  <c r="D77" i="46"/>
  <c r="S77" i="46" s="1"/>
  <c r="T77" i="46" s="1"/>
  <c r="AG76" i="46"/>
  <c r="AH76" i="46" s="1"/>
  <c r="R77" i="46"/>
  <c r="V76" i="46"/>
  <c r="Q76" i="46" s="1"/>
  <c r="AE76" i="46"/>
  <c r="AF76" i="46" s="1"/>
  <c r="AL77" i="46"/>
  <c r="AM77" i="46" s="1"/>
  <c r="AQ77" i="46" s="1"/>
  <c r="AS78" i="46" s="1"/>
  <c r="AN77" i="46"/>
  <c r="AP77" i="46" s="1"/>
  <c r="AY78" i="46"/>
  <c r="AN78" i="46"/>
  <c r="AP78" i="46" s="1"/>
  <c r="AE78" i="46"/>
  <c r="AF78" i="46" s="1"/>
  <c r="AG77" i="46"/>
  <c r="AH77" i="46" s="1"/>
  <c r="F79" i="46"/>
  <c r="B78" i="46"/>
  <c r="AJ78" i="46"/>
  <c r="AC78" i="46" s="1"/>
  <c r="U78" i="46"/>
  <c r="P78" i="46" s="1"/>
  <c r="R78" i="46"/>
  <c r="AI78" i="46" s="1"/>
  <c r="W77" i="46"/>
  <c r="X77" i="46" s="1"/>
  <c r="Z77" i="46"/>
  <c r="AA77" i="46" s="1"/>
  <c r="J77" i="46" s="1"/>
  <c r="L77" i="46" s="1"/>
  <c r="V77" i="46"/>
  <c r="Q77" i="46" s="1"/>
  <c r="AG78" i="46"/>
  <c r="AH78" i="46" s="1"/>
  <c r="D79" i="46"/>
  <c r="S79" i="46" s="1"/>
  <c r="T79" i="46" s="1"/>
  <c r="V78" i="46"/>
  <c r="Q78" i="46" s="1"/>
  <c r="AL72" i="46"/>
  <c r="AM72" i="46" s="1"/>
  <c r="AQ72" i="46" s="1"/>
  <c r="AS73" i="46" s="1"/>
  <c r="B72" i="46"/>
  <c r="R72" i="46"/>
  <c r="AI72" i="46" s="1"/>
  <c r="AY72" i="46"/>
  <c r="AJ71" i="46"/>
  <c r="AC71" i="46" s="1"/>
  <c r="Z71" i="46"/>
  <c r="AA71" i="46" s="1"/>
  <c r="J71" i="46" s="1"/>
  <c r="D41" i="46"/>
  <c r="AK40" i="46"/>
  <c r="AD40" i="46" s="1"/>
  <c r="AN41" i="46"/>
  <c r="AP41" i="46" s="1"/>
  <c r="Z40" i="46"/>
  <c r="AA40" i="46" s="1"/>
  <c r="J40" i="46" s="1"/>
  <c r="I41" i="46"/>
  <c r="B41" i="46"/>
  <c r="W40" i="46"/>
  <c r="X40" i="46" s="1"/>
  <c r="AE37" i="46"/>
  <c r="AF37" i="46" s="1"/>
  <c r="AJ52" i="46"/>
  <c r="AC52" i="46" s="1"/>
  <c r="W51" i="46"/>
  <c r="X51" i="46" s="1"/>
  <c r="U51" i="46"/>
  <c r="P51" i="46" s="1"/>
  <c r="AE51" i="46"/>
  <c r="AF51" i="46" s="1"/>
  <c r="D52" i="46"/>
  <c r="S52" i="46" s="1"/>
  <c r="T52" i="46" s="1"/>
  <c r="V52" i="46"/>
  <c r="Q52" i="46" s="1"/>
  <c r="AG51" i="46"/>
  <c r="AH51" i="46" s="1"/>
  <c r="V51" i="46"/>
  <c r="Q51" i="46" s="1"/>
  <c r="D53" i="46"/>
  <c r="S53" i="46" s="1"/>
  <c r="T53" i="46" s="1"/>
  <c r="B52" i="46"/>
  <c r="V58" i="46"/>
  <c r="Q58" i="46" s="1"/>
  <c r="Z58" i="46"/>
  <c r="AA58" i="46" s="1"/>
  <c r="J58" i="46" s="1"/>
  <c r="AJ58" i="46"/>
  <c r="AC58" i="46" s="1"/>
  <c r="I59" i="46"/>
  <c r="AN59" i="46"/>
  <c r="AP59" i="46" s="1"/>
  <c r="W58" i="46"/>
  <c r="X58" i="46" s="1"/>
  <c r="Z59" i="46"/>
  <c r="AA59" i="46" s="1"/>
  <c r="J59" i="46" s="1"/>
  <c r="AG58" i="46"/>
  <c r="AH58" i="46" s="1"/>
  <c r="B60" i="46"/>
  <c r="U58" i="46"/>
  <c r="P58" i="46" s="1"/>
  <c r="AE59" i="46"/>
  <c r="AF59" i="46" s="1"/>
  <c r="F59" i="46"/>
  <c r="AJ59" i="46"/>
  <c r="AC59" i="46" s="1"/>
  <c r="B71" i="46"/>
  <c r="W70" i="46"/>
  <c r="X70" i="46" s="1"/>
  <c r="V70" i="46"/>
  <c r="Q70" i="46" s="1"/>
  <c r="R71" i="46"/>
  <c r="AI71" i="46" s="1"/>
  <c r="D71" i="46"/>
  <c r="S71" i="46" s="1"/>
  <c r="T71" i="46" s="1"/>
  <c r="AN74" i="46"/>
  <c r="AP74" i="46" s="1"/>
  <c r="AL74" i="46"/>
  <c r="AM74" i="46" s="1"/>
  <c r="AQ74" i="46" s="1"/>
  <c r="AS75" i="46" s="1"/>
  <c r="B75" i="46"/>
  <c r="AJ73" i="46"/>
  <c r="AC73" i="46" s="1"/>
  <c r="D74" i="46"/>
  <c r="S74" i="46" s="1"/>
  <c r="T74" i="46" s="1"/>
  <c r="F74" i="46"/>
  <c r="F75" i="46"/>
  <c r="AJ74" i="46"/>
  <c r="AC74" i="46" s="1"/>
  <c r="AK74" i="46"/>
  <c r="AD74" i="46" s="1"/>
  <c r="AG74" i="46"/>
  <c r="AH74" i="46" s="1"/>
  <c r="I74" i="46"/>
  <c r="AE74" i="46"/>
  <c r="AF74" i="46" s="1"/>
  <c r="V73" i="46"/>
  <c r="Q73" i="46" s="1"/>
  <c r="Z73" i="46"/>
  <c r="AA73" i="46" s="1"/>
  <c r="J73" i="46" s="1"/>
  <c r="AK73" i="46"/>
  <c r="AD73" i="46" s="1"/>
  <c r="AG73" i="46"/>
  <c r="AH73" i="46" s="1"/>
  <c r="W41" i="46"/>
  <c r="X41" i="46" s="1"/>
  <c r="AE41" i="46"/>
  <c r="AF41" i="46" s="1"/>
  <c r="B42" i="46"/>
  <c r="F42" i="46"/>
  <c r="Z41" i="46"/>
  <c r="AA41" i="46" s="1"/>
  <c r="J41" i="46" s="1"/>
  <c r="D42" i="46"/>
  <c r="AG94" i="59"/>
  <c r="AH94" i="59" s="1"/>
  <c r="AN122" i="59"/>
  <c r="AO122" i="59" s="1"/>
  <c r="AS122" i="59" s="1"/>
  <c r="W122" i="59"/>
  <c r="R122" i="59" s="1"/>
  <c r="AA122" i="59"/>
  <c r="AB122" i="59" s="1"/>
  <c r="K122" i="59" s="1"/>
  <c r="AP122" i="59"/>
  <c r="AR122" i="59" s="1"/>
  <c r="D110" i="59"/>
  <c r="T110" i="59" s="1"/>
  <c r="U110" i="59" s="1"/>
  <c r="AP76" i="53"/>
  <c r="AE42" i="46"/>
  <c r="AF42" i="46" s="1"/>
  <c r="AG64" i="46"/>
  <c r="AH64" i="46" s="1"/>
  <c r="D65" i="46"/>
  <c r="S65" i="46" s="1"/>
  <c r="T65" i="46" s="1"/>
  <c r="AJ63" i="46"/>
  <c r="AC63" i="46" s="1"/>
  <c r="Z63" i="46"/>
  <c r="AA63" i="46" s="1"/>
  <c r="J63" i="46" s="1"/>
  <c r="B43" i="46"/>
  <c r="AK42" i="46"/>
  <c r="AD42" i="46" s="1"/>
  <c r="F44" i="46"/>
  <c r="W43" i="46"/>
  <c r="X43" i="46" s="1"/>
  <c r="AY44" i="46"/>
  <c r="AN42" i="46"/>
  <c r="AP42" i="46" s="1"/>
  <c r="W42" i="46"/>
  <c r="X42" i="46" s="1"/>
  <c r="AJ42" i="46"/>
  <c r="AC42" i="46" s="1"/>
  <c r="AJ43" i="46"/>
  <c r="AC43" i="46" s="1"/>
  <c r="Z70" i="46"/>
  <c r="AA70" i="46" s="1"/>
  <c r="J70" i="46" s="1"/>
  <c r="AK72" i="46"/>
  <c r="AD72" i="46" s="1"/>
  <c r="AJ38" i="46"/>
  <c r="AC38" i="46" s="1"/>
  <c r="W39" i="46"/>
  <c r="X39" i="46" s="1"/>
  <c r="V46" i="46"/>
  <c r="Q46" i="46" s="1"/>
  <c r="I73" i="46"/>
  <c r="AG72" i="46"/>
  <c r="AH72" i="46" s="1"/>
  <c r="U45" i="46"/>
  <c r="P45" i="46" s="1"/>
  <c r="AE69" i="46"/>
  <c r="AF69" i="46" s="1"/>
  <c r="U73" i="46"/>
  <c r="P73" i="46" s="1"/>
  <c r="W65" i="46"/>
  <c r="X65" i="46" s="1"/>
  <c r="AL70" i="46"/>
  <c r="AM70" i="46" s="1"/>
  <c r="AQ70" i="46" s="1"/>
  <c r="AS71" i="46" s="1"/>
  <c r="F41" i="46"/>
  <c r="V40" i="46"/>
  <c r="Q40" i="46" s="1"/>
  <c r="AG40" i="46"/>
  <c r="AH40" i="46" s="1"/>
  <c r="I72" i="46"/>
  <c r="B38" i="46"/>
  <c r="AE38" i="46"/>
  <c r="AF38" i="46" s="1"/>
  <c r="I63" i="46"/>
  <c r="R63" i="46"/>
  <c r="AI63" i="46" s="1"/>
  <c r="S122" i="59"/>
  <c r="AK122" i="59" s="1"/>
  <c r="AL122" i="59"/>
  <c r="AE122" i="59" s="1"/>
  <c r="B122" i="59"/>
  <c r="J94" i="59"/>
  <c r="W65" i="39"/>
  <c r="X65" i="39" s="1"/>
  <c r="Z42" i="46"/>
  <c r="AA42" i="46" s="1"/>
  <c r="J42" i="46" s="1"/>
  <c r="V42" i="46"/>
  <c r="Q42" i="46" s="1"/>
  <c r="AK64" i="46"/>
  <c r="AD64" i="46" s="1"/>
  <c r="AE64" i="46"/>
  <c r="AF64" i="46" s="1"/>
  <c r="AJ64" i="46"/>
  <c r="AC64" i="46" s="1"/>
  <c r="U64" i="46"/>
  <c r="P64" i="46" s="1"/>
  <c r="F64" i="46"/>
  <c r="R44" i="46"/>
  <c r="D44" i="46"/>
  <c r="AG43" i="46"/>
  <c r="AH43" i="46" s="1"/>
  <c r="AL42" i="46"/>
  <c r="AM42" i="46" s="1"/>
  <c r="AQ42" i="46" s="1"/>
  <c r="AS43" i="46" s="1"/>
  <c r="AL43" i="46"/>
  <c r="AM43" i="46" s="1"/>
  <c r="AO43" i="46" s="1"/>
  <c r="AY43" i="46"/>
  <c r="I44" i="46"/>
  <c r="AE70" i="46"/>
  <c r="AF70" i="46" s="1"/>
  <c r="W30" i="46"/>
  <c r="X30" i="46" s="1"/>
  <c r="R39" i="46"/>
  <c r="AB38" i="46" s="1"/>
  <c r="AL65" i="46"/>
  <c r="AM65" i="46" s="1"/>
  <c r="AQ65" i="46" s="1"/>
  <c r="AS66" i="46" s="1"/>
  <c r="D40" i="46"/>
  <c r="F66" i="46"/>
  <c r="V38" i="46"/>
  <c r="Q38" i="46" s="1"/>
  <c r="AJ65" i="46"/>
  <c r="AC65" i="46" s="1"/>
  <c r="AG38" i="46"/>
  <c r="AH38" i="46" s="1"/>
  <c r="U70" i="46"/>
  <c r="P70" i="46" s="1"/>
  <c r="B74" i="46"/>
  <c r="D73" i="46"/>
  <c r="S73" i="46" s="1"/>
  <c r="T73" i="46" s="1"/>
  <c r="W45" i="46"/>
  <c r="X45" i="46" s="1"/>
  <c r="AK63" i="46"/>
  <c r="AD63" i="46" s="1"/>
  <c r="AG29" i="46"/>
  <c r="AH29" i="46" s="1"/>
  <c r="AL63" i="46"/>
  <c r="AM63" i="46" s="1"/>
  <c r="AQ63" i="46" s="1"/>
  <c r="AS64" i="46" s="1"/>
  <c r="I70" i="46"/>
  <c r="AN63" i="46"/>
  <c r="AP63" i="46" s="1"/>
  <c r="AY65" i="46"/>
  <c r="R42" i="46"/>
  <c r="AE44" i="46"/>
  <c r="AF44" i="46" s="1"/>
  <c r="W37" i="46"/>
  <c r="X37" i="46" s="1"/>
  <c r="D59" i="46"/>
  <c r="S59" i="46" s="1"/>
  <c r="T59" i="46" s="1"/>
  <c r="Z38" i="46"/>
  <c r="AA38" i="46" s="1"/>
  <c r="J38" i="46" s="1"/>
  <c r="AB72" i="53"/>
  <c r="D113" i="59"/>
  <c r="T113" i="59" s="1"/>
  <c r="U113" i="59" s="1"/>
  <c r="F47" i="46"/>
  <c r="AE84" i="46"/>
  <c r="AF84" i="46" s="1"/>
  <c r="AN112" i="59"/>
  <c r="AO112" i="59" s="1"/>
  <c r="AS112" i="59" s="1"/>
  <c r="AU113" i="59" s="1"/>
  <c r="AG86" i="59"/>
  <c r="AH86" i="59" s="1"/>
  <c r="AY25" i="45"/>
  <c r="Z77" i="45"/>
  <c r="AA77" i="45" s="1"/>
  <c r="J77" i="45" s="1"/>
  <c r="R78" i="45"/>
  <c r="AB77" i="45" s="1"/>
  <c r="R47" i="46"/>
  <c r="AI47" i="46" s="1"/>
  <c r="AY67" i="46"/>
  <c r="AE66" i="46"/>
  <c r="AF66" i="46" s="1"/>
  <c r="AE54" i="46"/>
  <c r="AF54" i="46" s="1"/>
  <c r="AE28" i="46"/>
  <c r="AF28" i="46" s="1"/>
  <c r="D47" i="46"/>
  <c r="W46" i="46"/>
  <c r="X46" i="46" s="1"/>
  <c r="AE46" i="46"/>
  <c r="AF46" i="46" s="1"/>
  <c r="AE67" i="46"/>
  <c r="AF67" i="46" s="1"/>
  <c r="AG66" i="46"/>
  <c r="AH66" i="46" s="1"/>
  <c r="AY29" i="46"/>
  <c r="V67" i="46"/>
  <c r="Q67" i="46" s="1"/>
  <c r="AJ82" i="46"/>
  <c r="AC82" i="46" s="1"/>
  <c r="F83" i="46"/>
  <c r="AK62" i="46"/>
  <c r="AD62" i="46" s="1"/>
  <c r="V59" i="46"/>
  <c r="Q59" i="46" s="1"/>
  <c r="W68" i="46"/>
  <c r="X68" i="46" s="1"/>
  <c r="AM111" i="59"/>
  <c r="AF111" i="59" s="1"/>
  <c r="B69" i="46"/>
  <c r="V112" i="59"/>
  <c r="Q112" i="59" s="1"/>
  <c r="Z82" i="46"/>
  <c r="AA82" i="46" s="1"/>
  <c r="J82" i="46" s="1"/>
  <c r="R68" i="46"/>
  <c r="AI68" i="46" s="1"/>
  <c r="W59" i="46"/>
  <c r="X59" i="46" s="1"/>
  <c r="R67" i="46"/>
  <c r="F63" i="46"/>
  <c r="AJ55" i="46"/>
  <c r="AC55" i="46" s="1"/>
  <c r="AY60" i="46"/>
  <c r="AY83" i="46"/>
  <c r="F84" i="46"/>
  <c r="V60" i="46"/>
  <c r="Q60" i="46" s="1"/>
  <c r="I55" i="46"/>
  <c r="V84" i="46"/>
  <c r="Q84" i="46" s="1"/>
  <c r="AN83" i="46"/>
  <c r="AP83" i="46" s="1"/>
  <c r="AY84" i="46"/>
  <c r="B56" i="46"/>
  <c r="R60" i="46"/>
  <c r="AK60" i="46"/>
  <c r="AD60" i="46" s="1"/>
  <c r="W54" i="46"/>
  <c r="X54" i="46" s="1"/>
  <c r="F61" i="46"/>
  <c r="V55" i="46"/>
  <c r="Q55" i="46" s="1"/>
  <c r="U83" i="46"/>
  <c r="P83" i="46" s="1"/>
  <c r="Z84" i="46"/>
  <c r="AA84" i="46" s="1"/>
  <c r="J84" i="46" s="1"/>
  <c r="F85" i="46"/>
  <c r="AY62" i="46"/>
  <c r="AL62" i="46"/>
  <c r="AM62" i="46" s="1"/>
  <c r="AQ62" i="46" s="1"/>
  <c r="AS63" i="46" s="1"/>
  <c r="AE61" i="46"/>
  <c r="AF61" i="46" s="1"/>
  <c r="I29" i="46"/>
  <c r="U61" i="46"/>
  <c r="P61" i="46" s="1"/>
  <c r="AG31" i="46"/>
  <c r="AH31" i="46" s="1"/>
  <c r="Z31" i="46"/>
  <c r="AA31" i="46" s="1"/>
  <c r="J31" i="46" s="1"/>
  <c r="I30" i="46"/>
  <c r="AP112" i="59"/>
  <c r="AR112" i="59" s="1"/>
  <c r="X75" i="59"/>
  <c r="Y75" i="59" s="1"/>
  <c r="J87" i="59"/>
  <c r="AU25" i="45"/>
  <c r="AV25" i="45" s="1"/>
  <c r="AW25" i="45" s="1"/>
  <c r="AX25" i="45" s="1"/>
  <c r="T25" i="45" s="1"/>
  <c r="I25" i="45" s="1"/>
  <c r="L25" i="45" s="1"/>
  <c r="I78" i="45"/>
  <c r="AY78" i="45"/>
  <c r="B67" i="46"/>
  <c r="AJ54" i="46"/>
  <c r="AC54" i="46" s="1"/>
  <c r="AE36" i="46"/>
  <c r="AF36" i="46" s="1"/>
  <c r="D68" i="46"/>
  <c r="S68" i="46" s="1"/>
  <c r="T68" i="46" s="1"/>
  <c r="I28" i="46"/>
  <c r="AN67" i="46"/>
  <c r="AP67" i="46" s="1"/>
  <c r="Z54" i="46"/>
  <c r="AA54" i="46" s="1"/>
  <c r="J54" i="46" s="1"/>
  <c r="I47" i="46"/>
  <c r="AY47" i="46"/>
  <c r="AJ46" i="46"/>
  <c r="AC46" i="46" s="1"/>
  <c r="W66" i="46"/>
  <c r="X66" i="46" s="1"/>
  <c r="B55" i="46"/>
  <c r="AK67" i="46"/>
  <c r="AD67" i="46" s="1"/>
  <c r="AJ67" i="46"/>
  <c r="AC67" i="46" s="1"/>
  <c r="B47" i="46"/>
  <c r="V82" i="46"/>
  <c r="Q82" i="46" s="1"/>
  <c r="B83" i="46"/>
  <c r="V62" i="46"/>
  <c r="Q62" i="46" s="1"/>
  <c r="I68" i="46"/>
  <c r="U66" i="46"/>
  <c r="P66" i="46" s="1"/>
  <c r="Z68" i="46"/>
  <c r="AA68" i="46" s="1"/>
  <c r="J68" i="46" s="1"/>
  <c r="AG82" i="46"/>
  <c r="AH82" i="46" s="1"/>
  <c r="U68" i="46"/>
  <c r="P68" i="46" s="1"/>
  <c r="I67" i="46"/>
  <c r="B85" i="46"/>
  <c r="B84" i="46"/>
  <c r="U55" i="46"/>
  <c r="P55" i="46" s="1"/>
  <c r="B61" i="46"/>
  <c r="V54" i="46"/>
  <c r="Q54" i="46" s="1"/>
  <c r="AY55" i="46"/>
  <c r="AL84" i="46"/>
  <c r="AM84" i="46" s="1"/>
  <c r="AQ84" i="46" s="1"/>
  <c r="AS85" i="46" s="1"/>
  <c r="I60" i="46"/>
  <c r="W60" i="46"/>
  <c r="X60" i="46" s="1"/>
  <c r="AK83" i="46"/>
  <c r="AD83" i="46" s="1"/>
  <c r="Z55" i="46"/>
  <c r="AA55" i="46" s="1"/>
  <c r="J55" i="46" s="1"/>
  <c r="AN60" i="46"/>
  <c r="AP60" i="46" s="1"/>
  <c r="D84" i="46"/>
  <c r="AN55" i="46"/>
  <c r="AP55" i="46" s="1"/>
  <c r="Z60" i="46"/>
  <c r="AA60" i="46" s="1"/>
  <c r="J60" i="46" s="1"/>
  <c r="AG83" i="46"/>
  <c r="AH83" i="46" s="1"/>
  <c r="F56" i="46"/>
  <c r="D85" i="46"/>
  <c r="S85" i="46" s="1"/>
  <c r="T85" i="46" s="1"/>
  <c r="U46" i="46"/>
  <c r="P46" i="46" s="1"/>
  <c r="AJ45" i="46"/>
  <c r="AC45" i="46" s="1"/>
  <c r="W35" i="46"/>
  <c r="X35" i="46" s="1"/>
  <c r="AY32" i="46"/>
  <c r="I62" i="46"/>
  <c r="F69" i="46"/>
  <c r="F62" i="46"/>
  <c r="AK44" i="46"/>
  <c r="AD44" i="46" s="1"/>
  <c r="Z61" i="46"/>
  <c r="AA61" i="46" s="1"/>
  <c r="J61" i="46" s="1"/>
  <c r="Z44" i="46"/>
  <c r="AA44" i="46" s="1"/>
  <c r="J44" i="46" s="1"/>
  <c r="R62" i="46"/>
  <c r="AI62" i="46" s="1"/>
  <c r="W62" i="46"/>
  <c r="X62" i="46" s="1"/>
  <c r="U59" i="46"/>
  <c r="P59" i="46" s="1"/>
  <c r="B62" i="46"/>
  <c r="AJ44" i="46"/>
  <c r="AC44" i="46" s="1"/>
  <c r="V61" i="46"/>
  <c r="Q61" i="46" s="1"/>
  <c r="W111" i="59"/>
  <c r="R111" i="59" s="1"/>
  <c r="BA112" i="59"/>
  <c r="W37" i="39"/>
  <c r="X37" i="39" s="1"/>
  <c r="AL78" i="45"/>
  <c r="AM78" i="45" s="1"/>
  <c r="AQ78" i="45" s="1"/>
  <c r="AS79" i="45" s="1"/>
  <c r="AB45" i="53"/>
  <c r="Z67" i="46"/>
  <c r="AA67" i="46" s="1"/>
  <c r="J67" i="46" s="1"/>
  <c r="AJ66" i="46"/>
  <c r="AC66" i="46" s="1"/>
  <c r="V66" i="46"/>
  <c r="Q66" i="46" s="1"/>
  <c r="D55" i="46"/>
  <c r="S55" i="46" s="1"/>
  <c r="T55" i="46" s="1"/>
  <c r="AL47" i="46"/>
  <c r="AM47" i="46" s="1"/>
  <c r="AQ47" i="46" s="1"/>
  <c r="AS48" i="46" s="1"/>
  <c r="AG46" i="46"/>
  <c r="AH46" i="46" s="1"/>
  <c r="D67" i="46"/>
  <c r="S67" i="46" s="1"/>
  <c r="T67" i="46" s="1"/>
  <c r="AG54" i="46"/>
  <c r="AH54" i="46" s="1"/>
  <c r="B68" i="46"/>
  <c r="U67" i="46"/>
  <c r="P67" i="46" s="1"/>
  <c r="W82" i="46"/>
  <c r="X82" i="46" s="1"/>
  <c r="AK82" i="46"/>
  <c r="AD82" i="46" s="1"/>
  <c r="AN68" i="46"/>
  <c r="AP68" i="46" s="1"/>
  <c r="V68" i="46"/>
  <c r="Q68" i="46" s="1"/>
  <c r="U62" i="46"/>
  <c r="P62" i="46" s="1"/>
  <c r="AK59" i="46"/>
  <c r="AD59" i="46" s="1"/>
  <c r="B63" i="46"/>
  <c r="AJ62" i="46"/>
  <c r="AC62" i="46" s="1"/>
  <c r="D60" i="46"/>
  <c r="S60" i="46" s="1"/>
  <c r="T60" i="46" s="1"/>
  <c r="AK68" i="46"/>
  <c r="AD68" i="46" s="1"/>
  <c r="AY68" i="46"/>
  <c r="F60" i="46"/>
  <c r="V83" i="46"/>
  <c r="Q83" i="46" s="1"/>
  <c r="AG60" i="46"/>
  <c r="AH60" i="46" s="1"/>
  <c r="AL55" i="46"/>
  <c r="AM55" i="46" s="1"/>
  <c r="AQ55" i="46" s="1"/>
  <c r="AS56" i="46" s="1"/>
  <c r="AN84" i="46"/>
  <c r="AP84" i="46" s="1"/>
  <c r="AE55" i="46"/>
  <c r="AF55" i="46" s="1"/>
  <c r="AG59" i="46"/>
  <c r="AH59" i="46" s="1"/>
  <c r="AJ83" i="46"/>
  <c r="AC83" i="46" s="1"/>
  <c r="W55" i="46"/>
  <c r="X55" i="46" s="1"/>
  <c r="AJ60" i="46"/>
  <c r="AC60" i="46" s="1"/>
  <c r="AL60" i="46"/>
  <c r="AM60" i="46" s="1"/>
  <c r="AQ60" i="46" s="1"/>
  <c r="AS61" i="46" s="1"/>
  <c r="I84" i="46"/>
  <c r="F46" i="46"/>
  <c r="AG45" i="46"/>
  <c r="AH45" i="46" s="1"/>
  <c r="U39" i="46"/>
  <c r="P39" i="46" s="1"/>
  <c r="AY36" i="46"/>
  <c r="AG61" i="46"/>
  <c r="AH61" i="46" s="1"/>
  <c r="AG62" i="46"/>
  <c r="AH62" i="46" s="1"/>
  <c r="D62" i="46"/>
  <c r="S62" i="46" s="1"/>
  <c r="T62" i="46" s="1"/>
  <c r="D69" i="46"/>
  <c r="S69" i="46" s="1"/>
  <c r="T69" i="46" s="1"/>
  <c r="V44" i="46"/>
  <c r="Q44" i="46" s="1"/>
  <c r="B45" i="46"/>
  <c r="AK64" i="45"/>
  <c r="AD64" i="45" s="1"/>
  <c r="AL39" i="46"/>
  <c r="AM39" i="46" s="1"/>
  <c r="AQ39" i="46" s="1"/>
  <c r="AS40" i="46" s="1"/>
  <c r="AY46" i="46"/>
  <c r="J93" i="59"/>
  <c r="AJ57" i="46"/>
  <c r="AC57" i="46" s="1"/>
  <c r="I58" i="46"/>
  <c r="L61" i="53"/>
  <c r="AJ44" i="45"/>
  <c r="AC44" i="45" s="1"/>
  <c r="AG71" i="59"/>
  <c r="AH71" i="59" s="1"/>
  <c r="BA80" i="59"/>
  <c r="X92" i="59"/>
  <c r="Y92" i="59" s="1"/>
  <c r="AN44" i="45"/>
  <c r="AP44" i="45" s="1"/>
  <c r="AG92" i="59"/>
  <c r="AH92" i="59" s="1"/>
  <c r="S103" i="59"/>
  <c r="AY46" i="45"/>
  <c r="AY51" i="45"/>
  <c r="I44" i="45"/>
  <c r="AY50" i="51"/>
  <c r="AY71" i="51"/>
  <c r="J92" i="59"/>
  <c r="AE29" i="51"/>
  <c r="AF29" i="51" s="1"/>
  <c r="AP45" i="53"/>
  <c r="I46" i="45"/>
  <c r="Z64" i="45"/>
  <c r="AA64" i="45" s="1"/>
  <c r="J64" i="45" s="1"/>
  <c r="L64" i="45" s="1"/>
  <c r="X104" i="59"/>
  <c r="Y104" i="59" s="1"/>
  <c r="B78" i="45"/>
  <c r="W68" i="51"/>
  <c r="X68" i="51" s="1"/>
  <c r="AN102" i="59"/>
  <c r="AO102" i="59" s="1"/>
  <c r="AS102" i="59" s="1"/>
  <c r="AU103" i="59" s="1"/>
  <c r="AN118" i="59"/>
  <c r="AO118" i="59" s="1"/>
  <c r="BA84" i="59"/>
  <c r="I77" i="45"/>
  <c r="AE64" i="45"/>
  <c r="AF64" i="45" s="1"/>
  <c r="F78" i="45"/>
  <c r="W77" i="45"/>
  <c r="X77" i="45" s="1"/>
  <c r="AE77" i="45"/>
  <c r="AF77" i="45" s="1"/>
  <c r="AP110" i="59"/>
  <c r="AR110" i="59" s="1"/>
  <c r="AN110" i="59"/>
  <c r="AO110" i="59" s="1"/>
  <c r="V100" i="59"/>
  <c r="Q100" i="59" s="1"/>
  <c r="X82" i="59"/>
  <c r="Y82" i="59" s="1"/>
  <c r="J110" i="59"/>
  <c r="J118" i="59"/>
  <c r="AA118" i="59"/>
  <c r="AB118" i="59" s="1"/>
  <c r="K118" i="59" s="1"/>
  <c r="AL77" i="45"/>
  <c r="AM77" i="45" s="1"/>
  <c r="AQ77" i="45" s="1"/>
  <c r="AS78" i="45" s="1"/>
  <c r="F65" i="45"/>
  <c r="D78" i="45"/>
  <c r="S78" i="45" s="1"/>
  <c r="T78" i="45" s="1"/>
  <c r="AJ77" i="45"/>
  <c r="AC77" i="45" s="1"/>
  <c r="U77" i="45"/>
  <c r="P77" i="45" s="1"/>
  <c r="AG77" i="45"/>
  <c r="AH77" i="45" s="1"/>
  <c r="W54" i="49"/>
  <c r="X54" i="49" s="1"/>
  <c r="AE75" i="49"/>
  <c r="AF75" i="49" s="1"/>
  <c r="Z76" i="45"/>
  <c r="AA76" i="45" s="1"/>
  <c r="J76" i="45" s="1"/>
  <c r="Z68" i="45"/>
  <c r="AA68" i="45" s="1"/>
  <c r="J68" i="45" s="1"/>
  <c r="W44" i="1"/>
  <c r="X44" i="1" s="1"/>
  <c r="W77" i="51"/>
  <c r="X77" i="51" s="1"/>
  <c r="W66" i="1"/>
  <c r="X66" i="1" s="1"/>
  <c r="AP118" i="59"/>
  <c r="AR118" i="59" s="1"/>
  <c r="AB54" i="53"/>
  <c r="AN77" i="45"/>
  <c r="AP77" i="45" s="1"/>
  <c r="V77" i="45"/>
  <c r="Q77" i="45" s="1"/>
  <c r="AN77" i="49"/>
  <c r="AP77" i="49" s="1"/>
  <c r="AY55" i="49"/>
  <c r="B67" i="45"/>
  <c r="AY33" i="51"/>
  <c r="AY42" i="51"/>
  <c r="W29" i="51"/>
  <c r="X29" i="51" s="1"/>
  <c r="AE29" i="39"/>
  <c r="AF29" i="39" s="1"/>
  <c r="AR43" i="53"/>
  <c r="AT44" i="53" s="1"/>
  <c r="R46" i="45"/>
  <c r="AI46" i="45" s="1"/>
  <c r="R51" i="45"/>
  <c r="AI51" i="45" s="1"/>
  <c r="AY44" i="45"/>
  <c r="H86" i="53"/>
  <c r="W47" i="49"/>
  <c r="X47" i="49" s="1"/>
  <c r="I47" i="49"/>
  <c r="AE36" i="45"/>
  <c r="AF36" i="45" s="1"/>
  <c r="W32" i="51"/>
  <c r="X32" i="51" s="1"/>
  <c r="W70" i="51"/>
  <c r="X70" i="51" s="1"/>
  <c r="AI103" i="59"/>
  <c r="AJ103" i="59" s="1"/>
  <c r="AE41" i="51"/>
  <c r="AF41" i="51" s="1"/>
  <c r="V117" i="59"/>
  <c r="Q117" i="59" s="1"/>
  <c r="AG67" i="59"/>
  <c r="AH67" i="59" s="1"/>
  <c r="AY61" i="39"/>
  <c r="AY30" i="39"/>
  <c r="AN46" i="45"/>
  <c r="AP46" i="45" s="1"/>
  <c r="AL51" i="45"/>
  <c r="AM51" i="45" s="1"/>
  <c r="AQ51" i="45" s="1"/>
  <c r="AS52" i="45" s="1"/>
  <c r="AN51" i="45"/>
  <c r="AP51" i="45" s="1"/>
  <c r="R44" i="45"/>
  <c r="AI44" i="45" s="1"/>
  <c r="AY37" i="45"/>
  <c r="I29" i="51"/>
  <c r="AY48" i="49"/>
  <c r="B119" i="59"/>
  <c r="J88" i="59"/>
  <c r="X115" i="59"/>
  <c r="Y115" i="59" s="1"/>
  <c r="F51" i="45"/>
  <c r="AA103" i="59"/>
  <c r="AB103" i="59" s="1"/>
  <c r="K103" i="59" s="1"/>
  <c r="M103" i="59" s="1"/>
  <c r="AG116" i="59"/>
  <c r="AH116" i="59" s="1"/>
  <c r="J100" i="59"/>
  <c r="AE37" i="39"/>
  <c r="AF37" i="39" s="1"/>
  <c r="H71" i="53"/>
  <c r="AK78" i="45"/>
  <c r="AD78" i="45" s="1"/>
  <c r="AP104" i="59"/>
  <c r="AR104" i="59" s="1"/>
  <c r="D107" i="59"/>
  <c r="T107" i="59" s="1"/>
  <c r="U107" i="59" s="1"/>
  <c r="B115" i="59"/>
  <c r="BA115" i="59"/>
  <c r="J66" i="59"/>
  <c r="AG97" i="59"/>
  <c r="AH97" i="59" s="1"/>
  <c r="B105" i="59"/>
  <c r="V118" i="59"/>
  <c r="Q118" i="59" s="1"/>
  <c r="BA119" i="59"/>
  <c r="Z27" i="45"/>
  <c r="AA27" i="45" s="1"/>
  <c r="J27" i="45" s="1"/>
  <c r="AN104" i="59"/>
  <c r="AO104" i="59" s="1"/>
  <c r="AS104" i="59" s="1"/>
  <c r="AU105" i="59" s="1"/>
  <c r="AA114" i="59"/>
  <c r="AB114" i="59" s="1"/>
  <c r="K114" i="59" s="1"/>
  <c r="M114" i="59" s="1"/>
  <c r="X114" i="59"/>
  <c r="Y114" i="59" s="1"/>
  <c r="G116" i="59"/>
  <c r="AG105" i="59"/>
  <c r="AH105" i="59" s="1"/>
  <c r="S106" i="59"/>
  <c r="BA73" i="59"/>
  <c r="AG103" i="59"/>
  <c r="AH103" i="59" s="1"/>
  <c r="S104" i="59"/>
  <c r="AP115" i="59"/>
  <c r="AR115" i="59" s="1"/>
  <c r="AI114" i="59"/>
  <c r="AJ114" i="59" s="1"/>
  <c r="AG114" i="59"/>
  <c r="AH114" i="59" s="1"/>
  <c r="AL114" i="59"/>
  <c r="AE114" i="59" s="1"/>
  <c r="AG65" i="59"/>
  <c r="AH65" i="59" s="1"/>
  <c r="BA106" i="59"/>
  <c r="AI118" i="59"/>
  <c r="AJ118" i="59" s="1"/>
  <c r="AM118" i="59"/>
  <c r="AF118" i="59" s="1"/>
  <c r="W118" i="59"/>
  <c r="R118" i="59" s="1"/>
  <c r="G119" i="59"/>
  <c r="BA88" i="59"/>
  <c r="AE60" i="39"/>
  <c r="AF60" i="39" s="1"/>
  <c r="W27" i="45"/>
  <c r="X27" i="45" s="1"/>
  <c r="AB42" i="53"/>
  <c r="AP67" i="53"/>
  <c r="J97" i="59"/>
  <c r="D119" i="59"/>
  <c r="T119" i="59" s="1"/>
  <c r="U119" i="59" s="1"/>
  <c r="S119" i="59"/>
  <c r="AK119" i="59" s="1"/>
  <c r="AG87" i="59"/>
  <c r="AH87" i="59" s="1"/>
  <c r="AG27" i="45"/>
  <c r="AH27" i="45" s="1"/>
  <c r="B104" i="59"/>
  <c r="W114" i="59"/>
  <c r="R114" i="59" s="1"/>
  <c r="G115" i="59"/>
  <c r="AN115" i="59"/>
  <c r="AO115" i="59" s="1"/>
  <c r="AS115" i="59" s="1"/>
  <c r="AU116" i="59" s="1"/>
  <c r="D115" i="59"/>
  <c r="T115" i="59" s="1"/>
  <c r="U115" i="59" s="1"/>
  <c r="X65" i="59"/>
  <c r="Y65" i="59" s="1"/>
  <c r="AI108" i="59"/>
  <c r="AJ108" i="59" s="1"/>
  <c r="AG118" i="59"/>
  <c r="AH118" i="59" s="1"/>
  <c r="J119" i="59"/>
  <c r="X118" i="59"/>
  <c r="Y118" i="59" s="1"/>
  <c r="W29" i="39"/>
  <c r="X29" i="39" s="1"/>
  <c r="Z29" i="39"/>
  <c r="AA29" i="39" s="1"/>
  <c r="J29" i="39" s="1"/>
  <c r="AY29" i="49"/>
  <c r="Z65" i="47"/>
  <c r="AA65" i="47" s="1"/>
  <c r="J65" i="47" s="1"/>
  <c r="AL108" i="59"/>
  <c r="AE108" i="59" s="1"/>
  <c r="F85" i="45"/>
  <c r="X91" i="59"/>
  <c r="Y91" i="59" s="1"/>
  <c r="AG74" i="59"/>
  <c r="AH74" i="59" s="1"/>
  <c r="AG86" i="1"/>
  <c r="AH86" i="1" s="1"/>
  <c r="V113" i="59"/>
  <c r="Q113" i="59" s="1"/>
  <c r="X109" i="59"/>
  <c r="Y109" i="59" s="1"/>
  <c r="AL109" i="59"/>
  <c r="AE109" i="59" s="1"/>
  <c r="I27" i="51"/>
  <c r="B113" i="59"/>
  <c r="AM112" i="59"/>
  <c r="AF112" i="59" s="1"/>
  <c r="AA108" i="59"/>
  <c r="AB108" i="59" s="1"/>
  <c r="K108" i="59" s="1"/>
  <c r="M108" i="59" s="1"/>
  <c r="B109" i="59"/>
  <c r="J65" i="59"/>
  <c r="AG80" i="59"/>
  <c r="AH80" i="59" s="1"/>
  <c r="R40" i="45"/>
  <c r="AI40" i="45" s="1"/>
  <c r="AE62" i="45"/>
  <c r="AF62" i="45" s="1"/>
  <c r="I85" i="45"/>
  <c r="W39" i="45"/>
  <c r="X39" i="45" s="1"/>
  <c r="J64" i="59"/>
  <c r="M64" i="59" s="1"/>
  <c r="AG91" i="59"/>
  <c r="AH91" i="59" s="1"/>
  <c r="BA75" i="59"/>
  <c r="W86" i="1"/>
  <c r="X86" i="1" s="1"/>
  <c r="X113" i="59"/>
  <c r="Y113" i="59" s="1"/>
  <c r="AG109" i="59"/>
  <c r="AH109" i="59" s="1"/>
  <c r="BA113" i="59"/>
  <c r="J113" i="59"/>
  <c r="BA98" i="59"/>
  <c r="AG88" i="59"/>
  <c r="AH88" i="59" s="1"/>
  <c r="AP109" i="59"/>
  <c r="AR109" i="59" s="1"/>
  <c r="W108" i="59"/>
  <c r="R108" i="59" s="1"/>
  <c r="X80" i="59"/>
  <c r="Y80" i="59" s="1"/>
  <c r="AL40" i="45"/>
  <c r="AM40" i="45" s="1"/>
  <c r="AQ40" i="45" s="1"/>
  <c r="AS41" i="45" s="1"/>
  <c r="AN40" i="45"/>
  <c r="AP40" i="45" s="1"/>
  <c r="U62" i="45"/>
  <c r="P62" i="45" s="1"/>
  <c r="AJ84" i="45"/>
  <c r="AC84" i="45" s="1"/>
  <c r="B85" i="49"/>
  <c r="AG84" i="49"/>
  <c r="AH84" i="49" s="1"/>
  <c r="X106" i="59"/>
  <c r="Y106" i="59" s="1"/>
  <c r="B41" i="45"/>
  <c r="AL79" i="1"/>
  <c r="AM79" i="1" s="1"/>
  <c r="AQ79" i="1" s="1"/>
  <c r="AS80" i="1" s="1"/>
  <c r="AE27" i="51"/>
  <c r="AF27" i="51" s="1"/>
  <c r="G114" i="59"/>
  <c r="AM113" i="59"/>
  <c r="AF113" i="59" s="1"/>
  <c r="W109" i="59"/>
  <c r="R109" i="59" s="1"/>
  <c r="W112" i="59"/>
  <c r="R112" i="59" s="1"/>
  <c r="X88" i="59"/>
  <c r="Y88" i="59" s="1"/>
  <c r="BA109" i="59"/>
  <c r="AY84" i="45"/>
  <c r="U63" i="45"/>
  <c r="P63" i="45" s="1"/>
  <c r="W35" i="45"/>
  <c r="X35" i="45" s="1"/>
  <c r="I64" i="49"/>
  <c r="W46" i="49"/>
  <c r="X46" i="49" s="1"/>
  <c r="D85" i="49"/>
  <c r="S85" i="49" s="1"/>
  <c r="T85" i="49" s="1"/>
  <c r="AM106" i="59"/>
  <c r="AF106" i="59" s="1"/>
  <c r="AI100" i="59"/>
  <c r="AJ100" i="59" s="1"/>
  <c r="V101" i="59"/>
  <c r="Q101" i="59" s="1"/>
  <c r="D118" i="59"/>
  <c r="T118" i="59" s="1"/>
  <c r="U118" i="59" s="1"/>
  <c r="W117" i="59"/>
  <c r="R117" i="59" s="1"/>
  <c r="AM116" i="59"/>
  <c r="AF116" i="59" s="1"/>
  <c r="V116" i="59"/>
  <c r="Q116" i="59" s="1"/>
  <c r="AL50" i="45"/>
  <c r="AM50" i="45" s="1"/>
  <c r="AQ50" i="45" s="1"/>
  <c r="AS51" i="45" s="1"/>
  <c r="V43" i="45"/>
  <c r="Q43" i="45" s="1"/>
  <c r="W28" i="49"/>
  <c r="X28" i="49" s="1"/>
  <c r="AY45" i="51"/>
  <c r="BA107" i="59"/>
  <c r="S101" i="59"/>
  <c r="AC100" i="59" s="1"/>
  <c r="W35" i="51"/>
  <c r="X35" i="51" s="1"/>
  <c r="AY37" i="51"/>
  <c r="X81" i="59"/>
  <c r="Y81" i="59" s="1"/>
  <c r="AL117" i="59"/>
  <c r="AE117" i="59" s="1"/>
  <c r="G118" i="59"/>
  <c r="S117" i="59"/>
  <c r="AC117" i="59" s="1"/>
  <c r="AN117" i="59"/>
  <c r="AO117" i="59" s="1"/>
  <c r="AS117" i="59" s="1"/>
  <c r="AU118" i="59" s="1"/>
  <c r="W76" i="51"/>
  <c r="X76" i="51" s="1"/>
  <c r="AG81" i="59"/>
  <c r="AH81" i="59" s="1"/>
  <c r="B118" i="59"/>
  <c r="AA117" i="59"/>
  <c r="AB117" i="59" s="1"/>
  <c r="K117" i="59" s="1"/>
  <c r="M117" i="59" s="1"/>
  <c r="AP60" i="53"/>
  <c r="AE28" i="49"/>
  <c r="AF28" i="49" s="1"/>
  <c r="AG28" i="49"/>
  <c r="AH28" i="49" s="1"/>
  <c r="AY38" i="1"/>
  <c r="AE37" i="1"/>
  <c r="AF37" i="1" s="1"/>
  <c r="I78" i="49"/>
  <c r="AN78" i="49"/>
  <c r="AP78" i="49" s="1"/>
  <c r="AE73" i="51"/>
  <c r="AF73" i="51" s="1"/>
  <c r="AY74" i="51"/>
  <c r="AL67" i="49"/>
  <c r="AM67" i="49" s="1"/>
  <c r="AQ67" i="49" s="1"/>
  <c r="AS68" i="49" s="1"/>
  <c r="I67" i="49"/>
  <c r="AY67" i="49"/>
  <c r="AE44" i="51"/>
  <c r="AF44" i="51" s="1"/>
  <c r="AY75" i="45"/>
  <c r="L85" i="53"/>
  <c r="AA120" i="59"/>
  <c r="AB120" i="59" s="1"/>
  <c r="K120" i="59" s="1"/>
  <c r="D122" i="59"/>
  <c r="T122" i="59" s="1"/>
  <c r="U122" i="59" s="1"/>
  <c r="W121" i="59"/>
  <c r="R121" i="59" s="1"/>
  <c r="AP105" i="59"/>
  <c r="AR105" i="59" s="1"/>
  <c r="J105" i="59"/>
  <c r="AI105" i="59"/>
  <c r="AJ105" i="59" s="1"/>
  <c r="B106" i="59"/>
  <c r="W104" i="59"/>
  <c r="R104" i="59" s="1"/>
  <c r="V104" i="59"/>
  <c r="Q104" i="59" s="1"/>
  <c r="X105" i="59"/>
  <c r="Y105" i="59" s="1"/>
  <c r="D106" i="59"/>
  <c r="T106" i="59" s="1"/>
  <c r="U106" i="59" s="1"/>
  <c r="X90" i="59"/>
  <c r="Y90" i="59" s="1"/>
  <c r="AG90" i="59"/>
  <c r="AH90" i="59" s="1"/>
  <c r="D117" i="59"/>
  <c r="T117" i="59" s="1"/>
  <c r="U117" i="59" s="1"/>
  <c r="AG115" i="59"/>
  <c r="AH115" i="59" s="1"/>
  <c r="B116" i="59"/>
  <c r="S116" i="59"/>
  <c r="AI115" i="59"/>
  <c r="AJ115" i="59" s="1"/>
  <c r="AA115" i="59"/>
  <c r="AB115" i="59" s="1"/>
  <c r="K115" i="59" s="1"/>
  <c r="M115" i="59" s="1"/>
  <c r="AP116" i="59"/>
  <c r="AR116" i="59" s="1"/>
  <c r="U61" i="45"/>
  <c r="P61" i="45" s="1"/>
  <c r="AJ61" i="45"/>
  <c r="AC61" i="45" s="1"/>
  <c r="AJ64" i="45"/>
  <c r="AC64" i="45" s="1"/>
  <c r="B65" i="45"/>
  <c r="U64" i="45"/>
  <c r="P64" i="45" s="1"/>
  <c r="D65" i="45"/>
  <c r="S65" i="45" s="1"/>
  <c r="T65" i="45" s="1"/>
  <c r="AN65" i="45"/>
  <c r="AP65" i="45" s="1"/>
  <c r="V64" i="45"/>
  <c r="Q64" i="45" s="1"/>
  <c r="AG64" i="45"/>
  <c r="AH64" i="45" s="1"/>
  <c r="I65" i="45"/>
  <c r="AN69" i="45"/>
  <c r="AP69" i="45" s="1"/>
  <c r="R69" i="45"/>
  <c r="AI69" i="45" s="1"/>
  <c r="AY69" i="45"/>
  <c r="AA111" i="59"/>
  <c r="AB111" i="59" s="1"/>
  <c r="K111" i="59" s="1"/>
  <c r="J91" i="59"/>
  <c r="D104" i="59"/>
  <c r="T104" i="59" s="1"/>
  <c r="U104" i="59" s="1"/>
  <c r="AG76" i="59"/>
  <c r="AH76" i="59" s="1"/>
  <c r="AL115" i="59"/>
  <c r="AE115" i="59" s="1"/>
  <c r="G106" i="59"/>
  <c r="AN105" i="59"/>
  <c r="AO105" i="59" s="1"/>
  <c r="AS105" i="59" s="1"/>
  <c r="AU106" i="59" s="1"/>
  <c r="AB85" i="46"/>
  <c r="R65" i="45"/>
  <c r="W64" i="45"/>
  <c r="X64" i="45" s="1"/>
  <c r="I69" i="45"/>
  <c r="D59" i="45"/>
  <c r="S59" i="45" s="1"/>
  <c r="T59" i="45" s="1"/>
  <c r="AK60" i="45"/>
  <c r="AD60" i="45" s="1"/>
  <c r="AE67" i="1"/>
  <c r="AF67" i="1" s="1"/>
  <c r="W67" i="1"/>
  <c r="X67" i="1" s="1"/>
  <c r="I68" i="51"/>
  <c r="AY68" i="51"/>
  <c r="I66" i="51"/>
  <c r="AE66" i="51"/>
  <c r="AF66" i="51" s="1"/>
  <c r="W31" i="51"/>
  <c r="X31" i="51" s="1"/>
  <c r="AE31" i="51"/>
  <c r="AF31" i="51" s="1"/>
  <c r="BA74" i="59"/>
  <c r="AG73" i="59"/>
  <c r="AH73" i="59" s="1"/>
  <c r="X97" i="59"/>
  <c r="Y97" i="59" s="1"/>
  <c r="AN108" i="59"/>
  <c r="AO108" i="59" s="1"/>
  <c r="AS108" i="59" s="1"/>
  <c r="AU109" i="59" s="1"/>
  <c r="AP108" i="59"/>
  <c r="AR108" i="59" s="1"/>
  <c r="BA108" i="59"/>
  <c r="AA112" i="59"/>
  <c r="AB112" i="59" s="1"/>
  <c r="K112" i="59" s="1"/>
  <c r="M112" i="59" s="1"/>
  <c r="S113" i="59"/>
  <c r="AC113" i="59" s="1"/>
  <c r="AP113" i="59"/>
  <c r="AR113" i="59" s="1"/>
  <c r="AG112" i="59"/>
  <c r="AH112" i="59" s="1"/>
  <c r="AG113" i="59"/>
  <c r="AH113" i="59" s="1"/>
  <c r="AA113" i="59"/>
  <c r="AB113" i="59" s="1"/>
  <c r="K113" i="59" s="1"/>
  <c r="AL112" i="59"/>
  <c r="AE112" i="59" s="1"/>
  <c r="AI112" i="59"/>
  <c r="AJ112" i="59" s="1"/>
  <c r="X112" i="59"/>
  <c r="Y112" i="59" s="1"/>
  <c r="G113" i="59"/>
  <c r="D114" i="59"/>
  <c r="B114" i="59"/>
  <c r="AL113" i="59"/>
  <c r="AE113" i="59" s="1"/>
  <c r="X64" i="59"/>
  <c r="Y64" i="59" s="1"/>
  <c r="AG64" i="59"/>
  <c r="AH64" i="59" s="1"/>
  <c r="AI64" i="59"/>
  <c r="AJ64" i="59" s="1"/>
  <c r="BA65" i="59"/>
  <c r="X68" i="59"/>
  <c r="Y68" i="59" s="1"/>
  <c r="AG68" i="59"/>
  <c r="AH68" i="59" s="1"/>
  <c r="J109" i="59"/>
  <c r="G109" i="59"/>
  <c r="AM108" i="59"/>
  <c r="AF108" i="59" s="1"/>
  <c r="V108" i="59"/>
  <c r="Q108" i="59" s="1"/>
  <c r="G110" i="59"/>
  <c r="AI109" i="59"/>
  <c r="AJ109" i="59" s="1"/>
  <c r="AM109" i="59"/>
  <c r="AF109" i="59" s="1"/>
  <c r="B110" i="59"/>
  <c r="D109" i="59"/>
  <c r="T109" i="59" s="1"/>
  <c r="U109" i="59" s="1"/>
  <c r="AG108" i="59"/>
  <c r="AH108" i="59" s="1"/>
  <c r="AN109" i="59"/>
  <c r="AO109" i="59" s="1"/>
  <c r="AS109" i="59" s="1"/>
  <c r="AU110" i="59" s="1"/>
  <c r="X108" i="59"/>
  <c r="Y108" i="59" s="1"/>
  <c r="V109" i="59"/>
  <c r="Q109" i="59" s="1"/>
  <c r="AA109" i="59"/>
  <c r="AB109" i="59" s="1"/>
  <c r="K109" i="59" s="1"/>
  <c r="X94" i="59"/>
  <c r="Y94" i="59" s="1"/>
  <c r="BA95" i="59"/>
  <c r="AN75" i="45"/>
  <c r="AP75" i="45" s="1"/>
  <c r="AG75" i="45"/>
  <c r="AH75" i="45" s="1"/>
  <c r="AL75" i="45"/>
  <c r="AM75" i="45" s="1"/>
  <c r="AQ75" i="45" s="1"/>
  <c r="AS76" i="45" s="1"/>
  <c r="AE52" i="1"/>
  <c r="AF52" i="1" s="1"/>
  <c r="AE26" i="51"/>
  <c r="AF26" i="51" s="1"/>
  <c r="Z26" i="51"/>
  <c r="AA26" i="51" s="1"/>
  <c r="J26" i="51" s="1"/>
  <c r="W119" i="59"/>
  <c r="R119" i="59" s="1"/>
  <c r="AL119" i="59"/>
  <c r="AE119" i="59" s="1"/>
  <c r="X119" i="59"/>
  <c r="Y119" i="59" s="1"/>
  <c r="BA103" i="59"/>
  <c r="W103" i="59"/>
  <c r="R103" i="59" s="1"/>
  <c r="V103" i="59"/>
  <c r="Q103" i="59" s="1"/>
  <c r="AE27" i="49"/>
  <c r="AF27" i="49" s="1"/>
  <c r="Z27" i="49"/>
  <c r="AA27" i="49" s="1"/>
  <c r="J27" i="49" s="1"/>
  <c r="AK72" i="45"/>
  <c r="AD72" i="45" s="1"/>
  <c r="AY73" i="45"/>
  <c r="Z79" i="45"/>
  <c r="AA79" i="45" s="1"/>
  <c r="J79" i="45" s="1"/>
  <c r="R80" i="45"/>
  <c r="AI80" i="45" s="1"/>
  <c r="AE65" i="51"/>
  <c r="AF65" i="51" s="1"/>
  <c r="AY66" i="51"/>
  <c r="W52" i="1"/>
  <c r="X52" i="1" s="1"/>
  <c r="AE77" i="51"/>
  <c r="AF77" i="51" s="1"/>
  <c r="AM115" i="59"/>
  <c r="AF115" i="59" s="1"/>
  <c r="W105" i="59"/>
  <c r="R105" i="59" s="1"/>
  <c r="W26" i="51"/>
  <c r="X26" i="51" s="1"/>
  <c r="AL110" i="59"/>
  <c r="AE110" i="59" s="1"/>
  <c r="AY52" i="1"/>
  <c r="BA91" i="59"/>
  <c r="G104" i="59"/>
  <c r="X76" i="59"/>
  <c r="Y76" i="59" s="1"/>
  <c r="J116" i="59"/>
  <c r="AM105" i="59"/>
  <c r="AF105" i="59" s="1"/>
  <c r="W37" i="1"/>
  <c r="X37" i="1" s="1"/>
  <c r="W36" i="51"/>
  <c r="X36" i="51" s="1"/>
  <c r="AY27" i="51"/>
  <c r="S111" i="59"/>
  <c r="AK111" i="59" s="1"/>
  <c r="W65" i="51"/>
  <c r="X65" i="51" s="1"/>
  <c r="AM104" i="59"/>
  <c r="AF104" i="59" s="1"/>
  <c r="BA68" i="59"/>
  <c r="AE69" i="39"/>
  <c r="AF69" i="39" s="1"/>
  <c r="R73" i="45"/>
  <c r="AL65" i="45"/>
  <c r="AM65" i="45" s="1"/>
  <c r="AQ65" i="45" s="1"/>
  <c r="AS66" i="45" s="1"/>
  <c r="AY65" i="45"/>
  <c r="I75" i="45"/>
  <c r="R67" i="49"/>
  <c r="AI67" i="49" s="1"/>
  <c r="W59" i="39"/>
  <c r="X59" i="39" s="1"/>
  <c r="I60" i="39"/>
  <c r="W27" i="39"/>
  <c r="X27" i="39" s="1"/>
  <c r="AY28" i="39"/>
  <c r="U79" i="3"/>
  <c r="P79" i="3" s="1"/>
  <c r="AL80" i="3"/>
  <c r="AM80" i="3" s="1"/>
  <c r="AQ80" i="3" s="1"/>
  <c r="AS81" i="3" s="1"/>
  <c r="L27" i="55"/>
  <c r="I65" i="51"/>
  <c r="I54" i="49"/>
  <c r="U74" i="45"/>
  <c r="P74" i="45" s="1"/>
  <c r="AA99" i="59"/>
  <c r="AB99" i="59" s="1"/>
  <c r="K99" i="59" s="1"/>
  <c r="D108" i="59"/>
  <c r="T108" i="59" s="1"/>
  <c r="U108" i="59" s="1"/>
  <c r="AE83" i="49"/>
  <c r="AF83" i="49" s="1"/>
  <c r="AJ75" i="53"/>
  <c r="AB75" i="53"/>
  <c r="AL72" i="49"/>
  <c r="AM72" i="49" s="1"/>
  <c r="AQ72" i="49" s="1"/>
  <c r="AS73" i="49" s="1"/>
  <c r="Z71" i="49"/>
  <c r="AA71" i="49" s="1"/>
  <c r="J71" i="49" s="1"/>
  <c r="AE32" i="49"/>
  <c r="AF32" i="49" s="1"/>
  <c r="AY33" i="49"/>
  <c r="AQ39" i="53"/>
  <c r="AP39" i="53"/>
  <c r="AE41" i="49"/>
  <c r="AF41" i="49" s="1"/>
  <c r="AY42" i="49"/>
  <c r="R69" i="49"/>
  <c r="AI69" i="49" s="1"/>
  <c r="AY69" i="49"/>
  <c r="AL69" i="49"/>
  <c r="AM69" i="49" s="1"/>
  <c r="AQ69" i="49" s="1"/>
  <c r="AS70" i="49" s="1"/>
  <c r="AE45" i="49"/>
  <c r="AF45" i="49" s="1"/>
  <c r="I46" i="49"/>
  <c r="AY46" i="49"/>
  <c r="AN55" i="45"/>
  <c r="AP55" i="45" s="1"/>
  <c r="R55" i="45"/>
  <c r="AI55" i="45" s="1"/>
  <c r="F77" i="45"/>
  <c r="AJ76" i="45"/>
  <c r="AC76" i="45" s="1"/>
  <c r="V76" i="45"/>
  <c r="Q76" i="45" s="1"/>
  <c r="U76" i="45"/>
  <c r="P76" i="45" s="1"/>
  <c r="R76" i="45"/>
  <c r="AB76" i="45" s="1"/>
  <c r="B76" i="45"/>
  <c r="AK75" i="45"/>
  <c r="AD75" i="45" s="1"/>
  <c r="V75" i="45"/>
  <c r="Q75" i="45" s="1"/>
  <c r="AE76" i="45"/>
  <c r="AF76" i="45" s="1"/>
  <c r="W75" i="45"/>
  <c r="X75" i="45" s="1"/>
  <c r="I76" i="45"/>
  <c r="AN76" i="45"/>
  <c r="AP76" i="45" s="1"/>
  <c r="AE75" i="45"/>
  <c r="AF75" i="45" s="1"/>
  <c r="B86" i="45"/>
  <c r="AK85" i="45"/>
  <c r="AD85" i="45" s="1"/>
  <c r="AY85" i="45"/>
  <c r="F86" i="45"/>
  <c r="U85" i="45"/>
  <c r="P85" i="45" s="1"/>
  <c r="AN85" i="45"/>
  <c r="AP85" i="45" s="1"/>
  <c r="B85" i="45"/>
  <c r="R85" i="45"/>
  <c r="AI85" i="45" s="1"/>
  <c r="AG84" i="45"/>
  <c r="AH84" i="45" s="1"/>
  <c r="V85" i="45"/>
  <c r="Q85" i="45" s="1"/>
  <c r="W84" i="45"/>
  <c r="X84" i="45" s="1"/>
  <c r="AL85" i="45"/>
  <c r="AM85" i="45" s="1"/>
  <c r="AQ85" i="45" s="1"/>
  <c r="D86" i="45"/>
  <c r="AN53" i="45"/>
  <c r="AP53" i="45" s="1"/>
  <c r="AG52" i="45"/>
  <c r="AH52" i="45" s="1"/>
  <c r="I53" i="45"/>
  <c r="I68" i="45"/>
  <c r="V68" i="45"/>
  <c r="Q68" i="45" s="1"/>
  <c r="F69" i="45"/>
  <c r="AN68" i="45"/>
  <c r="AP68" i="45" s="1"/>
  <c r="W68" i="45"/>
  <c r="X68" i="45" s="1"/>
  <c r="AJ68" i="45"/>
  <c r="AC68" i="45" s="1"/>
  <c r="R59" i="45"/>
  <c r="AI59" i="45" s="1"/>
  <c r="AN59" i="45"/>
  <c r="AP59" i="45" s="1"/>
  <c r="I59" i="45"/>
  <c r="AY28" i="51"/>
  <c r="AY46" i="51"/>
  <c r="AL106" i="59"/>
  <c r="AE106" i="59" s="1"/>
  <c r="V106" i="59"/>
  <c r="Q106" i="59" s="1"/>
  <c r="AG106" i="59"/>
  <c r="AH106" i="59" s="1"/>
  <c r="S107" i="59"/>
  <c r="AG100" i="59"/>
  <c r="AH100" i="59" s="1"/>
  <c r="G101" i="59"/>
  <c r="X100" i="59"/>
  <c r="Y100" i="59" s="1"/>
  <c r="AY73" i="1"/>
  <c r="AG31" i="39"/>
  <c r="AH31" i="39" s="1"/>
  <c r="K31" i="39" s="1"/>
  <c r="J102" i="59"/>
  <c r="AM101" i="59"/>
  <c r="AF101" i="59" s="1"/>
  <c r="V99" i="59"/>
  <c r="Q99" i="59" s="1"/>
  <c r="AG99" i="59"/>
  <c r="AH99" i="59" s="1"/>
  <c r="W62" i="51"/>
  <c r="X62" i="51" s="1"/>
  <c r="F76" i="45"/>
  <c r="D76" i="45"/>
  <c r="S76" i="45" s="1"/>
  <c r="T76" i="45" s="1"/>
  <c r="I55" i="45"/>
  <c r="AG76" i="45"/>
  <c r="AH76" i="45" s="1"/>
  <c r="B77" i="45"/>
  <c r="AK68" i="45"/>
  <c r="AD68" i="45" s="1"/>
  <c r="AN63" i="45"/>
  <c r="AP63" i="45" s="1"/>
  <c r="D63" i="45"/>
  <c r="S63" i="45" s="1"/>
  <c r="T63" i="45" s="1"/>
  <c r="AL59" i="45"/>
  <c r="AM59" i="45" s="1"/>
  <c r="B38" i="45"/>
  <c r="AL38" i="45"/>
  <c r="AM38" i="45" s="1"/>
  <c r="AQ38" i="45" s="1"/>
  <c r="AS39" i="45" s="1"/>
  <c r="AY53" i="45"/>
  <c r="Z85" i="45"/>
  <c r="AA85" i="45" s="1"/>
  <c r="J85" i="45" s="1"/>
  <c r="AE84" i="45"/>
  <c r="AF84" i="45" s="1"/>
  <c r="AG85" i="45"/>
  <c r="AH85" i="45" s="1"/>
  <c r="W32" i="49"/>
  <c r="X32" i="49" s="1"/>
  <c r="W45" i="49"/>
  <c r="X45" i="49" s="1"/>
  <c r="W41" i="49"/>
  <c r="X41" i="49" s="1"/>
  <c r="W43" i="49"/>
  <c r="X43" i="49" s="1"/>
  <c r="AJ85" i="49"/>
  <c r="AC85" i="49" s="1"/>
  <c r="AJ55" i="53"/>
  <c r="AB55" i="53"/>
  <c r="AE84" i="49"/>
  <c r="AF84" i="49" s="1"/>
  <c r="AB84" i="53"/>
  <c r="F54" i="45"/>
  <c r="AY47" i="49"/>
  <c r="AE46" i="49"/>
  <c r="AF46" i="49" s="1"/>
  <c r="U85" i="49"/>
  <c r="P85" i="49" s="1"/>
  <c r="W84" i="49"/>
  <c r="X84" i="49" s="1"/>
  <c r="AY85" i="49"/>
  <c r="AG85" i="49"/>
  <c r="AH85" i="49" s="1"/>
  <c r="AK85" i="49"/>
  <c r="AD85" i="49" s="1"/>
  <c r="AE85" i="49"/>
  <c r="AF85" i="49" s="1"/>
  <c r="D86" i="49"/>
  <c r="Z84" i="49"/>
  <c r="AA84" i="49" s="1"/>
  <c r="J84" i="49" s="1"/>
  <c r="R85" i="49"/>
  <c r="AI85" i="49" s="1"/>
  <c r="F85" i="49"/>
  <c r="B86" i="49"/>
  <c r="AL85" i="49"/>
  <c r="AM85" i="49" s="1"/>
  <c r="AQ85" i="49" s="1"/>
  <c r="I85" i="49"/>
  <c r="Z85" i="49"/>
  <c r="AA85" i="49" s="1"/>
  <c r="J85" i="49" s="1"/>
  <c r="AE29" i="49"/>
  <c r="AF29" i="49" s="1"/>
  <c r="W29" i="49"/>
  <c r="X29" i="49" s="1"/>
  <c r="AL75" i="3"/>
  <c r="AM75" i="3" s="1"/>
  <c r="AQ75" i="3" s="1"/>
  <c r="AS76" i="3" s="1"/>
  <c r="AN75" i="3"/>
  <c r="AP75" i="3" s="1"/>
  <c r="I75" i="3"/>
  <c r="R75" i="3"/>
  <c r="AI75" i="3" s="1"/>
  <c r="Z27" i="51"/>
  <c r="AA27" i="51" s="1"/>
  <c r="J27" i="51" s="1"/>
  <c r="W27" i="51"/>
  <c r="X27" i="51" s="1"/>
  <c r="J107" i="59"/>
  <c r="W106" i="59"/>
  <c r="R106" i="59" s="1"/>
  <c r="AA106" i="59"/>
  <c r="AB106" i="59" s="1"/>
  <c r="K106" i="59" s="1"/>
  <c r="AP107" i="59"/>
  <c r="AR107" i="59" s="1"/>
  <c r="AM100" i="59"/>
  <c r="AF100" i="59" s="1"/>
  <c r="AN101" i="59"/>
  <c r="AO101" i="59" s="1"/>
  <c r="AQ101" i="59" s="1"/>
  <c r="AA100" i="59"/>
  <c r="AB100" i="59" s="1"/>
  <c r="K100" i="59" s="1"/>
  <c r="W74" i="51"/>
  <c r="X74" i="51" s="1"/>
  <c r="I73" i="51"/>
  <c r="AL101" i="59"/>
  <c r="AE101" i="59" s="1"/>
  <c r="B102" i="59"/>
  <c r="G100" i="59"/>
  <c r="AY63" i="51"/>
  <c r="AE55" i="51"/>
  <c r="AF55" i="51" s="1"/>
  <c r="U84" i="45"/>
  <c r="P84" i="45" s="1"/>
  <c r="U75" i="45"/>
  <c r="P75" i="45" s="1"/>
  <c r="AY76" i="45"/>
  <c r="AL55" i="45"/>
  <c r="AM55" i="45" s="1"/>
  <c r="D77" i="45"/>
  <c r="S77" i="45" s="1"/>
  <c r="T77" i="45" s="1"/>
  <c r="AK76" i="45"/>
  <c r="AD76" i="45" s="1"/>
  <c r="V63" i="45"/>
  <c r="Q63" i="45" s="1"/>
  <c r="AK63" i="45"/>
  <c r="AD63" i="45" s="1"/>
  <c r="AE68" i="45"/>
  <c r="AF68" i="45" s="1"/>
  <c r="B69" i="45"/>
  <c r="V62" i="45"/>
  <c r="Q62" i="45" s="1"/>
  <c r="AY59" i="45"/>
  <c r="R68" i="45"/>
  <c r="AI68" i="45" s="1"/>
  <c r="AY38" i="45"/>
  <c r="R53" i="45"/>
  <c r="AI53" i="45" s="1"/>
  <c r="V84" i="45"/>
  <c r="Q84" i="45" s="1"/>
  <c r="AJ85" i="45"/>
  <c r="AC85" i="45" s="1"/>
  <c r="D85" i="45"/>
  <c r="S85" i="45" s="1"/>
  <c r="T85" i="45" s="1"/>
  <c r="AB52" i="53"/>
  <c r="V74" i="3"/>
  <c r="Q74" i="3" s="1"/>
  <c r="W74" i="3"/>
  <c r="X74" i="3" s="1"/>
  <c r="AY81" i="49"/>
  <c r="V85" i="49"/>
  <c r="Q85" i="49" s="1"/>
  <c r="AJ84" i="49"/>
  <c r="AC84" i="49" s="1"/>
  <c r="V84" i="49"/>
  <c r="Q84" i="49" s="1"/>
  <c r="L45" i="53"/>
  <c r="S59" i="53"/>
  <c r="T59" i="53" s="1"/>
  <c r="H59" i="53"/>
  <c r="AN81" i="49"/>
  <c r="AP81" i="49" s="1"/>
  <c r="R81" i="49"/>
  <c r="AI81" i="49" s="1"/>
  <c r="AY64" i="49"/>
  <c r="B64" i="49"/>
  <c r="AN64" i="49"/>
  <c r="AP64" i="49" s="1"/>
  <c r="I43" i="49"/>
  <c r="AE42" i="49"/>
  <c r="AF42" i="49" s="1"/>
  <c r="AY43" i="49"/>
  <c r="AY49" i="49"/>
  <c r="AE48" i="49"/>
  <c r="AF48" i="49" s="1"/>
  <c r="I48" i="49"/>
  <c r="R84" i="45"/>
  <c r="AI84" i="45" s="1"/>
  <c r="F84" i="45"/>
  <c r="AN84" i="45"/>
  <c r="AP84" i="45" s="1"/>
  <c r="AJ83" i="45"/>
  <c r="AC83" i="45" s="1"/>
  <c r="AE30" i="45"/>
  <c r="AF30" i="45" s="1"/>
  <c r="W30" i="45"/>
  <c r="X30" i="45" s="1"/>
  <c r="W37" i="45"/>
  <c r="X37" i="45" s="1"/>
  <c r="AE37" i="45"/>
  <c r="AF37" i="45" s="1"/>
  <c r="AE35" i="45"/>
  <c r="AF35" i="45" s="1"/>
  <c r="AY36" i="45"/>
  <c r="W36" i="45"/>
  <c r="X36" i="45" s="1"/>
  <c r="W62" i="45"/>
  <c r="X62" i="45" s="1"/>
  <c r="B63" i="45"/>
  <c r="AG62" i="45"/>
  <c r="AH62" i="45" s="1"/>
  <c r="AK62" i="45"/>
  <c r="AD62" i="45" s="1"/>
  <c r="AG63" i="45"/>
  <c r="AH63" i="45" s="1"/>
  <c r="B64" i="45"/>
  <c r="I63" i="45"/>
  <c r="AY63" i="45"/>
  <c r="AJ62" i="45"/>
  <c r="AC62" i="45" s="1"/>
  <c r="F63" i="45"/>
  <c r="AE63" i="45"/>
  <c r="AF63" i="45" s="1"/>
  <c r="AJ63" i="45"/>
  <c r="AC63" i="45" s="1"/>
  <c r="F64" i="45"/>
  <c r="D64" i="45"/>
  <c r="S64" i="45" s="1"/>
  <c r="T64" i="45" s="1"/>
  <c r="I28" i="51"/>
  <c r="B107" i="59"/>
  <c r="G107" i="59"/>
  <c r="AI106" i="59"/>
  <c r="AJ106" i="59" s="1"/>
  <c r="AN107" i="59"/>
  <c r="AO107" i="59" s="1"/>
  <c r="AS107" i="59" s="1"/>
  <c r="AU108" i="59" s="1"/>
  <c r="BA101" i="59"/>
  <c r="AL100" i="59"/>
  <c r="AE100" i="59" s="1"/>
  <c r="W63" i="51"/>
  <c r="X63" i="51" s="1"/>
  <c r="S102" i="59"/>
  <c r="AK102" i="59" s="1"/>
  <c r="AL99" i="59"/>
  <c r="AE99" i="59" s="1"/>
  <c r="AP61" i="53"/>
  <c r="I84" i="45"/>
  <c r="Z75" i="45"/>
  <c r="AA75" i="45" s="1"/>
  <c r="J75" i="45" s="1"/>
  <c r="AJ75" i="45"/>
  <c r="AC75" i="45" s="1"/>
  <c r="AJ54" i="45"/>
  <c r="AC54" i="45" s="1"/>
  <c r="W76" i="45"/>
  <c r="X76" i="45" s="1"/>
  <c r="Z63" i="45"/>
  <c r="AA63" i="45" s="1"/>
  <c r="J63" i="45" s="1"/>
  <c r="D69" i="45"/>
  <c r="S69" i="45" s="1"/>
  <c r="T69" i="45" s="1"/>
  <c r="AG68" i="45"/>
  <c r="AH68" i="45" s="1"/>
  <c r="U68" i="45"/>
  <c r="P68" i="45" s="1"/>
  <c r="Z62" i="45"/>
  <c r="AA62" i="45" s="1"/>
  <c r="J62" i="45" s="1"/>
  <c r="R63" i="45"/>
  <c r="AI63" i="45" s="1"/>
  <c r="F59" i="45"/>
  <c r="D39" i="45"/>
  <c r="AY68" i="45"/>
  <c r="U59" i="45"/>
  <c r="P59" i="45" s="1"/>
  <c r="R38" i="45"/>
  <c r="AL53" i="45"/>
  <c r="AM53" i="45" s="1"/>
  <c r="AQ53" i="45" s="1"/>
  <c r="AS54" i="45" s="1"/>
  <c r="Z84" i="45"/>
  <c r="AA84" i="45" s="1"/>
  <c r="J84" i="45" s="1"/>
  <c r="AK84" i="45"/>
  <c r="AD84" i="45" s="1"/>
  <c r="AE85" i="45"/>
  <c r="AF85" i="45" s="1"/>
  <c r="W85" i="45"/>
  <c r="X85" i="45" s="1"/>
  <c r="AL64" i="49"/>
  <c r="AM64" i="49" s="1"/>
  <c r="AQ64" i="49" s="1"/>
  <c r="AS65" i="49" s="1"/>
  <c r="AY72" i="49"/>
  <c r="AE43" i="49"/>
  <c r="AF43" i="49" s="1"/>
  <c r="I29" i="49"/>
  <c r="AN69" i="49"/>
  <c r="AP69" i="49" s="1"/>
  <c r="AY52" i="49"/>
  <c r="AL81" i="49"/>
  <c r="AM81" i="49" s="1"/>
  <c r="AQ81" i="49" s="1"/>
  <c r="AS82" i="49" s="1"/>
  <c r="AN85" i="49"/>
  <c r="AP85" i="49" s="1"/>
  <c r="W48" i="49"/>
  <c r="X48" i="49" s="1"/>
  <c r="W85" i="49"/>
  <c r="X85" i="49" s="1"/>
  <c r="AK84" i="49"/>
  <c r="AD84" i="49" s="1"/>
  <c r="W42" i="49"/>
  <c r="X42" i="49" s="1"/>
  <c r="AB85" i="53"/>
  <c r="AN57" i="45"/>
  <c r="AP57" i="45" s="1"/>
  <c r="W42" i="45"/>
  <c r="X42" i="45" s="1"/>
  <c r="I62" i="51"/>
  <c r="AN67" i="49"/>
  <c r="AP67" i="49" s="1"/>
  <c r="X99" i="59"/>
  <c r="Y99" i="59" s="1"/>
  <c r="AL57" i="45"/>
  <c r="AM57" i="45" s="1"/>
  <c r="AQ57" i="45" s="1"/>
  <c r="AS58" i="45" s="1"/>
  <c r="AN83" i="45"/>
  <c r="AP83" i="45" s="1"/>
  <c r="AB53" i="53"/>
  <c r="G75" i="3"/>
  <c r="H72" i="53"/>
  <c r="F65" i="49"/>
  <c r="AK55" i="45"/>
  <c r="AD55" i="45" s="1"/>
  <c r="I30" i="45"/>
  <c r="M126" i="67"/>
  <c r="L69" i="53"/>
  <c r="B121" i="59"/>
  <c r="I129" i="67"/>
  <c r="AE27" i="3"/>
  <c r="AF27" i="3" s="1"/>
  <c r="W27" i="3"/>
  <c r="X27" i="3" s="1"/>
  <c r="Z27" i="3"/>
  <c r="AA27" i="3" s="1"/>
  <c r="J27" i="3" s="1"/>
  <c r="AY28" i="3"/>
  <c r="R80" i="3"/>
  <c r="AI80" i="3" s="1"/>
  <c r="AK79" i="3"/>
  <c r="AD79" i="3" s="1"/>
  <c r="AJ79" i="3"/>
  <c r="AC79" i="3" s="1"/>
  <c r="D80" i="3"/>
  <c r="S80" i="3" s="1"/>
  <c r="T80" i="3" s="1"/>
  <c r="G80" i="3"/>
  <c r="I80" i="3"/>
  <c r="B80" i="3"/>
  <c r="AG79" i="3"/>
  <c r="AH79" i="3" s="1"/>
  <c r="K79" i="3" s="1"/>
  <c r="Z79" i="3"/>
  <c r="AA79" i="3" s="1"/>
  <c r="J79" i="3" s="1"/>
  <c r="W38" i="3"/>
  <c r="X38" i="3" s="1"/>
  <c r="AE38" i="3"/>
  <c r="AF38" i="3" s="1"/>
  <c r="AG30" i="3"/>
  <c r="AH30" i="3" s="1"/>
  <c r="K30" i="3" s="1"/>
  <c r="AE30" i="3"/>
  <c r="AF30" i="3" s="1"/>
  <c r="W30" i="3"/>
  <c r="X30" i="3" s="1"/>
  <c r="I30" i="3"/>
  <c r="AB34" i="53"/>
  <c r="AB35" i="53"/>
  <c r="AJ35" i="53"/>
  <c r="X89" i="59"/>
  <c r="Y89" i="59" s="1"/>
  <c r="BA90" i="59"/>
  <c r="AY52" i="51"/>
  <c r="AG27" i="3"/>
  <c r="AH27" i="3" s="1"/>
  <c r="K27" i="3" s="1"/>
  <c r="AY80" i="3"/>
  <c r="S46" i="53"/>
  <c r="T46" i="53" s="1"/>
  <c r="H46" i="53"/>
  <c r="W54" i="39"/>
  <c r="X54" i="39" s="1"/>
  <c r="AE54" i="39"/>
  <c r="AF54" i="39" s="1"/>
  <c r="BA120" i="59"/>
  <c r="B120" i="59"/>
  <c r="V119" i="59"/>
  <c r="Q119" i="59" s="1"/>
  <c r="AP120" i="59"/>
  <c r="AR120" i="59" s="1"/>
  <c r="W110" i="59"/>
  <c r="R110" i="59" s="1"/>
  <c r="X110" i="59"/>
  <c r="Y110" i="59" s="1"/>
  <c r="BA111" i="59"/>
  <c r="D111" i="59"/>
  <c r="T111" i="59" s="1"/>
  <c r="U111" i="59" s="1"/>
  <c r="X111" i="59"/>
  <c r="Y111" i="59" s="1"/>
  <c r="AL111" i="59"/>
  <c r="AE111" i="59" s="1"/>
  <c r="D112" i="59"/>
  <c r="T112" i="59" s="1"/>
  <c r="U112" i="59" s="1"/>
  <c r="AI110" i="59"/>
  <c r="AJ110" i="59" s="1"/>
  <c r="AG110" i="59"/>
  <c r="AH110" i="59" s="1"/>
  <c r="AP111" i="59"/>
  <c r="AR111" i="59" s="1"/>
  <c r="J111" i="59"/>
  <c r="AE59" i="51"/>
  <c r="AF59" i="51" s="1"/>
  <c r="AE49" i="51"/>
  <c r="AF49" i="51" s="1"/>
  <c r="AY32" i="51"/>
  <c r="AI119" i="59"/>
  <c r="AJ119" i="59" s="1"/>
  <c r="AG119" i="59"/>
  <c r="AH119" i="59" s="1"/>
  <c r="AL121" i="59"/>
  <c r="AE121" i="59" s="1"/>
  <c r="V110" i="59"/>
  <c r="Q110" i="59" s="1"/>
  <c r="AM119" i="59"/>
  <c r="AF119" i="59" s="1"/>
  <c r="J120" i="59"/>
  <c r="AA119" i="59"/>
  <c r="AB119" i="59" s="1"/>
  <c r="K119" i="59" s="1"/>
  <c r="V121" i="59"/>
  <c r="Q121" i="59" s="1"/>
  <c r="AE57" i="51"/>
  <c r="AF57" i="51" s="1"/>
  <c r="AE51" i="51"/>
  <c r="AF51" i="51" s="1"/>
  <c r="J121" i="59"/>
  <c r="AG89" i="59"/>
  <c r="AH89" i="59" s="1"/>
  <c r="B111" i="59"/>
  <c r="G111" i="59"/>
  <c r="AG78" i="59"/>
  <c r="AH78" i="59" s="1"/>
  <c r="X78" i="59"/>
  <c r="Y78" i="59" s="1"/>
  <c r="BA78" i="59"/>
  <c r="X77" i="59"/>
  <c r="Y77" i="59" s="1"/>
  <c r="AP103" i="59"/>
  <c r="AR103" i="59" s="1"/>
  <c r="AL103" i="59"/>
  <c r="AE103" i="59" s="1"/>
  <c r="AM103" i="59"/>
  <c r="AF103" i="59" s="1"/>
  <c r="X103" i="59"/>
  <c r="Y103" i="59" s="1"/>
  <c r="AN103" i="59"/>
  <c r="AO103" i="59" s="1"/>
  <c r="G105" i="59"/>
  <c r="D105" i="59"/>
  <c r="T105" i="59" s="1"/>
  <c r="U105" i="59" s="1"/>
  <c r="AG104" i="59"/>
  <c r="AH104" i="59" s="1"/>
  <c r="AL104" i="59"/>
  <c r="AE104" i="59" s="1"/>
  <c r="V105" i="59"/>
  <c r="Q105" i="59" s="1"/>
  <c r="AL105" i="59"/>
  <c r="AE105" i="59" s="1"/>
  <c r="AA105" i="59"/>
  <c r="AB105" i="59" s="1"/>
  <c r="K105" i="59" s="1"/>
  <c r="AA104" i="59"/>
  <c r="AB104" i="59" s="1"/>
  <c r="K104" i="59" s="1"/>
  <c r="M104" i="59" s="1"/>
  <c r="S105" i="59"/>
  <c r="AK105" i="59" s="1"/>
  <c r="BA105" i="59"/>
  <c r="AI104" i="59"/>
  <c r="AJ104" i="59" s="1"/>
  <c r="AA116" i="59"/>
  <c r="AB116" i="59" s="1"/>
  <c r="K116" i="59" s="1"/>
  <c r="V115" i="59"/>
  <c r="Q115" i="59" s="1"/>
  <c r="AN116" i="59"/>
  <c r="AO116" i="59" s="1"/>
  <c r="AS116" i="59" s="1"/>
  <c r="AU117" i="59" s="1"/>
  <c r="W115" i="59"/>
  <c r="R115" i="59" s="1"/>
  <c r="D116" i="59"/>
  <c r="T116" i="59" s="1"/>
  <c r="U116" i="59" s="1"/>
  <c r="W81" i="51"/>
  <c r="X81" i="51" s="1"/>
  <c r="AE81" i="51"/>
  <c r="AF81" i="51" s="1"/>
  <c r="AE61" i="39"/>
  <c r="AF61" i="39" s="1"/>
  <c r="W61" i="39"/>
  <c r="X61" i="39" s="1"/>
  <c r="AY69" i="39"/>
  <c r="W68" i="39"/>
  <c r="X68" i="39" s="1"/>
  <c r="AR62" i="53"/>
  <c r="AT63" i="53" s="1"/>
  <c r="AP62" i="53"/>
  <c r="AE55" i="3"/>
  <c r="AF55" i="3" s="1"/>
  <c r="AY56" i="3"/>
  <c r="W55" i="3"/>
  <c r="X55" i="3" s="1"/>
  <c r="G81" i="3"/>
  <c r="Z80" i="3"/>
  <c r="AA80" i="3" s="1"/>
  <c r="J80" i="3" s="1"/>
  <c r="F81" i="3"/>
  <c r="AJ80" i="3"/>
  <c r="AC80" i="3" s="1"/>
  <c r="U80" i="3"/>
  <c r="P80" i="3" s="1"/>
  <c r="D81" i="3"/>
  <c r="S81" i="3" s="1"/>
  <c r="T81" i="3" s="1"/>
  <c r="AG80" i="3"/>
  <c r="AH80" i="3" s="1"/>
  <c r="K80" i="3" s="1"/>
  <c r="W80" i="3"/>
  <c r="X80" i="3" s="1"/>
  <c r="AY35" i="3"/>
  <c r="W34" i="3"/>
  <c r="X34" i="3" s="1"/>
  <c r="AE34" i="3"/>
  <c r="AF34" i="3" s="1"/>
  <c r="W46" i="3"/>
  <c r="X46" i="3" s="1"/>
  <c r="AY47" i="3"/>
  <c r="AM120" i="59"/>
  <c r="AF120" i="59" s="1"/>
  <c r="AG120" i="59"/>
  <c r="AH120" i="59" s="1"/>
  <c r="G121" i="59"/>
  <c r="V120" i="59"/>
  <c r="Q120" i="59" s="1"/>
  <c r="G122" i="59"/>
  <c r="AG121" i="59"/>
  <c r="AH121" i="59" s="1"/>
  <c r="AA121" i="59"/>
  <c r="AB121" i="59" s="1"/>
  <c r="K121" i="59" s="1"/>
  <c r="AL120" i="59"/>
  <c r="AE120" i="59" s="1"/>
  <c r="X120" i="59"/>
  <c r="Y120" i="59" s="1"/>
  <c r="W120" i="59"/>
  <c r="R120" i="59" s="1"/>
  <c r="AP121" i="59"/>
  <c r="AR121" i="59" s="1"/>
  <c r="AG111" i="59"/>
  <c r="AH111" i="59" s="1"/>
  <c r="X121" i="59"/>
  <c r="Y121" i="59" s="1"/>
  <c r="AM121" i="59"/>
  <c r="AF121" i="59" s="1"/>
  <c r="BA121" i="59"/>
  <c r="AI120" i="59"/>
  <c r="AJ120" i="59" s="1"/>
  <c r="J90" i="59"/>
  <c r="AM110" i="59"/>
  <c r="AF110" i="59" s="1"/>
  <c r="W59" i="51"/>
  <c r="X59" i="51" s="1"/>
  <c r="B112" i="59"/>
  <c r="I60" i="51"/>
  <c r="AI111" i="59"/>
  <c r="AJ111" i="59" s="1"/>
  <c r="G112" i="59"/>
  <c r="V111" i="59"/>
  <c r="Q111" i="59" s="1"/>
  <c r="G120" i="59"/>
  <c r="D120" i="59"/>
  <c r="T120" i="59" s="1"/>
  <c r="U120" i="59" s="1"/>
  <c r="S120" i="59"/>
  <c r="AK120" i="59" s="1"/>
  <c r="AI121" i="59"/>
  <c r="AJ121" i="59" s="1"/>
  <c r="W57" i="51"/>
  <c r="X57" i="51" s="1"/>
  <c r="AN121" i="59"/>
  <c r="AO121" i="59" s="1"/>
  <c r="AS121" i="59" s="1"/>
  <c r="AU122" i="59" s="1"/>
  <c r="D121" i="59"/>
  <c r="T121" i="59" s="1"/>
  <c r="U121" i="59" s="1"/>
  <c r="J89" i="59"/>
  <c r="AA110" i="59"/>
  <c r="AB110" i="59" s="1"/>
  <c r="K110" i="59" s="1"/>
  <c r="AN111" i="59"/>
  <c r="AO111" i="59" s="1"/>
  <c r="AS111" i="59" s="1"/>
  <c r="AU112" i="59" s="1"/>
  <c r="AY35" i="39"/>
  <c r="W55" i="1"/>
  <c r="X55" i="1" s="1"/>
  <c r="AE55" i="1"/>
  <c r="AF55" i="1" s="1"/>
  <c r="AY86" i="1"/>
  <c r="AE86" i="1"/>
  <c r="AF86" i="1" s="1"/>
  <c r="H52" i="53"/>
  <c r="AL81" i="3"/>
  <c r="AM81" i="3" s="1"/>
  <c r="AQ81" i="3" s="1"/>
  <c r="AS82" i="3" s="1"/>
  <c r="AB32" i="53"/>
  <c r="L50" i="53"/>
  <c r="H73" i="53"/>
  <c r="AJ78" i="1"/>
  <c r="AC78" i="1" s="1"/>
  <c r="I52" i="51"/>
  <c r="AK83" i="3"/>
  <c r="AD83" i="3" s="1"/>
  <c r="I27" i="3"/>
  <c r="AB43" i="53"/>
  <c r="AE78" i="3"/>
  <c r="AF78" i="3" s="1"/>
  <c r="F86" i="49"/>
  <c r="AY30" i="49"/>
  <c r="D84" i="49"/>
  <c r="S84" i="49" s="1"/>
  <c r="T84" i="49" s="1"/>
  <c r="AJ68" i="49"/>
  <c r="AC68" i="49" s="1"/>
  <c r="AK67" i="45"/>
  <c r="AD67" i="45" s="1"/>
  <c r="V41" i="45"/>
  <c r="Q41" i="45" s="1"/>
  <c r="B63" i="49"/>
  <c r="Z62" i="49"/>
  <c r="AA62" i="49" s="1"/>
  <c r="J62" i="49" s="1"/>
  <c r="L62" i="49" s="1"/>
  <c r="AJ62" i="49"/>
  <c r="AC62" i="49" s="1"/>
  <c r="F64" i="49"/>
  <c r="W63" i="49"/>
  <c r="X63" i="49" s="1"/>
  <c r="AE62" i="49"/>
  <c r="AF62" i="49" s="1"/>
  <c r="V62" i="49"/>
  <c r="Q62" i="49" s="1"/>
  <c r="D63" i="49"/>
  <c r="S63" i="49" s="1"/>
  <c r="T63" i="49" s="1"/>
  <c r="AE63" i="49"/>
  <c r="AF63" i="49" s="1"/>
  <c r="AK63" i="49"/>
  <c r="AD63" i="49" s="1"/>
  <c r="AJ63" i="49"/>
  <c r="AC63" i="49" s="1"/>
  <c r="W62" i="49"/>
  <c r="X62" i="49" s="1"/>
  <c r="F63" i="49"/>
  <c r="AY63" i="49"/>
  <c r="AN63" i="49"/>
  <c r="AP63" i="49" s="1"/>
  <c r="U63" i="49"/>
  <c r="P63" i="49" s="1"/>
  <c r="D64" i="49"/>
  <c r="S64" i="49" s="1"/>
  <c r="T64" i="49" s="1"/>
  <c r="V63" i="49"/>
  <c r="Q63" i="49" s="1"/>
  <c r="AY77" i="49"/>
  <c r="D77" i="49"/>
  <c r="S77" i="49" s="1"/>
  <c r="T77" i="49" s="1"/>
  <c r="AG76" i="49"/>
  <c r="AH76" i="49" s="1"/>
  <c r="I77" i="49"/>
  <c r="V76" i="49"/>
  <c r="Q76" i="49" s="1"/>
  <c r="U76" i="49"/>
  <c r="P76" i="49" s="1"/>
  <c r="AL77" i="49"/>
  <c r="AM77" i="49" s="1"/>
  <c r="AQ77" i="49" s="1"/>
  <c r="AS78" i="49" s="1"/>
  <c r="R77" i="49"/>
  <c r="AI77" i="49" s="1"/>
  <c r="B77" i="49"/>
  <c r="AJ76" i="49"/>
  <c r="AC76" i="49" s="1"/>
  <c r="AY36" i="49"/>
  <c r="AE35" i="49"/>
  <c r="AF35" i="49" s="1"/>
  <c r="AE58" i="49"/>
  <c r="AF58" i="49" s="1"/>
  <c r="AY59" i="49"/>
  <c r="U52" i="45"/>
  <c r="P52" i="45" s="1"/>
  <c r="AJ52" i="45"/>
  <c r="AC52" i="45" s="1"/>
  <c r="AE52" i="45"/>
  <c r="AF52" i="45" s="1"/>
  <c r="D53" i="45"/>
  <c r="S53" i="45" s="1"/>
  <c r="T53" i="45" s="1"/>
  <c r="R52" i="45"/>
  <c r="AI52" i="45" s="1"/>
  <c r="AN52" i="45"/>
  <c r="AP52" i="45" s="1"/>
  <c r="D52" i="45"/>
  <c r="S52" i="45" s="1"/>
  <c r="T52" i="45" s="1"/>
  <c r="AY52" i="45"/>
  <c r="F53" i="45"/>
  <c r="W51" i="45"/>
  <c r="X51" i="45" s="1"/>
  <c r="AG51" i="45"/>
  <c r="AH51" i="45" s="1"/>
  <c r="B52" i="45"/>
  <c r="U51" i="45"/>
  <c r="P51" i="45" s="1"/>
  <c r="AK52" i="45"/>
  <c r="AD52" i="45" s="1"/>
  <c r="B53" i="45"/>
  <c r="Z52" i="45"/>
  <c r="AA52" i="45" s="1"/>
  <c r="J52" i="45" s="1"/>
  <c r="V51" i="45"/>
  <c r="Q51" i="45" s="1"/>
  <c r="I52" i="45"/>
  <c r="Z51" i="45"/>
  <c r="AA51" i="45" s="1"/>
  <c r="J51" i="45" s="1"/>
  <c r="L51" i="45" s="1"/>
  <c r="AE51" i="45"/>
  <c r="AF51" i="45" s="1"/>
  <c r="AL66" i="45"/>
  <c r="AM66" i="45" s="1"/>
  <c r="AQ66" i="45" s="1"/>
  <c r="AS67" i="45" s="1"/>
  <c r="B66" i="45"/>
  <c r="AJ65" i="45"/>
  <c r="AC65" i="45" s="1"/>
  <c r="D66" i="45"/>
  <c r="S66" i="45" s="1"/>
  <c r="T66" i="45" s="1"/>
  <c r="AY66" i="45"/>
  <c r="V65" i="45"/>
  <c r="Q65" i="45" s="1"/>
  <c r="AN66" i="45"/>
  <c r="AP66" i="45" s="1"/>
  <c r="W65" i="45"/>
  <c r="X65" i="45" s="1"/>
  <c r="AG65" i="45"/>
  <c r="AH65" i="45" s="1"/>
  <c r="F66" i="45"/>
  <c r="R66" i="45"/>
  <c r="AI66" i="45" s="1"/>
  <c r="AE65" i="45"/>
  <c r="AF65" i="45" s="1"/>
  <c r="AY79" i="45"/>
  <c r="I79" i="45"/>
  <c r="AN79" i="45"/>
  <c r="AP79" i="45" s="1"/>
  <c r="F79" i="45"/>
  <c r="U78" i="45"/>
  <c r="P78" i="45" s="1"/>
  <c r="D79" i="45"/>
  <c r="S79" i="45" s="1"/>
  <c r="T79" i="45" s="1"/>
  <c r="W78" i="45"/>
  <c r="X78" i="45" s="1"/>
  <c r="AG78" i="45"/>
  <c r="AH78" i="45" s="1"/>
  <c r="B79" i="45"/>
  <c r="AE78" i="45"/>
  <c r="AF78" i="45" s="1"/>
  <c r="AL79" i="45"/>
  <c r="AM79" i="45" s="1"/>
  <c r="R79" i="45"/>
  <c r="AE58" i="45"/>
  <c r="AF58" i="45" s="1"/>
  <c r="AK58" i="45"/>
  <c r="AD58" i="45" s="1"/>
  <c r="AJ58" i="45"/>
  <c r="AC58" i="45" s="1"/>
  <c r="D58" i="45"/>
  <c r="S58" i="45" s="1"/>
  <c r="T58" i="45" s="1"/>
  <c r="B59" i="45"/>
  <c r="I58" i="45"/>
  <c r="V58" i="45"/>
  <c r="Q58" i="45" s="1"/>
  <c r="W58" i="45"/>
  <c r="X58" i="45" s="1"/>
  <c r="Z58" i="45"/>
  <c r="AA58" i="45" s="1"/>
  <c r="J58" i="45" s="1"/>
  <c r="R58" i="45"/>
  <c r="AB57" i="45" s="1"/>
  <c r="AN58" i="45"/>
  <c r="AP58" i="45" s="1"/>
  <c r="AY44" i="3"/>
  <c r="W43" i="3"/>
  <c r="X43" i="3" s="1"/>
  <c r="AY53" i="51"/>
  <c r="AY75" i="51"/>
  <c r="AE45" i="1"/>
  <c r="AF45" i="1" s="1"/>
  <c r="I74" i="51"/>
  <c r="W72" i="51"/>
  <c r="X72" i="51" s="1"/>
  <c r="AE63" i="51"/>
  <c r="AF63" i="51" s="1"/>
  <c r="W55" i="51"/>
  <c r="X55" i="51" s="1"/>
  <c r="W69" i="39"/>
  <c r="X69" i="39" s="1"/>
  <c r="AR65" i="53"/>
  <c r="AT66" i="53" s="1"/>
  <c r="AY26" i="45"/>
  <c r="AE66" i="45"/>
  <c r="AF66" i="45" s="1"/>
  <c r="V72" i="45"/>
  <c r="Q72" i="45" s="1"/>
  <c r="F52" i="45"/>
  <c r="AL58" i="45"/>
  <c r="AM58" i="45" s="1"/>
  <c r="AQ58" i="45" s="1"/>
  <c r="AS59" i="45" s="1"/>
  <c r="AG58" i="45"/>
  <c r="AH58" i="45" s="1"/>
  <c r="AJ40" i="45"/>
  <c r="AC40" i="45" s="1"/>
  <c r="AJ78" i="45"/>
  <c r="AC78" i="45" s="1"/>
  <c r="AY61" i="45"/>
  <c r="AK65" i="45"/>
  <c r="AD65" i="45" s="1"/>
  <c r="Z63" i="49"/>
  <c r="AA63" i="49" s="1"/>
  <c r="J63" i="49" s="1"/>
  <c r="AK76" i="49"/>
  <c r="AD76" i="49" s="1"/>
  <c r="AK62" i="49"/>
  <c r="AD62" i="49" s="1"/>
  <c r="AL63" i="49"/>
  <c r="AM63" i="49" s="1"/>
  <c r="AQ63" i="49" s="1"/>
  <c r="AS64" i="49" s="1"/>
  <c r="F77" i="49"/>
  <c r="AY66" i="49"/>
  <c r="R71" i="49"/>
  <c r="AI71" i="49" s="1"/>
  <c r="AJ71" i="49"/>
  <c r="AC71" i="49" s="1"/>
  <c r="AY71" i="49"/>
  <c r="B72" i="49"/>
  <c r="AE71" i="49"/>
  <c r="AF71" i="49" s="1"/>
  <c r="AL71" i="49"/>
  <c r="AM71" i="49" s="1"/>
  <c r="AQ71" i="49" s="1"/>
  <c r="AS72" i="49" s="1"/>
  <c r="W71" i="49"/>
  <c r="X71" i="49" s="1"/>
  <c r="AN71" i="49"/>
  <c r="AP71" i="49" s="1"/>
  <c r="D72" i="49"/>
  <c r="S72" i="49" s="1"/>
  <c r="T72" i="49" s="1"/>
  <c r="F72" i="49"/>
  <c r="U71" i="49"/>
  <c r="P71" i="49" s="1"/>
  <c r="I71" i="49"/>
  <c r="AG71" i="49"/>
  <c r="AH71" i="49" s="1"/>
  <c r="AK71" i="49"/>
  <c r="AD71" i="49" s="1"/>
  <c r="W30" i="49"/>
  <c r="X30" i="49" s="1"/>
  <c r="I30" i="49"/>
  <c r="AE30" i="49"/>
  <c r="AF30" i="49" s="1"/>
  <c r="AY31" i="49"/>
  <c r="AE38" i="49"/>
  <c r="AF38" i="49" s="1"/>
  <c r="W38" i="49"/>
  <c r="X38" i="49" s="1"/>
  <c r="F73" i="45"/>
  <c r="W72" i="45"/>
  <c r="X72" i="45" s="1"/>
  <c r="AJ72" i="45"/>
  <c r="AC72" i="45" s="1"/>
  <c r="D73" i="45"/>
  <c r="S73" i="45" s="1"/>
  <c r="T73" i="45" s="1"/>
  <c r="Z73" i="45"/>
  <c r="AA73" i="45" s="1"/>
  <c r="J73" i="45" s="1"/>
  <c r="B73" i="45"/>
  <c r="U72" i="45"/>
  <c r="P72" i="45" s="1"/>
  <c r="AL73" i="45"/>
  <c r="AM73" i="45" s="1"/>
  <c r="AG72" i="45"/>
  <c r="AH72" i="45" s="1"/>
  <c r="AE72" i="45"/>
  <c r="AF72" i="45" s="1"/>
  <c r="AN80" i="45"/>
  <c r="AP80" i="45" s="1"/>
  <c r="AL80" i="45"/>
  <c r="AM80" i="45" s="1"/>
  <c r="AQ80" i="45" s="1"/>
  <c r="AS81" i="45" s="1"/>
  <c r="W79" i="45"/>
  <c r="X79" i="45" s="1"/>
  <c r="B80" i="45"/>
  <c r="F80" i="45"/>
  <c r="AE79" i="45"/>
  <c r="AF79" i="45" s="1"/>
  <c r="AG79" i="45"/>
  <c r="AH79" i="45" s="1"/>
  <c r="V79" i="45"/>
  <c r="Q79" i="45" s="1"/>
  <c r="AY80" i="45"/>
  <c r="D80" i="45"/>
  <c r="S80" i="45" s="1"/>
  <c r="T80" i="45" s="1"/>
  <c r="U79" i="45"/>
  <c r="P79" i="45" s="1"/>
  <c r="I80" i="45"/>
  <c r="I72" i="45"/>
  <c r="AL72" i="45"/>
  <c r="AM72" i="45" s="1"/>
  <c r="AQ72" i="45" s="1"/>
  <c r="AS73" i="45" s="1"/>
  <c r="R72" i="45"/>
  <c r="V40" i="45"/>
  <c r="Q40" i="45" s="1"/>
  <c r="D41" i="45"/>
  <c r="AK40" i="45"/>
  <c r="AD40" i="45" s="1"/>
  <c r="W40" i="45"/>
  <c r="X40" i="45" s="1"/>
  <c r="AE40" i="45"/>
  <c r="AF40" i="45" s="1"/>
  <c r="Z40" i="45"/>
  <c r="AA40" i="45" s="1"/>
  <c r="J40" i="45" s="1"/>
  <c r="AN41" i="45"/>
  <c r="AP41" i="45" s="1"/>
  <c r="AY41" i="45"/>
  <c r="AL41" i="45"/>
  <c r="AM41" i="45" s="1"/>
  <c r="AQ41" i="45" s="1"/>
  <c r="AS42" i="45" s="1"/>
  <c r="F41" i="45"/>
  <c r="I41" i="45"/>
  <c r="AG40" i="45"/>
  <c r="AH40" i="45" s="1"/>
  <c r="W52" i="51"/>
  <c r="X52" i="51" s="1"/>
  <c r="AY46" i="1"/>
  <c r="AE72" i="51"/>
  <c r="AF72" i="51" s="1"/>
  <c r="AY44" i="1"/>
  <c r="I63" i="51"/>
  <c r="I70" i="39"/>
  <c r="AC125" i="67"/>
  <c r="AK125" i="67"/>
  <c r="AR52" i="53"/>
  <c r="AT53" i="53" s="1"/>
  <c r="AJ58" i="53"/>
  <c r="I26" i="45"/>
  <c r="U66" i="45"/>
  <c r="P66" i="45" s="1"/>
  <c r="Z72" i="45"/>
  <c r="AA72" i="45" s="1"/>
  <c r="J72" i="45" s="1"/>
  <c r="AN73" i="45"/>
  <c r="AP73" i="45" s="1"/>
  <c r="AJ51" i="45"/>
  <c r="AC51" i="45" s="1"/>
  <c r="U58" i="45"/>
  <c r="P58" i="45" s="1"/>
  <c r="U40" i="45"/>
  <c r="P40" i="45" s="1"/>
  <c r="Z78" i="45"/>
  <c r="AA78" i="45" s="1"/>
  <c r="J78" i="45" s="1"/>
  <c r="AY72" i="45"/>
  <c r="V52" i="45"/>
  <c r="Q52" i="45" s="1"/>
  <c r="U65" i="45"/>
  <c r="P65" i="45" s="1"/>
  <c r="AJ79" i="45"/>
  <c r="AC79" i="45" s="1"/>
  <c r="AG63" i="49"/>
  <c r="AH63" i="49" s="1"/>
  <c r="W58" i="49"/>
  <c r="X58" i="49" s="1"/>
  <c r="I51" i="49"/>
  <c r="W76" i="49"/>
  <c r="X76" i="49" s="1"/>
  <c r="U62" i="49"/>
  <c r="P62" i="49" s="1"/>
  <c r="AY39" i="49"/>
  <c r="AG66" i="49"/>
  <c r="AH66" i="49" s="1"/>
  <c r="AE43" i="3"/>
  <c r="AF43" i="3" s="1"/>
  <c r="AE83" i="3"/>
  <c r="AF83" i="3" s="1"/>
  <c r="AL84" i="3"/>
  <c r="AM84" i="3" s="1"/>
  <c r="AQ84" i="3" s="1"/>
  <c r="AS85" i="3" s="1"/>
  <c r="R84" i="3"/>
  <c r="AI84" i="3" s="1"/>
  <c r="R66" i="49"/>
  <c r="AI66" i="49" s="1"/>
  <c r="B67" i="49"/>
  <c r="D67" i="49"/>
  <c r="S67" i="49" s="1"/>
  <c r="T67" i="49" s="1"/>
  <c r="AK66" i="49"/>
  <c r="AD66" i="49" s="1"/>
  <c r="W66" i="49"/>
  <c r="X66" i="49" s="1"/>
  <c r="V66" i="49"/>
  <c r="Q66" i="49" s="1"/>
  <c r="AE66" i="49"/>
  <c r="AF66" i="49" s="1"/>
  <c r="AJ66" i="49"/>
  <c r="AC66" i="49" s="1"/>
  <c r="I66" i="49"/>
  <c r="Z66" i="49"/>
  <c r="AA66" i="49" s="1"/>
  <c r="J66" i="49" s="1"/>
  <c r="AL66" i="49"/>
  <c r="AM66" i="49" s="1"/>
  <c r="AQ66" i="49" s="1"/>
  <c r="AS67" i="49" s="1"/>
  <c r="U66" i="49"/>
  <c r="P66" i="49" s="1"/>
  <c r="U75" i="49"/>
  <c r="P75" i="49" s="1"/>
  <c r="AG75" i="49"/>
  <c r="AH75" i="49" s="1"/>
  <c r="Z75" i="49"/>
  <c r="AA75" i="49" s="1"/>
  <c r="J75" i="49" s="1"/>
  <c r="R76" i="49"/>
  <c r="AI76" i="49" s="1"/>
  <c r="I76" i="49"/>
  <c r="AL76" i="49"/>
  <c r="AM76" i="49" s="1"/>
  <c r="AQ76" i="49" s="1"/>
  <c r="AS77" i="49" s="1"/>
  <c r="F76" i="49"/>
  <c r="AK75" i="49"/>
  <c r="AD75" i="49" s="1"/>
  <c r="V75" i="49"/>
  <c r="Q75" i="49" s="1"/>
  <c r="AN76" i="49"/>
  <c r="AP76" i="49" s="1"/>
  <c r="B76" i="49"/>
  <c r="AY76" i="49"/>
  <c r="AJ75" i="49"/>
  <c r="AC75" i="49" s="1"/>
  <c r="AY28" i="49"/>
  <c r="I28" i="49"/>
  <c r="Y29" i="49" s="1"/>
  <c r="W27" i="49"/>
  <c r="X27" i="49" s="1"/>
  <c r="AG27" i="49"/>
  <c r="AH27" i="49" s="1"/>
  <c r="AU25" i="49"/>
  <c r="AV25" i="49" s="1"/>
  <c r="AW25" i="49" s="1"/>
  <c r="AX25" i="49" s="1"/>
  <c r="T25" i="49" s="1"/>
  <c r="I25" i="49" s="1"/>
  <c r="L25" i="49" s="1"/>
  <c r="AN25" i="49"/>
  <c r="AP25" i="49" s="1"/>
  <c r="AQ25" i="49" s="1"/>
  <c r="AS26" i="49" s="1"/>
  <c r="AY25" i="49"/>
  <c r="B25" i="49"/>
  <c r="AN26" i="49" s="1"/>
  <c r="AP26" i="49" s="1"/>
  <c r="AY27" i="45"/>
  <c r="Z26" i="45"/>
  <c r="AA26" i="45" s="1"/>
  <c r="J26" i="45" s="1"/>
  <c r="I27" i="45"/>
  <c r="W26" i="45"/>
  <c r="X26" i="45" s="1"/>
  <c r="AE26" i="45"/>
  <c r="AF26" i="45" s="1"/>
  <c r="B61" i="45"/>
  <c r="AL61" i="45"/>
  <c r="AM61" i="45" s="1"/>
  <c r="AQ61" i="45" s="1"/>
  <c r="AS62" i="45" s="1"/>
  <c r="V61" i="45"/>
  <c r="Q61" i="45" s="1"/>
  <c r="Z61" i="45"/>
  <c r="AA61" i="45" s="1"/>
  <c r="J61" i="45" s="1"/>
  <c r="W61" i="45"/>
  <c r="X61" i="45" s="1"/>
  <c r="AN61" i="45"/>
  <c r="AP61" i="45" s="1"/>
  <c r="AE61" i="45"/>
  <c r="AF61" i="45" s="1"/>
  <c r="AK61" i="45"/>
  <c r="AD61" i="45" s="1"/>
  <c r="R61" i="45"/>
  <c r="AI61" i="45" s="1"/>
  <c r="I61" i="45"/>
  <c r="F62" i="45"/>
  <c r="B62" i="45"/>
  <c r="D62" i="45"/>
  <c r="S62" i="45" s="1"/>
  <c r="T62" i="45" s="1"/>
  <c r="AC121" i="67"/>
  <c r="AK66" i="45"/>
  <c r="AD66" i="45" s="1"/>
  <c r="I73" i="45"/>
  <c r="AK51" i="45"/>
  <c r="AD51" i="45" s="1"/>
  <c r="AG61" i="45"/>
  <c r="AH61" i="45" s="1"/>
  <c r="R41" i="45"/>
  <c r="AI41" i="45" s="1"/>
  <c r="V78" i="45"/>
  <c r="Q78" i="45" s="1"/>
  <c r="W52" i="45"/>
  <c r="X52" i="45" s="1"/>
  <c r="Z65" i="45"/>
  <c r="AA65" i="45" s="1"/>
  <c r="J65" i="45" s="1"/>
  <c r="AK79" i="45"/>
  <c r="AD79" i="45" s="1"/>
  <c r="AE76" i="49"/>
  <c r="AF76" i="49" s="1"/>
  <c r="I63" i="49"/>
  <c r="V71" i="49"/>
  <c r="Q71" i="49" s="1"/>
  <c r="F67" i="49"/>
  <c r="D76" i="49"/>
  <c r="S76" i="49" s="1"/>
  <c r="T76" i="49" s="1"/>
  <c r="H76" i="53"/>
  <c r="H79" i="53"/>
  <c r="L66" i="53"/>
  <c r="L52" i="53"/>
  <c r="M115" i="67"/>
  <c r="M108" i="67"/>
  <c r="Z74" i="39"/>
  <c r="AA74" i="39" s="1"/>
  <c r="J74" i="39" s="1"/>
  <c r="M129" i="67"/>
  <c r="D54" i="45"/>
  <c r="U41" i="45"/>
  <c r="P41" i="45" s="1"/>
  <c r="I121" i="67"/>
  <c r="M121" i="67"/>
  <c r="AY50" i="49"/>
  <c r="W49" i="49"/>
  <c r="X49" i="49" s="1"/>
  <c r="I50" i="49"/>
  <c r="AE49" i="49"/>
  <c r="AF49" i="49" s="1"/>
  <c r="AY40" i="49"/>
  <c r="I39" i="49"/>
  <c r="W39" i="49"/>
  <c r="X39" i="49" s="1"/>
  <c r="I35" i="49"/>
  <c r="AE34" i="49"/>
  <c r="AF34" i="49" s="1"/>
  <c r="W34" i="49"/>
  <c r="X34" i="49" s="1"/>
  <c r="AG50" i="45"/>
  <c r="AH50" i="45" s="1"/>
  <c r="AK50" i="45"/>
  <c r="AD50" i="45" s="1"/>
  <c r="AJ50" i="45"/>
  <c r="AC50" i="45" s="1"/>
  <c r="B51" i="45"/>
  <c r="U50" i="45"/>
  <c r="P50" i="45" s="1"/>
  <c r="Z50" i="45"/>
  <c r="AA50" i="45" s="1"/>
  <c r="J50" i="45" s="1"/>
  <c r="AE50" i="45"/>
  <c r="AF50" i="45" s="1"/>
  <c r="W31" i="45"/>
  <c r="X31" i="45" s="1"/>
  <c r="AY32" i="45"/>
  <c r="F61" i="45"/>
  <c r="D61" i="45"/>
  <c r="S61" i="45" s="1"/>
  <c r="T61" i="45" s="1"/>
  <c r="AE60" i="45"/>
  <c r="AF60" i="45" s="1"/>
  <c r="V60" i="45"/>
  <c r="Q60" i="45" s="1"/>
  <c r="AN60" i="45"/>
  <c r="AP60" i="45" s="1"/>
  <c r="AK59" i="45"/>
  <c r="AD59" i="45" s="1"/>
  <c r="D60" i="45"/>
  <c r="S60" i="45" s="1"/>
  <c r="T60" i="45" s="1"/>
  <c r="F60" i="45"/>
  <c r="W60" i="45"/>
  <c r="X60" i="45" s="1"/>
  <c r="U60" i="45"/>
  <c r="P60" i="45" s="1"/>
  <c r="V59" i="45"/>
  <c r="Q59" i="45" s="1"/>
  <c r="AE59" i="45"/>
  <c r="AF59" i="45" s="1"/>
  <c r="AY60" i="45"/>
  <c r="Z59" i="45"/>
  <c r="AA59" i="45" s="1"/>
  <c r="J59" i="45" s="1"/>
  <c r="AG60" i="45"/>
  <c r="AH60" i="45" s="1"/>
  <c r="AJ60" i="45"/>
  <c r="AC60" i="45" s="1"/>
  <c r="AJ59" i="45"/>
  <c r="AC59" i="45" s="1"/>
  <c r="AL60" i="45"/>
  <c r="AM60" i="45" s="1"/>
  <c r="AQ60" i="45" s="1"/>
  <c r="AS61" i="45" s="1"/>
  <c r="AG59" i="45"/>
  <c r="AH59" i="45" s="1"/>
  <c r="W59" i="45"/>
  <c r="X59" i="45" s="1"/>
  <c r="I39" i="45"/>
  <c r="F39" i="45"/>
  <c r="AL39" i="45"/>
  <c r="AM39" i="45" s="1"/>
  <c r="AQ39" i="45" s="1"/>
  <c r="AS40" i="45" s="1"/>
  <c r="AE38" i="45"/>
  <c r="AF38" i="45" s="1"/>
  <c r="V39" i="45"/>
  <c r="Q39" i="45" s="1"/>
  <c r="B40" i="45"/>
  <c r="U39" i="45"/>
  <c r="P39" i="45" s="1"/>
  <c r="AN39" i="45"/>
  <c r="AP39" i="45" s="1"/>
  <c r="Z38" i="45"/>
  <c r="AA38" i="45" s="1"/>
  <c r="J38" i="45" s="1"/>
  <c r="L38" i="45" s="1"/>
  <c r="AY39" i="45"/>
  <c r="U38" i="45"/>
  <c r="P38" i="45" s="1"/>
  <c r="AJ39" i="45"/>
  <c r="AC39" i="45" s="1"/>
  <c r="Z39" i="45"/>
  <c r="AA39" i="45" s="1"/>
  <c r="J39" i="45" s="1"/>
  <c r="AJ38" i="45"/>
  <c r="AC38" i="45" s="1"/>
  <c r="AK38" i="45"/>
  <c r="AD38" i="45" s="1"/>
  <c r="W38" i="45"/>
  <c r="X38" i="45" s="1"/>
  <c r="B39" i="45"/>
  <c r="AK39" i="45"/>
  <c r="AD39" i="45" s="1"/>
  <c r="F40" i="45"/>
  <c r="AE27" i="39"/>
  <c r="AF27" i="39" s="1"/>
  <c r="AE59" i="39"/>
  <c r="AF59" i="39" s="1"/>
  <c r="AE65" i="39"/>
  <c r="AF65" i="39" s="1"/>
  <c r="AY75" i="39"/>
  <c r="AK126" i="67"/>
  <c r="AB65" i="53"/>
  <c r="AB69" i="53"/>
  <c r="F67" i="45"/>
  <c r="AJ66" i="45"/>
  <c r="AC66" i="45" s="1"/>
  <c r="W66" i="45"/>
  <c r="X66" i="45" s="1"/>
  <c r="I67" i="45"/>
  <c r="AE83" i="45"/>
  <c r="AF83" i="45" s="1"/>
  <c r="D84" i="45"/>
  <c r="S84" i="45" s="1"/>
  <c r="T84" i="45" s="1"/>
  <c r="AG83" i="45"/>
  <c r="AH83" i="45" s="1"/>
  <c r="Z83" i="45"/>
  <c r="AA83" i="45" s="1"/>
  <c r="J83" i="45" s="1"/>
  <c r="R50" i="45"/>
  <c r="AI50" i="45" s="1"/>
  <c r="AY50" i="45"/>
  <c r="I57" i="45"/>
  <c r="V54" i="45"/>
  <c r="Q54" i="45" s="1"/>
  <c r="AG54" i="45"/>
  <c r="AH54" i="45" s="1"/>
  <c r="D51" i="45"/>
  <c r="S51" i="45" s="1"/>
  <c r="T51" i="45" s="1"/>
  <c r="W50" i="45"/>
  <c r="X50" i="45" s="1"/>
  <c r="W57" i="45"/>
  <c r="X57" i="45" s="1"/>
  <c r="V38" i="45"/>
  <c r="Q38" i="45" s="1"/>
  <c r="V67" i="45"/>
  <c r="Q67" i="45" s="1"/>
  <c r="I60" i="45"/>
  <c r="Z60" i="45"/>
  <c r="AA60" i="45" s="1"/>
  <c r="J60" i="45" s="1"/>
  <c r="AY61" i="49"/>
  <c r="AE39" i="49"/>
  <c r="AF39" i="49" s="1"/>
  <c r="V74" i="49"/>
  <c r="Q74" i="49" s="1"/>
  <c r="I49" i="49"/>
  <c r="I52" i="49"/>
  <c r="I83" i="49"/>
  <c r="Z83" i="49"/>
  <c r="AA83" i="49" s="1"/>
  <c r="J83" i="49" s="1"/>
  <c r="R83" i="49"/>
  <c r="AN83" i="49"/>
  <c r="AP83" i="49" s="1"/>
  <c r="AY83" i="49"/>
  <c r="AL83" i="49"/>
  <c r="AM83" i="49" s="1"/>
  <c r="AQ83" i="49" s="1"/>
  <c r="AS84" i="49" s="1"/>
  <c r="AJ83" i="49"/>
  <c r="AC83" i="49" s="1"/>
  <c r="U83" i="49"/>
  <c r="P83" i="49" s="1"/>
  <c r="B84" i="49"/>
  <c r="AG83" i="49"/>
  <c r="AH83" i="49" s="1"/>
  <c r="V83" i="49"/>
  <c r="Q83" i="49" s="1"/>
  <c r="AK83" i="49"/>
  <c r="AD83" i="49" s="1"/>
  <c r="V77" i="49"/>
  <c r="Q77" i="49" s="1"/>
  <c r="F78" i="49"/>
  <c r="AJ77" i="49"/>
  <c r="AC77" i="49" s="1"/>
  <c r="B78" i="49"/>
  <c r="AK77" i="49"/>
  <c r="AD77" i="49" s="1"/>
  <c r="AE77" i="49"/>
  <c r="AF77" i="49" s="1"/>
  <c r="AY78" i="49"/>
  <c r="R78" i="49"/>
  <c r="AI78" i="49" s="1"/>
  <c r="AG77" i="49"/>
  <c r="AH77" i="49" s="1"/>
  <c r="U77" i="49"/>
  <c r="P77" i="49" s="1"/>
  <c r="W77" i="49"/>
  <c r="X77" i="49" s="1"/>
  <c r="AL78" i="49"/>
  <c r="AM78" i="49" s="1"/>
  <c r="AQ78" i="49" s="1"/>
  <c r="AS79" i="49" s="1"/>
  <c r="Z77" i="49"/>
  <c r="AA77" i="49" s="1"/>
  <c r="J77" i="49" s="1"/>
  <c r="B62" i="49"/>
  <c r="W61" i="49"/>
  <c r="X61" i="49" s="1"/>
  <c r="AE61" i="49"/>
  <c r="AF61" i="49" s="1"/>
  <c r="AE57" i="49"/>
  <c r="AF57" i="49" s="1"/>
  <c r="W57" i="49"/>
  <c r="X57" i="49" s="1"/>
  <c r="I58" i="49"/>
  <c r="AY38" i="49"/>
  <c r="I38" i="49"/>
  <c r="AE37" i="49"/>
  <c r="AF37" i="49" s="1"/>
  <c r="AY34" i="45"/>
  <c r="W33" i="45"/>
  <c r="X33" i="45" s="1"/>
  <c r="AG67" i="45"/>
  <c r="AH67" i="45" s="1"/>
  <c r="F68" i="45"/>
  <c r="B68" i="45"/>
  <c r="W67" i="45"/>
  <c r="X67" i="45" s="1"/>
  <c r="AJ67" i="45"/>
  <c r="AC67" i="45" s="1"/>
  <c r="Z66" i="45"/>
  <c r="AA66" i="45" s="1"/>
  <c r="J66" i="45" s="1"/>
  <c r="L66" i="45" s="1"/>
  <c r="AE67" i="45"/>
  <c r="AF67" i="45" s="1"/>
  <c r="Z67" i="45"/>
  <c r="AA67" i="45" s="1"/>
  <c r="J67" i="45" s="1"/>
  <c r="U67" i="45"/>
  <c r="P67" i="45" s="1"/>
  <c r="AE53" i="45"/>
  <c r="AF53" i="45" s="1"/>
  <c r="AJ53" i="45"/>
  <c r="AC53" i="45" s="1"/>
  <c r="R54" i="45"/>
  <c r="AG53" i="45"/>
  <c r="AH53" i="45" s="1"/>
  <c r="Z54" i="45"/>
  <c r="AA54" i="45" s="1"/>
  <c r="J54" i="45" s="1"/>
  <c r="W54" i="45"/>
  <c r="X54" i="45" s="1"/>
  <c r="B55" i="45"/>
  <c r="AK53" i="45"/>
  <c r="AD53" i="45" s="1"/>
  <c r="W53" i="45"/>
  <c r="X53" i="45" s="1"/>
  <c r="AY54" i="45"/>
  <c r="Z53" i="45"/>
  <c r="AA53" i="45" s="1"/>
  <c r="J53" i="45" s="1"/>
  <c r="F55" i="45"/>
  <c r="U54" i="45"/>
  <c r="P54" i="45" s="1"/>
  <c r="D55" i="45"/>
  <c r="I54" i="45"/>
  <c r="AL54" i="45"/>
  <c r="AM54" i="45" s="1"/>
  <c r="AQ54" i="45" s="1"/>
  <c r="AS55" i="45" s="1"/>
  <c r="V53" i="45"/>
  <c r="Q53" i="45" s="1"/>
  <c r="B54" i="45"/>
  <c r="V42" i="45"/>
  <c r="Q42" i="45" s="1"/>
  <c r="Z42" i="45"/>
  <c r="AA42" i="45" s="1"/>
  <c r="J42" i="45" s="1"/>
  <c r="U42" i="45"/>
  <c r="P42" i="45" s="1"/>
  <c r="I43" i="45"/>
  <c r="U43" i="45"/>
  <c r="P43" i="45" s="1"/>
  <c r="W43" i="45"/>
  <c r="X43" i="45" s="1"/>
  <c r="AJ43" i="45"/>
  <c r="AC43" i="45" s="1"/>
  <c r="R43" i="45"/>
  <c r="AY43" i="45"/>
  <c r="AJ42" i="45"/>
  <c r="AC42" i="45" s="1"/>
  <c r="AK42" i="45"/>
  <c r="AD42" i="45" s="1"/>
  <c r="AG43" i="45"/>
  <c r="AH43" i="45" s="1"/>
  <c r="AE43" i="45"/>
  <c r="AF43" i="45" s="1"/>
  <c r="Z43" i="45"/>
  <c r="AA43" i="45" s="1"/>
  <c r="J43" i="45" s="1"/>
  <c r="B44" i="45"/>
  <c r="D43" i="45"/>
  <c r="B43" i="45"/>
  <c r="AN43" i="45"/>
  <c r="AP43" i="45" s="1"/>
  <c r="F43" i="45"/>
  <c r="AK43" i="45"/>
  <c r="AD43" i="45" s="1"/>
  <c r="AL42" i="45"/>
  <c r="AM42" i="45" s="1"/>
  <c r="AQ42" i="45" s="1"/>
  <c r="AS43" i="45" s="1"/>
  <c r="I42" i="45"/>
  <c r="AE41" i="45"/>
  <c r="AF41" i="45" s="1"/>
  <c r="AG41" i="45"/>
  <c r="AH41" i="45" s="1"/>
  <c r="W41" i="45"/>
  <c r="X41" i="45" s="1"/>
  <c r="AK41" i="45"/>
  <c r="AD41" i="45" s="1"/>
  <c r="AJ41" i="45"/>
  <c r="AC41" i="45" s="1"/>
  <c r="R42" i="45"/>
  <c r="AI42" i="45" s="1"/>
  <c r="B42" i="45"/>
  <c r="AY42" i="45"/>
  <c r="Z41" i="45"/>
  <c r="AA41" i="45" s="1"/>
  <c r="J41" i="45" s="1"/>
  <c r="AN42" i="45"/>
  <c r="AP42" i="45" s="1"/>
  <c r="D83" i="45"/>
  <c r="S83" i="45" s="1"/>
  <c r="T83" i="45" s="1"/>
  <c r="AJ82" i="45"/>
  <c r="AC82" i="45" s="1"/>
  <c r="AG82" i="45"/>
  <c r="AH82" i="45" s="1"/>
  <c r="R83" i="45"/>
  <c r="Z82" i="45"/>
  <c r="AA82" i="45" s="1"/>
  <c r="J82" i="45" s="1"/>
  <c r="L82" i="45" s="1"/>
  <c r="AL83" i="45"/>
  <c r="AM83" i="45" s="1"/>
  <c r="AE82" i="45"/>
  <c r="AF82" i="45" s="1"/>
  <c r="AK82" i="45"/>
  <c r="AD82" i="45" s="1"/>
  <c r="I83" i="45"/>
  <c r="F83" i="45"/>
  <c r="W82" i="45"/>
  <c r="X82" i="45" s="1"/>
  <c r="B83" i="45"/>
  <c r="AY70" i="3"/>
  <c r="AE69" i="3"/>
  <c r="AF69" i="3" s="1"/>
  <c r="W69" i="3"/>
  <c r="X69" i="3" s="1"/>
  <c r="AY34" i="1"/>
  <c r="Z27" i="39"/>
  <c r="AA27" i="39" s="1"/>
  <c r="J27" i="39" s="1"/>
  <c r="AY60" i="39"/>
  <c r="AL75" i="39"/>
  <c r="AM75" i="39" s="1"/>
  <c r="AO75" i="39" s="1"/>
  <c r="R75" i="39"/>
  <c r="AI75" i="39" s="1"/>
  <c r="D76" i="39"/>
  <c r="S76" i="39" s="1"/>
  <c r="T76" i="39" s="1"/>
  <c r="AQ125" i="67"/>
  <c r="AY67" i="45"/>
  <c r="AG66" i="45"/>
  <c r="AH66" i="45" s="1"/>
  <c r="AL67" i="45"/>
  <c r="AM67" i="45" s="1"/>
  <c r="AQ67" i="45" s="1"/>
  <c r="AS68" i="45" s="1"/>
  <c r="V66" i="45"/>
  <c r="Q66" i="45" s="1"/>
  <c r="W83" i="45"/>
  <c r="X83" i="45" s="1"/>
  <c r="U83" i="45"/>
  <c r="P83" i="45" s="1"/>
  <c r="B84" i="45"/>
  <c r="AN50" i="45"/>
  <c r="AP50" i="45" s="1"/>
  <c r="AE54" i="45"/>
  <c r="AF54" i="45" s="1"/>
  <c r="AE33" i="45"/>
  <c r="AF33" i="45" s="1"/>
  <c r="AE39" i="45"/>
  <c r="AF39" i="45" s="1"/>
  <c r="AG39" i="45"/>
  <c r="AH39" i="45" s="1"/>
  <c r="AY83" i="45"/>
  <c r="R39" i="45"/>
  <c r="D42" i="45"/>
  <c r="D68" i="45"/>
  <c r="S68" i="45" s="1"/>
  <c r="T68" i="45" s="1"/>
  <c r="B60" i="45"/>
  <c r="AG42" i="45"/>
  <c r="AH42" i="45" s="1"/>
  <c r="U53" i="45"/>
  <c r="P53" i="45" s="1"/>
  <c r="W83" i="49"/>
  <c r="X83" i="49" s="1"/>
  <c r="F69" i="49"/>
  <c r="I61" i="49"/>
  <c r="D78" i="49"/>
  <c r="S78" i="49" s="1"/>
  <c r="T78" i="49" s="1"/>
  <c r="V68" i="49"/>
  <c r="Q68" i="49" s="1"/>
  <c r="AG67" i="49"/>
  <c r="AH67" i="49" s="1"/>
  <c r="U68" i="49"/>
  <c r="P68" i="49" s="1"/>
  <c r="AE76" i="3"/>
  <c r="AF76" i="3" s="1"/>
  <c r="AJ75" i="3"/>
  <c r="AC75" i="3" s="1"/>
  <c r="AY45" i="49"/>
  <c r="AE44" i="49"/>
  <c r="AF44" i="49" s="1"/>
  <c r="W44" i="49"/>
  <c r="X44" i="49" s="1"/>
  <c r="I44" i="49"/>
  <c r="AN68" i="49"/>
  <c r="AP68" i="49" s="1"/>
  <c r="AK68" i="49"/>
  <c r="AD68" i="49" s="1"/>
  <c r="Z67" i="49"/>
  <c r="AA67" i="49" s="1"/>
  <c r="J67" i="49" s="1"/>
  <c r="W67" i="49"/>
  <c r="X67" i="49" s="1"/>
  <c r="B68" i="49"/>
  <c r="AY68" i="49"/>
  <c r="F68" i="49"/>
  <c r="AL68" i="49"/>
  <c r="AM68" i="49" s="1"/>
  <c r="AQ68" i="49" s="1"/>
  <c r="AS69" i="49" s="1"/>
  <c r="D69" i="49"/>
  <c r="S69" i="49" s="1"/>
  <c r="T69" i="49" s="1"/>
  <c r="AE67" i="49"/>
  <c r="AF67" i="49" s="1"/>
  <c r="Z68" i="49"/>
  <c r="AA68" i="49" s="1"/>
  <c r="J68" i="49" s="1"/>
  <c r="AJ67" i="49"/>
  <c r="AC67" i="49" s="1"/>
  <c r="B69" i="49"/>
  <c r="I68" i="49"/>
  <c r="AG68" i="49"/>
  <c r="AH68" i="49" s="1"/>
  <c r="V67" i="49"/>
  <c r="Q67" i="49" s="1"/>
  <c r="D68" i="49"/>
  <c r="S68" i="49" s="1"/>
  <c r="T68" i="49" s="1"/>
  <c r="R68" i="49"/>
  <c r="AI68" i="49" s="1"/>
  <c r="W68" i="49"/>
  <c r="X68" i="49" s="1"/>
  <c r="AK74" i="49"/>
  <c r="AD74" i="49" s="1"/>
  <c r="R74" i="49"/>
  <c r="AI74" i="49" s="1"/>
  <c r="AL74" i="49"/>
  <c r="AM74" i="49" s="1"/>
  <c r="AQ74" i="49" s="1"/>
  <c r="AS75" i="49" s="1"/>
  <c r="D75" i="49"/>
  <c r="S75" i="49" s="1"/>
  <c r="T75" i="49" s="1"/>
  <c r="W74" i="49"/>
  <c r="X74" i="49" s="1"/>
  <c r="AN74" i="49"/>
  <c r="AP74" i="49" s="1"/>
  <c r="Z74" i="49"/>
  <c r="AA74" i="49" s="1"/>
  <c r="J74" i="49" s="1"/>
  <c r="L74" i="49" s="1"/>
  <c r="AE74" i="49"/>
  <c r="AF74" i="49" s="1"/>
  <c r="U74" i="49"/>
  <c r="P74" i="49" s="1"/>
  <c r="B75" i="49"/>
  <c r="F75" i="49"/>
  <c r="AG74" i="49"/>
  <c r="AH74" i="49" s="1"/>
  <c r="AY74" i="49"/>
  <c r="W33" i="49"/>
  <c r="X33" i="49" s="1"/>
  <c r="AE33" i="49"/>
  <c r="AF33" i="49" s="1"/>
  <c r="AY34" i="49"/>
  <c r="I33" i="49"/>
  <c r="F58" i="45"/>
  <c r="AJ57" i="45"/>
  <c r="AC57" i="45" s="1"/>
  <c r="U57" i="45"/>
  <c r="P57" i="45" s="1"/>
  <c r="AK57" i="45"/>
  <c r="AD57" i="45" s="1"/>
  <c r="Z57" i="45"/>
  <c r="AA57" i="45" s="1"/>
  <c r="J57" i="45" s="1"/>
  <c r="V57" i="45"/>
  <c r="Q57" i="45" s="1"/>
  <c r="AE57" i="45"/>
  <c r="AF57" i="45" s="1"/>
  <c r="AG57" i="45"/>
  <c r="AH57" i="45" s="1"/>
  <c r="B58" i="45"/>
  <c r="AE33" i="1"/>
  <c r="AF33" i="1" s="1"/>
  <c r="AG27" i="39"/>
  <c r="AH27" i="39" s="1"/>
  <c r="K27" i="39" s="1"/>
  <c r="I75" i="39"/>
  <c r="D67" i="45"/>
  <c r="S67" i="45" s="1"/>
  <c r="T67" i="45" s="1"/>
  <c r="AN67" i="45"/>
  <c r="AP67" i="45" s="1"/>
  <c r="R67" i="45"/>
  <c r="AI67" i="45" s="1"/>
  <c r="V83" i="45"/>
  <c r="Q83" i="45" s="1"/>
  <c r="AK83" i="45"/>
  <c r="AD83" i="45" s="1"/>
  <c r="I50" i="45"/>
  <c r="AY57" i="45"/>
  <c r="V56" i="45"/>
  <c r="Q56" i="45" s="1"/>
  <c r="AK54" i="45"/>
  <c r="AD54" i="45" s="1"/>
  <c r="D40" i="45"/>
  <c r="V50" i="45"/>
  <c r="Q50" i="45" s="1"/>
  <c r="F44" i="45"/>
  <c r="D44" i="45"/>
  <c r="U82" i="45"/>
  <c r="P82" i="45" s="1"/>
  <c r="AG38" i="45"/>
  <c r="AH38" i="45" s="1"/>
  <c r="F42" i="45"/>
  <c r="R60" i="45"/>
  <c r="AE42" i="45"/>
  <c r="AF42" i="45" s="1"/>
  <c r="AE31" i="45"/>
  <c r="AF31" i="45" s="1"/>
  <c r="AN54" i="45"/>
  <c r="AP54" i="45" s="1"/>
  <c r="F84" i="49"/>
  <c r="AP48" i="53"/>
  <c r="U67" i="49"/>
  <c r="P67" i="49" s="1"/>
  <c r="AK67" i="49"/>
  <c r="AD67" i="49" s="1"/>
  <c r="AE68" i="49"/>
  <c r="AF68" i="49" s="1"/>
  <c r="I34" i="49"/>
  <c r="W37" i="49"/>
  <c r="X37" i="49" s="1"/>
  <c r="L73" i="53"/>
  <c r="L48" i="53"/>
  <c r="L79" i="53"/>
  <c r="L60" i="53"/>
  <c r="L43" i="53"/>
  <c r="L75" i="53"/>
  <c r="H62" i="53"/>
  <c r="AB51" i="53"/>
  <c r="H41" i="53"/>
  <c r="L65" i="53"/>
  <c r="L68" i="53"/>
  <c r="AE81" i="49"/>
  <c r="AF81" i="49" s="1"/>
  <c r="AJ74" i="49"/>
  <c r="AC74" i="49" s="1"/>
  <c r="L38" i="53"/>
  <c r="AJ70" i="49"/>
  <c r="AC70" i="49" s="1"/>
  <c r="AK65" i="49"/>
  <c r="AD65" i="49" s="1"/>
  <c r="I125" i="67"/>
  <c r="AE55" i="49"/>
  <c r="AF55" i="49" s="1"/>
  <c r="W55" i="49"/>
  <c r="X55" i="49" s="1"/>
  <c r="AL80" i="49"/>
  <c r="AM80" i="49" s="1"/>
  <c r="AQ80" i="49" s="1"/>
  <c r="AS81" i="49" s="1"/>
  <c r="U79" i="49"/>
  <c r="P79" i="49" s="1"/>
  <c r="B81" i="49"/>
  <c r="Z79" i="49"/>
  <c r="AA79" i="49" s="1"/>
  <c r="J79" i="49" s="1"/>
  <c r="AE71" i="45"/>
  <c r="AF71" i="45" s="1"/>
  <c r="W71" i="45"/>
  <c r="X71" i="45" s="1"/>
  <c r="D72" i="45"/>
  <c r="S72" i="45" s="1"/>
  <c r="T72" i="45" s="1"/>
  <c r="AG70" i="45"/>
  <c r="AH70" i="45" s="1"/>
  <c r="B71" i="45"/>
  <c r="AK70" i="45"/>
  <c r="AD70" i="45" s="1"/>
  <c r="D71" i="45"/>
  <c r="S71" i="45" s="1"/>
  <c r="T71" i="45" s="1"/>
  <c r="B72" i="45"/>
  <c r="F72" i="45"/>
  <c r="AG71" i="45"/>
  <c r="AH71" i="45" s="1"/>
  <c r="Z70" i="45"/>
  <c r="AA70" i="45" s="1"/>
  <c r="J70" i="45" s="1"/>
  <c r="AL71" i="45"/>
  <c r="AM71" i="45" s="1"/>
  <c r="AQ71" i="45" s="1"/>
  <c r="AS72" i="45" s="1"/>
  <c r="R71" i="45"/>
  <c r="AI71" i="45" s="1"/>
  <c r="U70" i="45"/>
  <c r="P70" i="45" s="1"/>
  <c r="Z71" i="45"/>
  <c r="AA71" i="45" s="1"/>
  <c r="J71" i="45" s="1"/>
  <c r="U71" i="45"/>
  <c r="P71" i="45" s="1"/>
  <c r="AY71" i="45"/>
  <c r="F71" i="45"/>
  <c r="AN71" i="45"/>
  <c r="AP71" i="45" s="1"/>
  <c r="I71" i="45"/>
  <c r="B47" i="45"/>
  <c r="AY47" i="45"/>
  <c r="AG46" i="45"/>
  <c r="AH46" i="45" s="1"/>
  <c r="AE46" i="45"/>
  <c r="AF46" i="45" s="1"/>
  <c r="D47" i="45"/>
  <c r="F47" i="45"/>
  <c r="R47" i="45"/>
  <c r="AI47" i="45" s="1"/>
  <c r="AJ46" i="45"/>
  <c r="AC46" i="45" s="1"/>
  <c r="AN47" i="45"/>
  <c r="AP47" i="45" s="1"/>
  <c r="Z46" i="45"/>
  <c r="AA46" i="45" s="1"/>
  <c r="J46" i="45" s="1"/>
  <c r="U46" i="45"/>
  <c r="P46" i="45" s="1"/>
  <c r="V46" i="45"/>
  <c r="Q46" i="45" s="1"/>
  <c r="AE32" i="45"/>
  <c r="AF32" i="45" s="1"/>
  <c r="AY33" i="45"/>
  <c r="AY70" i="45"/>
  <c r="I70" i="45"/>
  <c r="V69" i="45"/>
  <c r="Q69" i="45" s="1"/>
  <c r="B70" i="45"/>
  <c r="AE69" i="45"/>
  <c r="AF69" i="45" s="1"/>
  <c r="R70" i="45"/>
  <c r="AI70" i="45" s="1"/>
  <c r="F70" i="45"/>
  <c r="AL70" i="45"/>
  <c r="AM70" i="45" s="1"/>
  <c r="AQ70" i="45" s="1"/>
  <c r="AS71" i="45" s="1"/>
  <c r="D70" i="45"/>
  <c r="S70" i="45" s="1"/>
  <c r="T70" i="45" s="1"/>
  <c r="U69" i="45"/>
  <c r="P69" i="45" s="1"/>
  <c r="AJ69" i="45"/>
  <c r="AC69" i="45" s="1"/>
  <c r="AK69" i="45"/>
  <c r="AD69" i="45" s="1"/>
  <c r="Z55" i="45"/>
  <c r="AA55" i="45" s="1"/>
  <c r="J55" i="45" s="1"/>
  <c r="U55" i="45"/>
  <c r="P55" i="45" s="1"/>
  <c r="AG55" i="45"/>
  <c r="AH55" i="45" s="1"/>
  <c r="AE55" i="45"/>
  <c r="AF55" i="45" s="1"/>
  <c r="AE56" i="45"/>
  <c r="AF56" i="45" s="1"/>
  <c r="AJ56" i="45"/>
  <c r="AC56" i="45" s="1"/>
  <c r="D57" i="45"/>
  <c r="S57" i="45" s="1"/>
  <c r="T57" i="45" s="1"/>
  <c r="R56" i="45"/>
  <c r="AB56" i="45" s="1"/>
  <c r="AN56" i="45"/>
  <c r="AP56" i="45" s="1"/>
  <c r="AJ55" i="45"/>
  <c r="AC55" i="45" s="1"/>
  <c r="AL56" i="45"/>
  <c r="AM56" i="45" s="1"/>
  <c r="U56" i="45"/>
  <c r="P56" i="45" s="1"/>
  <c r="Z56" i="45"/>
  <c r="AA56" i="45" s="1"/>
  <c r="J56" i="45" s="1"/>
  <c r="W56" i="45"/>
  <c r="X56" i="45" s="1"/>
  <c r="AG56" i="45"/>
  <c r="AH56" i="45" s="1"/>
  <c r="W55" i="45"/>
  <c r="X55" i="45" s="1"/>
  <c r="F56" i="45"/>
  <c r="AY56" i="45"/>
  <c r="V55" i="45"/>
  <c r="Q55" i="45" s="1"/>
  <c r="F57" i="45"/>
  <c r="AY30" i="45"/>
  <c r="AE29" i="45"/>
  <c r="AF29" i="45" s="1"/>
  <c r="AN74" i="45"/>
  <c r="AP74" i="45" s="1"/>
  <c r="AG73" i="45"/>
  <c r="AH73" i="45" s="1"/>
  <c r="F74" i="45"/>
  <c r="U73" i="45"/>
  <c r="P73" i="45" s="1"/>
  <c r="W74" i="45"/>
  <c r="X74" i="45" s="1"/>
  <c r="AJ73" i="45"/>
  <c r="AC73" i="45" s="1"/>
  <c r="I74" i="45"/>
  <c r="AE73" i="45"/>
  <c r="AF73" i="45" s="1"/>
  <c r="B74" i="45"/>
  <c r="V74" i="45"/>
  <c r="Q74" i="45" s="1"/>
  <c r="F75" i="45"/>
  <c r="D75" i="45"/>
  <c r="S75" i="45" s="1"/>
  <c r="T75" i="45" s="1"/>
  <c r="B75" i="45"/>
  <c r="R74" i="45"/>
  <c r="AB74" i="45" s="1"/>
  <c r="AL74" i="45"/>
  <c r="AM74" i="45" s="1"/>
  <c r="AQ74" i="45" s="1"/>
  <c r="AS75" i="45" s="1"/>
  <c r="AK73" i="45"/>
  <c r="AD73" i="45" s="1"/>
  <c r="W73" i="45"/>
  <c r="X73" i="45" s="1"/>
  <c r="AK74" i="45"/>
  <c r="AD74" i="45" s="1"/>
  <c r="Z74" i="45"/>
  <c r="AA74" i="45" s="1"/>
  <c r="J74" i="45" s="1"/>
  <c r="AG74" i="45"/>
  <c r="AH74" i="45" s="1"/>
  <c r="W34" i="45"/>
  <c r="X34" i="45" s="1"/>
  <c r="AE34" i="45"/>
  <c r="AF34" i="45" s="1"/>
  <c r="Z28" i="45"/>
  <c r="AA28" i="45" s="1"/>
  <c r="J28" i="45" s="1"/>
  <c r="AG28" i="45"/>
  <c r="AH28" i="45" s="1"/>
  <c r="W28" i="45"/>
  <c r="X28" i="45" s="1"/>
  <c r="I28" i="45"/>
  <c r="Y29" i="45" s="1"/>
  <c r="AG29" i="45" s="1"/>
  <c r="AH29" i="45" s="1"/>
  <c r="AY29" i="45"/>
  <c r="AE28" i="45"/>
  <c r="AF28" i="45" s="1"/>
  <c r="AK44" i="45"/>
  <c r="AD44" i="45" s="1"/>
  <c r="D45" i="45"/>
  <c r="R45" i="45"/>
  <c r="W44" i="45"/>
  <c r="X44" i="45" s="1"/>
  <c r="AK45" i="45"/>
  <c r="AD45" i="45" s="1"/>
  <c r="W45" i="45"/>
  <c r="X45" i="45" s="1"/>
  <c r="D46" i="45"/>
  <c r="AJ45" i="45"/>
  <c r="AC45" i="45" s="1"/>
  <c r="F45" i="45"/>
  <c r="U44" i="45"/>
  <c r="P44" i="45" s="1"/>
  <c r="Z44" i="45"/>
  <c r="AA44" i="45" s="1"/>
  <c r="J44" i="45" s="1"/>
  <c r="V44" i="45"/>
  <c r="Q44" i="45" s="1"/>
  <c r="F46" i="45"/>
  <c r="AE45" i="45"/>
  <c r="AF45" i="45" s="1"/>
  <c r="AY45" i="45"/>
  <c r="I45" i="45"/>
  <c r="AG44" i="45"/>
  <c r="AH44" i="45" s="1"/>
  <c r="AE44" i="45"/>
  <c r="AF44" i="45" s="1"/>
  <c r="U45" i="45"/>
  <c r="P45" i="45" s="1"/>
  <c r="Z45" i="45"/>
  <c r="AA45" i="45" s="1"/>
  <c r="J45" i="45" s="1"/>
  <c r="V45" i="45"/>
  <c r="Q45" i="45" s="1"/>
  <c r="Z80" i="45"/>
  <c r="AA80" i="45" s="1"/>
  <c r="J80" i="45" s="1"/>
  <c r="F81" i="45"/>
  <c r="AJ80" i="45"/>
  <c r="AC80" i="45" s="1"/>
  <c r="U80" i="45"/>
  <c r="P80" i="45" s="1"/>
  <c r="Z81" i="45"/>
  <c r="AA81" i="45" s="1"/>
  <c r="J81" i="45" s="1"/>
  <c r="AK81" i="45"/>
  <c r="AD81" i="45" s="1"/>
  <c r="F82" i="45"/>
  <c r="D82" i="45"/>
  <c r="S82" i="45" s="1"/>
  <c r="T82" i="45" s="1"/>
  <c r="V80" i="45"/>
  <c r="Q80" i="45" s="1"/>
  <c r="R81" i="45"/>
  <c r="AI81" i="45" s="1"/>
  <c r="AE80" i="45"/>
  <c r="AF80" i="45" s="1"/>
  <c r="U81" i="45"/>
  <c r="P81" i="45" s="1"/>
  <c r="W81" i="45"/>
  <c r="X81" i="45" s="1"/>
  <c r="AE81" i="45"/>
  <c r="AF81" i="45" s="1"/>
  <c r="AL81" i="45"/>
  <c r="AM81" i="45" s="1"/>
  <c r="AQ81" i="45" s="1"/>
  <c r="AS82" i="45" s="1"/>
  <c r="AK80" i="45"/>
  <c r="AD80" i="45" s="1"/>
  <c r="AN81" i="45"/>
  <c r="AP81" i="45" s="1"/>
  <c r="AG80" i="45"/>
  <c r="AH80" i="45" s="1"/>
  <c r="AG81" i="45"/>
  <c r="AH81" i="45" s="1"/>
  <c r="B82" i="45"/>
  <c r="AJ81" i="45"/>
  <c r="AC81" i="45" s="1"/>
  <c r="AE34" i="39"/>
  <c r="AF34" i="39" s="1"/>
  <c r="AP70" i="53"/>
  <c r="W69" i="45"/>
  <c r="X69" i="45" s="1"/>
  <c r="AL47" i="45"/>
  <c r="AM47" i="45" s="1"/>
  <c r="AQ47" i="45" s="1"/>
  <c r="AS48" i="45" s="1"/>
  <c r="AK56" i="45"/>
  <c r="AD56" i="45" s="1"/>
  <c r="V70" i="45"/>
  <c r="Q70" i="45" s="1"/>
  <c r="V81" i="45"/>
  <c r="Q81" i="45" s="1"/>
  <c r="AE74" i="45"/>
  <c r="AF74" i="45" s="1"/>
  <c r="I81" i="45"/>
  <c r="AN45" i="45"/>
  <c r="AP45" i="45" s="1"/>
  <c r="V71" i="45"/>
  <c r="Q71" i="45" s="1"/>
  <c r="D74" i="45"/>
  <c r="W29" i="45"/>
  <c r="X29" i="45" s="1"/>
  <c r="B56" i="45"/>
  <c r="W80" i="45"/>
  <c r="X80" i="45" s="1"/>
  <c r="I29" i="45"/>
  <c r="AY37" i="3"/>
  <c r="W36" i="3"/>
  <c r="X36" i="3" s="1"/>
  <c r="I73" i="3"/>
  <c r="W29" i="3"/>
  <c r="X29" i="3" s="1"/>
  <c r="Z29" i="3"/>
  <c r="AA29" i="3" s="1"/>
  <c r="J29" i="3" s="1"/>
  <c r="AN76" i="3"/>
  <c r="AP76" i="3" s="1"/>
  <c r="D76" i="3"/>
  <c r="S76" i="3" s="1"/>
  <c r="T76" i="3" s="1"/>
  <c r="G76" i="3"/>
  <c r="Z75" i="3"/>
  <c r="AA75" i="3" s="1"/>
  <c r="J75" i="3" s="1"/>
  <c r="F77" i="3"/>
  <c r="I76" i="3"/>
  <c r="AE60" i="3"/>
  <c r="AF60" i="3" s="1"/>
  <c r="W60" i="3"/>
  <c r="X60" i="3" s="1"/>
  <c r="AY61" i="3"/>
  <c r="W66" i="3"/>
  <c r="X66" i="3" s="1"/>
  <c r="I66" i="3"/>
  <c r="R78" i="3"/>
  <c r="AI78" i="3" s="1"/>
  <c r="W78" i="3"/>
  <c r="X78" i="3" s="1"/>
  <c r="V77" i="3"/>
  <c r="Q77" i="3" s="1"/>
  <c r="AK78" i="3"/>
  <c r="AD78" i="3" s="1"/>
  <c r="AB44" i="53"/>
  <c r="AJ44" i="53"/>
  <c r="AQ58" i="53"/>
  <c r="AP58" i="53"/>
  <c r="AQ69" i="53"/>
  <c r="AP69" i="53"/>
  <c r="H70" i="53"/>
  <c r="S70" i="53"/>
  <c r="T70" i="53" s="1"/>
  <c r="S69" i="53"/>
  <c r="T69" i="53" s="1"/>
  <c r="H69" i="53"/>
  <c r="AR71" i="53"/>
  <c r="AT72" i="53" s="1"/>
  <c r="AP71" i="53"/>
  <c r="AQ83" i="53"/>
  <c r="AP83" i="53"/>
  <c r="AE31" i="49"/>
  <c r="AF31" i="49" s="1"/>
  <c r="I32" i="49"/>
  <c r="AG78" i="49"/>
  <c r="AH78" i="49" s="1"/>
  <c r="AK78" i="49"/>
  <c r="AD78" i="49" s="1"/>
  <c r="AJ78" i="49"/>
  <c r="AC78" i="49" s="1"/>
  <c r="B79" i="49"/>
  <c r="V73" i="49"/>
  <c r="Q73" i="49" s="1"/>
  <c r="AK72" i="49"/>
  <c r="AD72" i="49" s="1"/>
  <c r="D74" i="49"/>
  <c r="S74" i="49" s="1"/>
  <c r="T74" i="49" s="1"/>
  <c r="AG72" i="49"/>
  <c r="AH72" i="49" s="1"/>
  <c r="D73" i="49"/>
  <c r="S73" i="49" s="1"/>
  <c r="T73" i="49" s="1"/>
  <c r="U73" i="49"/>
  <c r="P73" i="49" s="1"/>
  <c r="Z73" i="49"/>
  <c r="AA73" i="49" s="1"/>
  <c r="J73" i="49" s="1"/>
  <c r="Z72" i="49"/>
  <c r="AA72" i="49" s="1"/>
  <c r="J72" i="49" s="1"/>
  <c r="AC128" i="67"/>
  <c r="AC129" i="67"/>
  <c r="AG69" i="45"/>
  <c r="AH69" i="45" s="1"/>
  <c r="W46" i="45"/>
  <c r="X46" i="45" s="1"/>
  <c r="W70" i="45"/>
  <c r="X70" i="45" s="1"/>
  <c r="AG45" i="45"/>
  <c r="AH45" i="45" s="1"/>
  <c r="AJ74" i="45"/>
  <c r="AC74" i="45" s="1"/>
  <c r="B81" i="45"/>
  <c r="AL45" i="45"/>
  <c r="AM45" i="45" s="1"/>
  <c r="AQ45" i="45" s="1"/>
  <c r="AS46" i="45" s="1"/>
  <c r="AY35" i="45"/>
  <c r="V73" i="45"/>
  <c r="Q73" i="45" s="1"/>
  <c r="I56" i="45"/>
  <c r="Z64" i="49"/>
  <c r="AA64" i="49" s="1"/>
  <c r="J64" i="49" s="1"/>
  <c r="U81" i="49"/>
  <c r="P81" i="49" s="1"/>
  <c r="AN73" i="49"/>
  <c r="AP73" i="49" s="1"/>
  <c r="AP36" i="53"/>
  <c r="AQ36" i="53"/>
  <c r="AE69" i="49"/>
  <c r="AF69" i="49" s="1"/>
  <c r="V69" i="49"/>
  <c r="Q69" i="49" s="1"/>
  <c r="AK69" i="49"/>
  <c r="AD69" i="49" s="1"/>
  <c r="U69" i="49"/>
  <c r="P69" i="49" s="1"/>
  <c r="U70" i="49"/>
  <c r="P70" i="49" s="1"/>
  <c r="I65" i="49"/>
  <c r="B66" i="49"/>
  <c r="D65" i="49"/>
  <c r="S65" i="49" s="1"/>
  <c r="T65" i="49" s="1"/>
  <c r="AE65" i="49"/>
  <c r="AF65" i="49" s="1"/>
  <c r="AK81" i="49"/>
  <c r="AD81" i="49" s="1"/>
  <c r="AE82" i="49"/>
  <c r="AF82" i="49" s="1"/>
  <c r="B82" i="49"/>
  <c r="D83" i="49"/>
  <c r="S83" i="49" s="1"/>
  <c r="T83" i="49" s="1"/>
  <c r="AJ82" i="49"/>
  <c r="AC82" i="49" s="1"/>
  <c r="W49" i="39"/>
  <c r="X49" i="39" s="1"/>
  <c r="Z69" i="45"/>
  <c r="AA69" i="45" s="1"/>
  <c r="J69" i="45" s="1"/>
  <c r="AK46" i="45"/>
  <c r="AD46" i="45" s="1"/>
  <c r="B57" i="45"/>
  <c r="AJ70" i="45"/>
  <c r="AC70" i="45" s="1"/>
  <c r="B46" i="45"/>
  <c r="D81" i="45"/>
  <c r="S81" i="45" s="1"/>
  <c r="T81" i="45" s="1"/>
  <c r="B45" i="45"/>
  <c r="AJ71" i="45"/>
  <c r="AC71" i="45" s="1"/>
  <c r="AK71" i="45"/>
  <c r="AD71" i="45" s="1"/>
  <c r="AY74" i="45"/>
  <c r="D56" i="45"/>
  <c r="S56" i="45" s="1"/>
  <c r="T56" i="45" s="1"/>
  <c r="U80" i="49"/>
  <c r="P80" i="49" s="1"/>
  <c r="H38" i="53"/>
  <c r="AB47" i="53"/>
  <c r="AB74" i="53"/>
  <c r="L58" i="53"/>
  <c r="L39" i="53"/>
  <c r="L82" i="53"/>
  <c r="M112" i="67"/>
  <c r="L71" i="53"/>
  <c r="M101" i="67"/>
  <c r="AL26" i="3"/>
  <c r="AM26" i="3" s="1"/>
  <c r="AP51" i="53"/>
  <c r="H40" i="53"/>
  <c r="L40" i="53"/>
  <c r="G83" i="3"/>
  <c r="G82" i="3"/>
  <c r="AY56" i="49"/>
  <c r="I56" i="49"/>
  <c r="I55" i="49"/>
  <c r="W60" i="49"/>
  <c r="X60" i="49" s="1"/>
  <c r="I60" i="49"/>
  <c r="AY60" i="49"/>
  <c r="I59" i="49"/>
  <c r="AE60" i="49"/>
  <c r="AF60" i="49" s="1"/>
  <c r="W59" i="49"/>
  <c r="X59" i="49" s="1"/>
  <c r="AJ71" i="53"/>
  <c r="AB70" i="53"/>
  <c r="AB71" i="53"/>
  <c r="AE40" i="49"/>
  <c r="AF40" i="49" s="1"/>
  <c r="W40" i="49"/>
  <c r="X40" i="49" s="1"/>
  <c r="I40" i="49"/>
  <c r="I41" i="49"/>
  <c r="F71" i="49"/>
  <c r="F70" i="49"/>
  <c r="AL70" i="49"/>
  <c r="AM70" i="49" s="1"/>
  <c r="AQ70" i="49" s="1"/>
  <c r="AS71" i="49" s="1"/>
  <c r="D70" i="49"/>
  <c r="S70" i="49" s="1"/>
  <c r="T70" i="49" s="1"/>
  <c r="I70" i="49"/>
  <c r="V70" i="49"/>
  <c r="Q70" i="49" s="1"/>
  <c r="AN70" i="49"/>
  <c r="AP70" i="49" s="1"/>
  <c r="AK70" i="49"/>
  <c r="AD70" i="49" s="1"/>
  <c r="W70" i="49"/>
  <c r="X70" i="49" s="1"/>
  <c r="AY70" i="49"/>
  <c r="AG69" i="49"/>
  <c r="AH69" i="49" s="1"/>
  <c r="AG70" i="49"/>
  <c r="AH70" i="49" s="1"/>
  <c r="D71" i="49"/>
  <c r="S71" i="49" s="1"/>
  <c r="T71" i="49" s="1"/>
  <c r="B71" i="49"/>
  <c r="B70" i="49"/>
  <c r="R70" i="49"/>
  <c r="AI70" i="49" s="1"/>
  <c r="AJ69" i="49"/>
  <c r="AC69" i="49" s="1"/>
  <c r="Z70" i="49"/>
  <c r="AA70" i="49" s="1"/>
  <c r="J70" i="49" s="1"/>
  <c r="Z69" i="49"/>
  <c r="AA69" i="49" s="1"/>
  <c r="J69" i="49" s="1"/>
  <c r="L69" i="49" s="1"/>
  <c r="W69" i="49"/>
  <c r="X69" i="49" s="1"/>
  <c r="AE70" i="49"/>
  <c r="AF70" i="49" s="1"/>
  <c r="I31" i="49"/>
  <c r="W31" i="49"/>
  <c r="X31" i="49" s="1"/>
  <c r="AY32" i="49"/>
  <c r="I53" i="49"/>
  <c r="AY54" i="49"/>
  <c r="AE53" i="49"/>
  <c r="AF53" i="49" s="1"/>
  <c r="W53" i="49"/>
  <c r="X53" i="49" s="1"/>
  <c r="AY65" i="49"/>
  <c r="AG65" i="49"/>
  <c r="AH65" i="49" s="1"/>
  <c r="V65" i="49"/>
  <c r="Q65" i="49" s="1"/>
  <c r="W65" i="49"/>
  <c r="X65" i="49" s="1"/>
  <c r="AG64" i="49"/>
  <c r="AH64" i="49" s="1"/>
  <c r="U64" i="49"/>
  <c r="P64" i="49" s="1"/>
  <c r="R65" i="49"/>
  <c r="AI65" i="49" s="1"/>
  <c r="Z65" i="49"/>
  <c r="AA65" i="49" s="1"/>
  <c r="J65" i="49" s="1"/>
  <c r="F66" i="49"/>
  <c r="U65" i="49"/>
  <c r="P65" i="49" s="1"/>
  <c r="AK64" i="49"/>
  <c r="AD64" i="49" s="1"/>
  <c r="W64" i="49"/>
  <c r="X64" i="49" s="1"/>
  <c r="AL65" i="49"/>
  <c r="AM65" i="49" s="1"/>
  <c r="AN65" i="49"/>
  <c r="AP65" i="49" s="1"/>
  <c r="AE64" i="49"/>
  <c r="AF64" i="49" s="1"/>
  <c r="AJ65" i="49"/>
  <c r="AC65" i="49" s="1"/>
  <c r="D66" i="49"/>
  <c r="S66" i="49" s="1"/>
  <c r="T66" i="49" s="1"/>
  <c r="AJ64" i="49"/>
  <c r="AC64" i="49" s="1"/>
  <c r="B65" i="49"/>
  <c r="V64" i="49"/>
  <c r="Q64" i="49" s="1"/>
  <c r="I79" i="49"/>
  <c r="U78" i="49"/>
  <c r="P78" i="49" s="1"/>
  <c r="AL79" i="49"/>
  <c r="AM79" i="49" s="1"/>
  <c r="AQ79" i="49" s="1"/>
  <c r="AS80" i="49" s="1"/>
  <c r="V78" i="49"/>
  <c r="Q78" i="49" s="1"/>
  <c r="F79" i="49"/>
  <c r="R79" i="49"/>
  <c r="AI79" i="49" s="1"/>
  <c r="W78" i="49"/>
  <c r="X78" i="49" s="1"/>
  <c r="D79" i="49"/>
  <c r="S79" i="49" s="1"/>
  <c r="T79" i="49" s="1"/>
  <c r="AE78" i="49"/>
  <c r="AF78" i="49" s="1"/>
  <c r="Z78" i="49"/>
  <c r="AA78" i="49" s="1"/>
  <c r="J78" i="49" s="1"/>
  <c r="AN79" i="49"/>
  <c r="AP79" i="49" s="1"/>
  <c r="AN80" i="49"/>
  <c r="AP80" i="49" s="1"/>
  <c r="R80" i="49"/>
  <c r="AI80" i="49" s="1"/>
  <c r="F81" i="49"/>
  <c r="AY80" i="49"/>
  <c r="AE80" i="49"/>
  <c r="AF80" i="49" s="1"/>
  <c r="Z80" i="49"/>
  <c r="AA80" i="49" s="1"/>
  <c r="J80" i="49" s="1"/>
  <c r="AE79" i="49"/>
  <c r="AF79" i="49" s="1"/>
  <c r="AG79" i="49"/>
  <c r="AH79" i="49" s="1"/>
  <c r="AK80" i="49"/>
  <c r="AD80" i="49" s="1"/>
  <c r="AJ80" i="49"/>
  <c r="AC80" i="49" s="1"/>
  <c r="W80" i="49"/>
  <c r="X80" i="49" s="1"/>
  <c r="AK79" i="49"/>
  <c r="AD79" i="49" s="1"/>
  <c r="B80" i="49"/>
  <c r="D80" i="49"/>
  <c r="I80" i="49"/>
  <c r="W79" i="49"/>
  <c r="X79" i="49" s="1"/>
  <c r="AG80" i="49"/>
  <c r="AH80" i="49" s="1"/>
  <c r="V80" i="49"/>
  <c r="Q80" i="49" s="1"/>
  <c r="D81" i="49"/>
  <c r="V79" i="49"/>
  <c r="Q79" i="49" s="1"/>
  <c r="F80" i="49"/>
  <c r="AJ79" i="49"/>
  <c r="AC79" i="49" s="1"/>
  <c r="AY57" i="49"/>
  <c r="W56" i="49"/>
  <c r="X56" i="49" s="1"/>
  <c r="AE56" i="49"/>
  <c r="AF56" i="49" s="1"/>
  <c r="I57" i="49"/>
  <c r="I26" i="49"/>
  <c r="AY27" i="49"/>
  <c r="W26" i="49"/>
  <c r="X26" i="49" s="1"/>
  <c r="Z26" i="49"/>
  <c r="AA26" i="49" s="1"/>
  <c r="J26" i="49" s="1"/>
  <c r="I27" i="49"/>
  <c r="AG26" i="49"/>
  <c r="AH26" i="49" s="1"/>
  <c r="AJ73" i="49"/>
  <c r="AC73" i="49" s="1"/>
  <c r="V72" i="49"/>
  <c r="Q72" i="49" s="1"/>
  <c r="AL73" i="49"/>
  <c r="AM73" i="49" s="1"/>
  <c r="W72" i="49"/>
  <c r="X72" i="49" s="1"/>
  <c r="AJ72" i="49"/>
  <c r="AC72" i="49" s="1"/>
  <c r="F73" i="49"/>
  <c r="B74" i="49"/>
  <c r="B73" i="49"/>
  <c r="AE72" i="49"/>
  <c r="AF72" i="49" s="1"/>
  <c r="R73" i="49"/>
  <c r="AI73" i="49" s="1"/>
  <c r="I73" i="49"/>
  <c r="AE73" i="49"/>
  <c r="AF73" i="49" s="1"/>
  <c r="F74" i="49"/>
  <c r="U72" i="49"/>
  <c r="P72" i="49" s="1"/>
  <c r="AG73" i="49"/>
  <c r="AH73" i="49" s="1"/>
  <c r="AK73" i="49"/>
  <c r="AD73" i="49" s="1"/>
  <c r="W73" i="49"/>
  <c r="X73" i="49" s="1"/>
  <c r="AY73" i="49"/>
  <c r="AG82" i="49"/>
  <c r="AH82" i="49" s="1"/>
  <c r="AN82" i="49"/>
  <c r="AP82" i="49" s="1"/>
  <c r="W82" i="49"/>
  <c r="X82" i="49" s="1"/>
  <c r="I82" i="49"/>
  <c r="AL82" i="49"/>
  <c r="AM82" i="49" s="1"/>
  <c r="AQ82" i="49" s="1"/>
  <c r="AS83" i="49" s="1"/>
  <c r="AK82" i="49"/>
  <c r="AD82" i="49" s="1"/>
  <c r="R82" i="49"/>
  <c r="V82" i="49"/>
  <c r="Q82" i="49" s="1"/>
  <c r="F82" i="49"/>
  <c r="U82" i="49"/>
  <c r="P82" i="49" s="1"/>
  <c r="AY82" i="49"/>
  <c r="W81" i="49"/>
  <c r="X81" i="49" s="1"/>
  <c r="D82" i="49"/>
  <c r="S82" i="49" s="1"/>
  <c r="T82" i="49" s="1"/>
  <c r="AG81" i="49"/>
  <c r="AH81" i="49" s="1"/>
  <c r="B83" i="49"/>
  <c r="F83" i="49"/>
  <c r="AJ81" i="49"/>
  <c r="AC81" i="49" s="1"/>
  <c r="V81" i="49"/>
  <c r="Q81" i="49" s="1"/>
  <c r="Z81" i="49"/>
  <c r="AA81" i="49" s="1"/>
  <c r="J81" i="49" s="1"/>
  <c r="L81" i="49" s="1"/>
  <c r="Z82" i="49"/>
  <c r="AA82" i="49" s="1"/>
  <c r="J82" i="49" s="1"/>
  <c r="AE36" i="49"/>
  <c r="AF36" i="49" s="1"/>
  <c r="W36" i="49"/>
  <c r="X36" i="49" s="1"/>
  <c r="I37" i="49"/>
  <c r="I36" i="49"/>
  <c r="I37" i="3"/>
  <c r="AJ75" i="39"/>
  <c r="AC75" i="39" s="1"/>
  <c r="R76" i="39"/>
  <c r="AI76" i="39" s="1"/>
  <c r="AL85" i="3"/>
  <c r="AM85" i="3" s="1"/>
  <c r="AQ85" i="3" s="1"/>
  <c r="AE85" i="3"/>
  <c r="AF85" i="3" s="1"/>
  <c r="R85" i="3"/>
  <c r="AI85" i="3" s="1"/>
  <c r="AY50" i="3"/>
  <c r="W49" i="3"/>
  <c r="X49" i="3" s="1"/>
  <c r="AB69" i="46"/>
  <c r="AI70" i="46"/>
  <c r="AJ38" i="53"/>
  <c r="AB37" i="53"/>
  <c r="AR68" i="53"/>
  <c r="AT69" i="53" s="1"/>
  <c r="AP68" i="53"/>
  <c r="AP65" i="46"/>
  <c r="D77" i="39"/>
  <c r="AN77" i="39"/>
  <c r="AP77" i="39" s="1"/>
  <c r="AQ54" i="53"/>
  <c r="AP54" i="53"/>
  <c r="S67" i="53"/>
  <c r="T67" i="53" s="1"/>
  <c r="H67" i="53"/>
  <c r="AQ59" i="46"/>
  <c r="AS60" i="46" s="1"/>
  <c r="AM102" i="59"/>
  <c r="AF102" i="59" s="1"/>
  <c r="D103" i="59"/>
  <c r="T103" i="59" s="1"/>
  <c r="U103" i="59" s="1"/>
  <c r="AN62" i="59"/>
  <c r="AO62" i="59" s="1"/>
  <c r="B62" i="59"/>
  <c r="AP63" i="59" s="1"/>
  <c r="AR63" i="59" s="1"/>
  <c r="V107" i="59"/>
  <c r="Q107" i="59" s="1"/>
  <c r="W107" i="59"/>
  <c r="R107" i="59" s="1"/>
  <c r="L81" i="53"/>
  <c r="L53" i="53"/>
  <c r="AS128" i="67"/>
  <c r="AU129" i="67" s="1"/>
  <c r="AQ128" i="67"/>
  <c r="AN72" i="49"/>
  <c r="I72" i="49"/>
  <c r="R72" i="49"/>
  <c r="M111" i="67"/>
  <c r="I45" i="49"/>
  <c r="R84" i="49"/>
  <c r="AI84" i="49" s="1"/>
  <c r="AY84" i="49"/>
  <c r="AN84" i="49"/>
  <c r="AP84" i="49" s="1"/>
  <c r="AL84" i="49"/>
  <c r="AM84" i="49" s="1"/>
  <c r="I84" i="49"/>
  <c r="AE52" i="49"/>
  <c r="AF52" i="49" s="1"/>
  <c r="AY53" i="49"/>
  <c r="AP55" i="53"/>
  <c r="AO62" i="49"/>
  <c r="M110" i="67"/>
  <c r="R63" i="49"/>
  <c r="AG62" i="49"/>
  <c r="AH62" i="49" s="1"/>
  <c r="W50" i="49"/>
  <c r="X50" i="49" s="1"/>
  <c r="AE50" i="49"/>
  <c r="AF50" i="49" s="1"/>
  <c r="I75" i="49"/>
  <c r="R75" i="49"/>
  <c r="AI75" i="49" s="1"/>
  <c r="AN75" i="49"/>
  <c r="AP75" i="49" s="1"/>
  <c r="AY75" i="49"/>
  <c r="AL75" i="49"/>
  <c r="AM75" i="49" s="1"/>
  <c r="AE47" i="1"/>
  <c r="AF47" i="1" s="1"/>
  <c r="W47" i="1"/>
  <c r="X47" i="1" s="1"/>
  <c r="AE27" i="1"/>
  <c r="AF27" i="1" s="1"/>
  <c r="W27" i="1"/>
  <c r="X27" i="1" s="1"/>
  <c r="AG27" i="1"/>
  <c r="AH27" i="1" s="1"/>
  <c r="Z27" i="1"/>
  <c r="AA27" i="1" s="1"/>
  <c r="J27" i="1" s="1"/>
  <c r="AR51" i="53"/>
  <c r="AT52" i="53" s="1"/>
  <c r="L54" i="53"/>
  <c r="AI84" i="46"/>
  <c r="AB84" i="46"/>
  <c r="W39" i="39"/>
  <c r="X39" i="39" s="1"/>
  <c r="AE39" i="39"/>
  <c r="AF39" i="39" s="1"/>
  <c r="W71" i="39"/>
  <c r="X71" i="39" s="1"/>
  <c r="AE71" i="39"/>
  <c r="AF71" i="39" s="1"/>
  <c r="AE28" i="39"/>
  <c r="AF28" i="39" s="1"/>
  <c r="AG28" i="39"/>
  <c r="AH28" i="39" s="1"/>
  <c r="K28" i="39" s="1"/>
  <c r="G75" i="39"/>
  <c r="AN74" i="39"/>
  <c r="AP74" i="39" s="1"/>
  <c r="AE74" i="39"/>
  <c r="AF74" i="39" s="1"/>
  <c r="AN84" i="39"/>
  <c r="AP84" i="39" s="1"/>
  <c r="I84" i="39"/>
  <c r="W55" i="39"/>
  <c r="X55" i="39" s="1"/>
  <c r="AE55" i="39"/>
  <c r="AF55" i="39" s="1"/>
  <c r="AE67" i="39"/>
  <c r="AF67" i="39" s="1"/>
  <c r="AY68" i="39"/>
  <c r="S85" i="53"/>
  <c r="T85" i="53" s="1"/>
  <c r="H85" i="53"/>
  <c r="AE51" i="39"/>
  <c r="AF51" i="39" s="1"/>
  <c r="W51" i="39"/>
  <c r="X51" i="39" s="1"/>
  <c r="AY52" i="39"/>
  <c r="AJ76" i="39"/>
  <c r="AC76" i="39" s="1"/>
  <c r="AL77" i="39"/>
  <c r="AM77" i="39" s="1"/>
  <c r="AQ77" i="39" s="1"/>
  <c r="AS78" i="39" s="1"/>
  <c r="AG76" i="39"/>
  <c r="AH76" i="39" s="1"/>
  <c r="K76" i="39" s="1"/>
  <c r="I77" i="39"/>
  <c r="G77" i="39"/>
  <c r="AY77" i="39"/>
  <c r="AG81" i="3"/>
  <c r="AH81" i="3" s="1"/>
  <c r="K81" i="3" s="1"/>
  <c r="V81" i="3"/>
  <c r="Q81" i="3" s="1"/>
  <c r="F83" i="3"/>
  <c r="AJ81" i="3"/>
  <c r="AC81" i="3" s="1"/>
  <c r="AE82" i="3"/>
  <c r="AF82" i="3" s="1"/>
  <c r="I82" i="3"/>
  <c r="W82" i="3"/>
  <c r="X82" i="3" s="1"/>
  <c r="AY82" i="3"/>
  <c r="F82" i="3"/>
  <c r="W37" i="3"/>
  <c r="X37" i="3" s="1"/>
  <c r="AE37" i="3"/>
  <c r="AF37" i="3" s="1"/>
  <c r="AG84" i="3"/>
  <c r="AH84" i="3" s="1"/>
  <c r="K84" i="3" s="1"/>
  <c r="AG85" i="3"/>
  <c r="AH85" i="3" s="1"/>
  <c r="AY85" i="3"/>
  <c r="I85" i="3"/>
  <c r="U85" i="3"/>
  <c r="P85" i="3" s="1"/>
  <c r="B85" i="3"/>
  <c r="W85" i="3"/>
  <c r="X85" i="3" s="1"/>
  <c r="D86" i="3"/>
  <c r="AJ85" i="3"/>
  <c r="AC85" i="3" s="1"/>
  <c r="G86" i="3"/>
  <c r="B86" i="3"/>
  <c r="Z85" i="3"/>
  <c r="AA85" i="3" s="1"/>
  <c r="AN85" i="3"/>
  <c r="AP85" i="3" s="1"/>
  <c r="V85" i="3"/>
  <c r="Q85" i="3" s="1"/>
  <c r="J85" i="3" s="1"/>
  <c r="AK85" i="3"/>
  <c r="AD85" i="3" s="1"/>
  <c r="K85" i="3" s="1"/>
  <c r="W32" i="3"/>
  <c r="X32" i="3" s="1"/>
  <c r="AE32" i="3"/>
  <c r="AF32" i="3" s="1"/>
  <c r="I54" i="3"/>
  <c r="AE54" i="3"/>
  <c r="AF54" i="3" s="1"/>
  <c r="AY51" i="3"/>
  <c r="I51" i="3"/>
  <c r="AE50" i="3"/>
  <c r="AF50" i="3" s="1"/>
  <c r="AE28" i="3"/>
  <c r="AF28" i="3" s="1"/>
  <c r="W28" i="3"/>
  <c r="X28" i="3" s="1"/>
  <c r="AY29" i="3"/>
  <c r="AG28" i="3"/>
  <c r="AH28" i="3" s="1"/>
  <c r="K28" i="3" s="1"/>
  <c r="Z28" i="3"/>
  <c r="AA28" i="3" s="1"/>
  <c r="J28" i="3" s="1"/>
  <c r="AU25" i="3"/>
  <c r="S25" i="3" s="1"/>
  <c r="T25" i="3" s="1"/>
  <c r="I25" i="3" s="1"/>
  <c r="L25" i="3" s="1"/>
  <c r="AY25" i="3"/>
  <c r="AE49" i="3"/>
  <c r="AF49" i="3" s="1"/>
  <c r="I50" i="3"/>
  <c r="S45" i="53"/>
  <c r="T45" i="53" s="1"/>
  <c r="H45" i="53"/>
  <c r="AR44" i="53"/>
  <c r="AT45" i="53" s="1"/>
  <c r="AP44" i="53"/>
  <c r="AL116" i="59"/>
  <c r="AE116" i="59" s="1"/>
  <c r="AI116" i="59"/>
  <c r="AJ116" i="59" s="1"/>
  <c r="X116" i="59"/>
  <c r="Y116" i="59" s="1"/>
  <c r="BA117" i="59"/>
  <c r="X117" i="59"/>
  <c r="Y117" i="59" s="1"/>
  <c r="AI117" i="59"/>
  <c r="AJ117" i="59" s="1"/>
  <c r="AG117" i="59"/>
  <c r="AH117" i="59" s="1"/>
  <c r="W116" i="59"/>
  <c r="R116" i="59" s="1"/>
  <c r="G117" i="59"/>
  <c r="AP117" i="59"/>
  <c r="AR117" i="59" s="1"/>
  <c r="B117" i="59"/>
  <c r="AM117" i="59"/>
  <c r="AF117" i="59" s="1"/>
  <c r="B100" i="59"/>
  <c r="AM99" i="59"/>
  <c r="AF99" i="59" s="1"/>
  <c r="AP100" i="59"/>
  <c r="AR100" i="59" s="1"/>
  <c r="AI99" i="59"/>
  <c r="AJ99" i="59" s="1"/>
  <c r="AN100" i="59"/>
  <c r="AO100" i="59" s="1"/>
  <c r="AS100" i="59" s="1"/>
  <c r="AU101" i="59" s="1"/>
  <c r="BA100" i="59"/>
  <c r="W99" i="59"/>
  <c r="R99" i="59" s="1"/>
  <c r="D100" i="59"/>
  <c r="AQ73" i="53"/>
  <c r="AP73" i="53"/>
  <c r="B103" i="59"/>
  <c r="AI102" i="59"/>
  <c r="AJ102" i="59" s="1"/>
  <c r="G102" i="59"/>
  <c r="D102" i="59"/>
  <c r="T102" i="59" s="1"/>
  <c r="U102" i="59" s="1"/>
  <c r="AG101" i="59"/>
  <c r="AH101" i="59" s="1"/>
  <c r="X101" i="59"/>
  <c r="Y101" i="59" s="1"/>
  <c r="X102" i="59"/>
  <c r="Y102" i="59" s="1"/>
  <c r="AA102" i="59"/>
  <c r="AB102" i="59" s="1"/>
  <c r="K102" i="59" s="1"/>
  <c r="BA102" i="59"/>
  <c r="AP102" i="59"/>
  <c r="AR102" i="59" s="1"/>
  <c r="AI101" i="59"/>
  <c r="AJ101" i="59" s="1"/>
  <c r="AA101" i="59"/>
  <c r="AB101" i="59" s="1"/>
  <c r="K101" i="59" s="1"/>
  <c r="AG102" i="59"/>
  <c r="AH102" i="59" s="1"/>
  <c r="AL102" i="59"/>
  <c r="AE102" i="59" s="1"/>
  <c r="B99" i="59"/>
  <c r="AP99" i="59"/>
  <c r="AR99" i="59" s="1"/>
  <c r="J99" i="59"/>
  <c r="AG98" i="59"/>
  <c r="AH98" i="59" s="1"/>
  <c r="S99" i="59"/>
  <c r="BA99" i="59"/>
  <c r="X70" i="59"/>
  <c r="Y70" i="59" s="1"/>
  <c r="BA71" i="59"/>
  <c r="BA62" i="59"/>
  <c r="AW62" i="59"/>
  <c r="U62" i="59" s="1"/>
  <c r="J62" i="59" s="1"/>
  <c r="AP62" i="59"/>
  <c r="AR62" i="59" s="1"/>
  <c r="G108" i="59"/>
  <c r="X107" i="59"/>
  <c r="Y107" i="59" s="1"/>
  <c r="AG107" i="59"/>
  <c r="AH107" i="59" s="1"/>
  <c r="B108" i="59"/>
  <c r="AM107" i="59"/>
  <c r="AF107" i="59" s="1"/>
  <c r="AI107" i="59"/>
  <c r="AJ107" i="59" s="1"/>
  <c r="AA107" i="59"/>
  <c r="AB107" i="59" s="1"/>
  <c r="K107" i="59" s="1"/>
  <c r="AL107" i="59"/>
  <c r="AE107" i="59" s="1"/>
  <c r="W100" i="59"/>
  <c r="R100" i="59" s="1"/>
  <c r="B101" i="59"/>
  <c r="J101" i="59"/>
  <c r="D101" i="59"/>
  <c r="T101" i="59" s="1"/>
  <c r="U101" i="59" s="1"/>
  <c r="S53" i="53"/>
  <c r="T53" i="53" s="1"/>
  <c r="H53" i="53"/>
  <c r="AY47" i="1"/>
  <c r="W46" i="1"/>
  <c r="X46" i="1" s="1"/>
  <c r="L36" i="53"/>
  <c r="L83" i="53"/>
  <c r="I28" i="3"/>
  <c r="U82" i="3"/>
  <c r="P82" i="3" s="1"/>
  <c r="D82" i="3"/>
  <c r="S82" i="3" s="1"/>
  <c r="T82" i="3" s="1"/>
  <c r="AP63" i="53"/>
  <c r="L33" i="53"/>
  <c r="L78" i="53"/>
  <c r="L44" i="53"/>
  <c r="H34" i="53"/>
  <c r="AP82" i="53"/>
  <c r="V82" i="3"/>
  <c r="Q82" i="3" s="1"/>
  <c r="B83" i="3"/>
  <c r="AP32" i="53"/>
  <c r="B77" i="39"/>
  <c r="Z75" i="39"/>
  <c r="AA75" i="39" s="1"/>
  <c r="J75" i="39" s="1"/>
  <c r="AP53" i="53"/>
  <c r="AB38" i="53"/>
  <c r="AJ39" i="53"/>
  <c r="AB39" i="53"/>
  <c r="AB73" i="53"/>
  <c r="AJ73" i="53"/>
  <c r="AJ82" i="53"/>
  <c r="AB82" i="53"/>
  <c r="AB81" i="53"/>
  <c r="W102" i="59"/>
  <c r="R102" i="59" s="1"/>
  <c r="G103" i="59"/>
  <c r="V102" i="59"/>
  <c r="Q102" i="59" s="1"/>
  <c r="AN99" i="59"/>
  <c r="AO99" i="59" s="1"/>
  <c r="X98" i="59"/>
  <c r="Y98" i="59" s="1"/>
  <c r="S54" i="53"/>
  <c r="T54" i="53" s="1"/>
  <c r="H54" i="53"/>
  <c r="L64" i="53"/>
  <c r="AE56" i="3"/>
  <c r="AF56" i="3" s="1"/>
  <c r="AY57" i="3"/>
  <c r="W56" i="3"/>
  <c r="X56" i="3" s="1"/>
  <c r="I31" i="3"/>
  <c r="Y32" i="3" s="1"/>
  <c r="AG32" i="3" s="1"/>
  <c r="AH32" i="3" s="1"/>
  <c r="K32" i="3" s="1"/>
  <c r="I32" i="3"/>
  <c r="AE31" i="3"/>
  <c r="AF31" i="3" s="1"/>
  <c r="W31" i="3"/>
  <c r="X31" i="3" s="1"/>
  <c r="AY26" i="3"/>
  <c r="I26" i="3"/>
  <c r="I68" i="3"/>
  <c r="AY68" i="3"/>
  <c r="AE67" i="3"/>
  <c r="AF67" i="3" s="1"/>
  <c r="W33" i="3"/>
  <c r="X33" i="3" s="1"/>
  <c r="AY34" i="3"/>
  <c r="I36" i="3"/>
  <c r="W35" i="3"/>
  <c r="X35" i="3" s="1"/>
  <c r="I35" i="3"/>
  <c r="AY36" i="3"/>
  <c r="AE35" i="3"/>
  <c r="AF35" i="3" s="1"/>
  <c r="AY60" i="3"/>
  <c r="I59" i="3"/>
  <c r="U83" i="3"/>
  <c r="P83" i="3" s="1"/>
  <c r="G85" i="3"/>
  <c r="U84" i="3"/>
  <c r="P84" i="3" s="1"/>
  <c r="D85" i="3"/>
  <c r="S85" i="3" s="1"/>
  <c r="T85" i="3" s="1"/>
  <c r="W84" i="3"/>
  <c r="X84" i="3" s="1"/>
  <c r="AE84" i="3"/>
  <c r="AF84" i="3" s="1"/>
  <c r="I84" i="3"/>
  <c r="F85" i="3"/>
  <c r="AK84" i="3"/>
  <c r="AD84" i="3" s="1"/>
  <c r="AJ83" i="3"/>
  <c r="AC83" i="3" s="1"/>
  <c r="AJ84" i="3"/>
  <c r="AC84" i="3" s="1"/>
  <c r="D84" i="3"/>
  <c r="S84" i="3" s="1"/>
  <c r="T84" i="3" s="1"/>
  <c r="AY84" i="3"/>
  <c r="AN84" i="3"/>
  <c r="AP84" i="3" s="1"/>
  <c r="Z84" i="3"/>
  <c r="AA84" i="3" s="1"/>
  <c r="J84" i="3" s="1"/>
  <c r="Z83" i="3"/>
  <c r="AA83" i="3" s="1"/>
  <c r="J83" i="3" s="1"/>
  <c r="V84" i="3"/>
  <c r="Q84" i="3" s="1"/>
  <c r="V76" i="3"/>
  <c r="Q76" i="3" s="1"/>
  <c r="D77" i="3"/>
  <c r="S77" i="3" s="1"/>
  <c r="T77" i="3" s="1"/>
  <c r="AK76" i="3"/>
  <c r="AD76" i="3" s="1"/>
  <c r="G77" i="3"/>
  <c r="AG77" i="3"/>
  <c r="AH77" i="3" s="1"/>
  <c r="K77" i="3" s="1"/>
  <c r="I71" i="3"/>
  <c r="W26" i="3"/>
  <c r="X26" i="3" s="1"/>
  <c r="AY27" i="3"/>
  <c r="AG26" i="3"/>
  <c r="AH26" i="3" s="1"/>
  <c r="K26" i="3" s="1"/>
  <c r="AE26" i="3"/>
  <c r="AF26" i="3" s="1"/>
  <c r="AJ74" i="3"/>
  <c r="AC74" i="3" s="1"/>
  <c r="F75" i="3"/>
  <c r="D75" i="3"/>
  <c r="S75" i="3" s="1"/>
  <c r="T75" i="3" s="1"/>
  <c r="B75" i="3"/>
  <c r="U74" i="3"/>
  <c r="P74" i="3" s="1"/>
  <c r="AL74" i="3"/>
  <c r="AM74" i="3" s="1"/>
  <c r="Z74" i="3"/>
  <c r="AA74" i="3" s="1"/>
  <c r="J74" i="3" s="1"/>
  <c r="R74" i="3"/>
  <c r="AI74" i="3" s="1"/>
  <c r="I74" i="3"/>
  <c r="AN74" i="3"/>
  <c r="AP74" i="3" s="1"/>
  <c r="AK74" i="3"/>
  <c r="AD74" i="3" s="1"/>
  <c r="B74" i="3"/>
  <c r="AG74" i="3"/>
  <c r="AH74" i="3" s="1"/>
  <c r="K74" i="3" s="1"/>
  <c r="AY74" i="3"/>
  <c r="AE74" i="3"/>
  <c r="AF74" i="3" s="1"/>
  <c r="AQ81" i="53"/>
  <c r="AP81" i="53"/>
  <c r="AQ66" i="53"/>
  <c r="AP66" i="53"/>
  <c r="AR82" i="53"/>
  <c r="AT83" i="53" s="1"/>
  <c r="AY32" i="39"/>
  <c r="AE31" i="39"/>
  <c r="AF31" i="39" s="1"/>
  <c r="AE45" i="39"/>
  <c r="AF45" i="39" s="1"/>
  <c r="AY46" i="39"/>
  <c r="V75" i="39"/>
  <c r="Q75" i="39" s="1"/>
  <c r="AG75" i="39"/>
  <c r="AH75" i="39" s="1"/>
  <c r="K75" i="39" s="1"/>
  <c r="B76" i="39"/>
  <c r="I76" i="39"/>
  <c r="AK75" i="39"/>
  <c r="AD75" i="39" s="1"/>
  <c r="G76" i="39"/>
  <c r="U75" i="39"/>
  <c r="P75" i="39" s="1"/>
  <c r="AY76" i="39"/>
  <c r="AE75" i="39"/>
  <c r="AF75" i="39" s="1"/>
  <c r="AL76" i="39"/>
  <c r="AM76" i="39" s="1"/>
  <c r="AQ76" i="39" s="1"/>
  <c r="AS77" i="39" s="1"/>
  <c r="F76" i="39"/>
  <c r="W75" i="39"/>
  <c r="X75" i="39" s="1"/>
  <c r="AN76" i="39"/>
  <c r="AP76" i="39" s="1"/>
  <c r="AE35" i="39"/>
  <c r="AF35" i="39" s="1"/>
  <c r="AY36" i="39"/>
  <c r="W35" i="39"/>
  <c r="X35" i="39" s="1"/>
  <c r="AY33" i="39"/>
  <c r="AE32" i="39"/>
  <c r="AF32" i="39" s="1"/>
  <c r="W32" i="39"/>
  <c r="X32" i="39" s="1"/>
  <c r="AU25" i="39"/>
  <c r="S25" i="39" s="1"/>
  <c r="AY25" i="39"/>
  <c r="B25" i="39"/>
  <c r="AN26" i="39" s="1"/>
  <c r="AP26" i="39" s="1"/>
  <c r="AL25" i="39"/>
  <c r="AM25" i="39" s="1"/>
  <c r="AQ25" i="39" s="1"/>
  <c r="AS26" i="39" s="1"/>
  <c r="W41" i="39"/>
  <c r="X41" i="39" s="1"/>
  <c r="AE41" i="39"/>
  <c r="AF41" i="39" s="1"/>
  <c r="I59" i="39"/>
  <c r="W58" i="39"/>
  <c r="X58" i="39" s="1"/>
  <c r="AE58" i="39"/>
  <c r="AF58" i="39" s="1"/>
  <c r="AE33" i="39"/>
  <c r="AF33" i="39" s="1"/>
  <c r="AY34" i="39"/>
  <c r="W33" i="39"/>
  <c r="X33" i="39" s="1"/>
  <c r="AE53" i="39"/>
  <c r="AF53" i="39" s="1"/>
  <c r="AY54" i="39"/>
  <c r="I54" i="39"/>
  <c r="W42" i="39"/>
  <c r="X42" i="39" s="1"/>
  <c r="AE42" i="39"/>
  <c r="AF42" i="39" s="1"/>
  <c r="AQ49" i="53"/>
  <c r="AP49" i="53"/>
  <c r="S35" i="53"/>
  <c r="T35" i="53" s="1"/>
  <c r="H35" i="53"/>
  <c r="AQ46" i="53"/>
  <c r="AP46" i="53"/>
  <c r="AR78" i="53"/>
  <c r="AT79" i="53" s="1"/>
  <c r="AP78" i="53"/>
  <c r="AQ74" i="53"/>
  <c r="AP74" i="53"/>
  <c r="V76" i="39"/>
  <c r="Q76" i="39" s="1"/>
  <c r="Z76" i="39"/>
  <c r="AA76" i="39" s="1"/>
  <c r="J76" i="39" s="1"/>
  <c r="U76" i="39"/>
  <c r="P76" i="39" s="1"/>
  <c r="F77" i="39"/>
  <c r="AE76" i="39"/>
  <c r="AF76" i="39" s="1"/>
  <c r="R77" i="39"/>
  <c r="AI77" i="39" s="1"/>
  <c r="W76" i="39"/>
  <c r="X76" i="39" s="1"/>
  <c r="AK76" i="39"/>
  <c r="AD76" i="39" s="1"/>
  <c r="L49" i="53"/>
  <c r="D78" i="39"/>
  <c r="S78" i="39" s="1"/>
  <c r="T78" i="39" s="1"/>
  <c r="AP38" i="53"/>
  <c r="AR38" i="53"/>
  <c r="AT39" i="53" s="1"/>
  <c r="AP64" i="53"/>
  <c r="AB61" i="53"/>
  <c r="AY83" i="3"/>
  <c r="AN83" i="3"/>
  <c r="AP83" i="3" s="1"/>
  <c r="H65" i="53"/>
  <c r="I34" i="3"/>
  <c r="AP56" i="53"/>
  <c r="AB77" i="53"/>
  <c r="W68" i="3"/>
  <c r="X68" i="3" s="1"/>
  <c r="AE68" i="3"/>
  <c r="AF68" i="3" s="1"/>
  <c r="AY69" i="3"/>
  <c r="I69" i="3"/>
  <c r="W53" i="3"/>
  <c r="X53" i="3" s="1"/>
  <c r="AY54" i="3"/>
  <c r="AE53" i="3"/>
  <c r="AF53" i="3" s="1"/>
  <c r="AY43" i="3"/>
  <c r="W42" i="3"/>
  <c r="X42" i="3" s="1"/>
  <c r="AY40" i="3"/>
  <c r="AE39" i="3"/>
  <c r="AF39" i="3" s="1"/>
  <c r="W39" i="3"/>
  <c r="X39" i="3" s="1"/>
  <c r="I72" i="3"/>
  <c r="AE73" i="3"/>
  <c r="AF73" i="3" s="1"/>
  <c r="W72" i="3"/>
  <c r="X72" i="3" s="1"/>
  <c r="W73" i="3"/>
  <c r="X73" i="3" s="1"/>
  <c r="AE72" i="3"/>
  <c r="AF72" i="3" s="1"/>
  <c r="AY30" i="3"/>
  <c r="AG29" i="3"/>
  <c r="AH29" i="3" s="1"/>
  <c r="K29" i="3" s="1"/>
  <c r="I29" i="3"/>
  <c r="AE29" i="3"/>
  <c r="AF29" i="3" s="1"/>
  <c r="AY76" i="3"/>
  <c r="AL76" i="3"/>
  <c r="AM76" i="3" s="1"/>
  <c r="AG75" i="3"/>
  <c r="AH75" i="3" s="1"/>
  <c r="K75" i="3" s="1"/>
  <c r="AE75" i="3"/>
  <c r="AF75" i="3" s="1"/>
  <c r="AG76" i="3"/>
  <c r="AH76" i="3" s="1"/>
  <c r="K76" i="3" s="1"/>
  <c r="R76" i="3"/>
  <c r="Z76" i="3"/>
  <c r="AA76" i="3" s="1"/>
  <c r="J76" i="3" s="1"/>
  <c r="U75" i="3"/>
  <c r="P75" i="3" s="1"/>
  <c r="V75" i="3"/>
  <c r="Q75" i="3" s="1"/>
  <c r="F76" i="3"/>
  <c r="B77" i="3"/>
  <c r="B76" i="3"/>
  <c r="W75" i="3"/>
  <c r="X75" i="3" s="1"/>
  <c r="W76" i="3"/>
  <c r="X76" i="3" s="1"/>
  <c r="AK75" i="3"/>
  <c r="AD75" i="3" s="1"/>
  <c r="W44" i="3"/>
  <c r="X44" i="3" s="1"/>
  <c r="AE44" i="3"/>
  <c r="AF44" i="3" s="1"/>
  <c r="AY45" i="3"/>
  <c r="AY67" i="3"/>
  <c r="I67" i="3"/>
  <c r="AY53" i="3"/>
  <c r="AE52" i="3"/>
  <c r="AF52" i="3" s="1"/>
  <c r="I53" i="3"/>
  <c r="AJ51" i="53"/>
  <c r="AB50" i="53"/>
  <c r="B78" i="3"/>
  <c r="U77" i="3"/>
  <c r="P77" i="3" s="1"/>
  <c r="AY78" i="3"/>
  <c r="AJ77" i="3"/>
  <c r="AC77" i="3" s="1"/>
  <c r="Z77" i="3"/>
  <c r="AA77" i="3" s="1"/>
  <c r="J77" i="3" s="1"/>
  <c r="AN78" i="3"/>
  <c r="AP78" i="3" s="1"/>
  <c r="G78" i="3"/>
  <c r="D78" i="3"/>
  <c r="S78" i="3" s="1"/>
  <c r="T78" i="3" s="1"/>
  <c r="AE77" i="3"/>
  <c r="AF77" i="3" s="1"/>
  <c r="AK77" i="3"/>
  <c r="AD77" i="3" s="1"/>
  <c r="AL78" i="3"/>
  <c r="AM78" i="3" s="1"/>
  <c r="F78" i="3"/>
  <c r="I78" i="3"/>
  <c r="W77" i="3"/>
  <c r="X77" i="3" s="1"/>
  <c r="I63" i="3"/>
  <c r="AY63" i="3"/>
  <c r="AE62" i="3"/>
  <c r="AF62" i="3" s="1"/>
  <c r="W62" i="3"/>
  <c r="X62" i="3" s="1"/>
  <c r="AY52" i="3"/>
  <c r="W51" i="3"/>
  <c r="X51" i="3" s="1"/>
  <c r="I52" i="3"/>
  <c r="L62" i="53"/>
  <c r="AJ77" i="53"/>
  <c r="AB56" i="53"/>
  <c r="AJ33" i="53"/>
  <c r="AB33" i="53"/>
  <c r="L63" i="53"/>
  <c r="AP59" i="53"/>
  <c r="H75" i="53"/>
  <c r="AR64" i="53"/>
  <c r="AT65" i="53" s="1"/>
  <c r="H49" i="53"/>
  <c r="S49" i="53"/>
  <c r="T49" i="53" s="1"/>
  <c r="AJ78" i="3"/>
  <c r="AC78" i="3" s="1"/>
  <c r="AY31" i="3"/>
  <c r="B81" i="3"/>
  <c r="AY39" i="3"/>
  <c r="B79" i="3"/>
  <c r="AE81" i="3"/>
  <c r="AF81" i="3" s="1"/>
  <c r="H61" i="53"/>
  <c r="V79" i="3"/>
  <c r="Q79" i="3" s="1"/>
  <c r="AB80" i="53"/>
  <c r="I56" i="3"/>
  <c r="AJ82" i="3"/>
  <c r="AC82" i="3" s="1"/>
  <c r="L37" i="53"/>
  <c r="H37" i="53"/>
  <c r="R82" i="3"/>
  <c r="AK81" i="3"/>
  <c r="AD81" i="3" s="1"/>
  <c r="AN82" i="3"/>
  <c r="AP82" i="3" s="1"/>
  <c r="B82" i="3"/>
  <c r="AY33" i="3"/>
  <c r="I33" i="3"/>
  <c r="AY55" i="3"/>
  <c r="I55" i="3"/>
  <c r="AY46" i="3"/>
  <c r="AE45" i="3"/>
  <c r="AF45" i="3" s="1"/>
  <c r="W58" i="3"/>
  <c r="X58" i="3" s="1"/>
  <c r="AY59" i="3"/>
  <c r="I64" i="3"/>
  <c r="AE63" i="3"/>
  <c r="AF63" i="3" s="1"/>
  <c r="W63" i="3"/>
  <c r="X63" i="3" s="1"/>
  <c r="AY64" i="3"/>
  <c r="AL25" i="3"/>
  <c r="AM25" i="3" s="1"/>
  <c r="AN25" i="3"/>
  <c r="AP25" i="3" s="1"/>
  <c r="AE64" i="3"/>
  <c r="AF64" i="3" s="1"/>
  <c r="W64" i="3"/>
  <c r="X64" i="3" s="1"/>
  <c r="I65" i="3"/>
  <c r="AY65" i="3"/>
  <c r="W41" i="3"/>
  <c r="X41" i="3" s="1"/>
  <c r="AE41" i="3"/>
  <c r="AF41" i="3" s="1"/>
  <c r="W57" i="3"/>
  <c r="X57" i="3" s="1"/>
  <c r="AY58" i="3"/>
  <c r="AE57" i="3"/>
  <c r="AF57" i="3" s="1"/>
  <c r="I58" i="3"/>
  <c r="AK82" i="3"/>
  <c r="AD82" i="3" s="1"/>
  <c r="AL83" i="3"/>
  <c r="AM83" i="3" s="1"/>
  <c r="I83" i="3"/>
  <c r="AG82" i="3"/>
  <c r="AH82" i="3" s="1"/>
  <c r="K82" i="3" s="1"/>
  <c r="AY81" i="3"/>
  <c r="I81" i="3"/>
  <c r="V80" i="3"/>
  <c r="Q80" i="3" s="1"/>
  <c r="AE40" i="3"/>
  <c r="AF40" i="3" s="1"/>
  <c r="W40" i="3"/>
  <c r="X40" i="3" s="1"/>
  <c r="AY41" i="3"/>
  <c r="V78" i="3"/>
  <c r="Q78" i="3" s="1"/>
  <c r="U78" i="3"/>
  <c r="P78" i="3" s="1"/>
  <c r="R79" i="3"/>
  <c r="I79" i="3"/>
  <c r="F79" i="3"/>
  <c r="Z78" i="3"/>
  <c r="AA78" i="3" s="1"/>
  <c r="J78" i="3" s="1"/>
  <c r="D79" i="3"/>
  <c r="AL79" i="3"/>
  <c r="AM79" i="3" s="1"/>
  <c r="AQ79" i="3" s="1"/>
  <c r="AS80" i="3" s="1"/>
  <c r="AG78" i="3"/>
  <c r="AH78" i="3" s="1"/>
  <c r="K78" i="3" s="1"/>
  <c r="G79" i="3"/>
  <c r="AP75" i="53"/>
  <c r="F84" i="3"/>
  <c r="B84" i="3"/>
  <c r="AK80" i="3"/>
  <c r="AD80" i="3" s="1"/>
  <c r="AN80" i="3"/>
  <c r="AP80" i="3" s="1"/>
  <c r="AG83" i="3"/>
  <c r="AH83" i="3" s="1"/>
  <c r="K83" i="3" s="1"/>
  <c r="AE46" i="3"/>
  <c r="AF46" i="3" s="1"/>
  <c r="F80" i="3"/>
  <c r="G84" i="3"/>
  <c r="W83" i="3"/>
  <c r="X83" i="3" s="1"/>
  <c r="AE80" i="3"/>
  <c r="AF80" i="3" s="1"/>
  <c r="AE79" i="3"/>
  <c r="AF79" i="3" s="1"/>
  <c r="I81" i="51"/>
  <c r="Z30" i="3"/>
  <c r="AA30" i="3" s="1"/>
  <c r="J30" i="3" s="1"/>
  <c r="V83" i="3"/>
  <c r="Q83" i="3" s="1"/>
  <c r="I58" i="39"/>
  <c r="AB60" i="53"/>
  <c r="AB59" i="53"/>
  <c r="I57" i="3"/>
  <c r="AN79" i="3"/>
  <c r="AP79" i="3" s="1"/>
  <c r="D83" i="3"/>
  <c r="S83" i="3" s="1"/>
  <c r="T83" i="3" s="1"/>
  <c r="W81" i="3"/>
  <c r="X81" i="3" s="1"/>
  <c r="Z81" i="3"/>
  <c r="AA81" i="3" s="1"/>
  <c r="J81" i="3" s="1"/>
  <c r="R81" i="3"/>
  <c r="AI81" i="3" s="1"/>
  <c r="AN81" i="3"/>
  <c r="AP81" i="3" s="1"/>
  <c r="W79" i="3"/>
  <c r="X79" i="3" s="1"/>
  <c r="U81" i="3"/>
  <c r="P81" i="3" s="1"/>
  <c r="H33" i="53"/>
  <c r="H48" i="53"/>
  <c r="H47" i="53"/>
  <c r="L77" i="53"/>
  <c r="L67" i="53"/>
  <c r="H50" i="53"/>
  <c r="L35" i="53"/>
  <c r="L46" i="53"/>
  <c r="L59" i="53"/>
  <c r="Z82" i="3"/>
  <c r="AA82" i="3" s="1"/>
  <c r="J82" i="3" s="1"/>
  <c r="AY32" i="3"/>
  <c r="Z31" i="3"/>
  <c r="AA31" i="3" s="1"/>
  <c r="J31" i="3" s="1"/>
  <c r="AY72" i="3"/>
  <c r="AE71" i="3"/>
  <c r="AF71" i="3" s="1"/>
  <c r="AE65" i="3"/>
  <c r="AF65" i="3" s="1"/>
  <c r="AY66" i="3"/>
  <c r="W65" i="3"/>
  <c r="X65" i="3" s="1"/>
  <c r="W59" i="3"/>
  <c r="X59" i="3" s="1"/>
  <c r="I60" i="3"/>
  <c r="AJ76" i="3"/>
  <c r="AC76" i="3" s="1"/>
  <c r="U76" i="3"/>
  <c r="P76" i="3" s="1"/>
  <c r="AN77" i="3"/>
  <c r="AP77" i="3" s="1"/>
  <c r="R77" i="3"/>
  <c r="AY77" i="3"/>
  <c r="I77" i="3"/>
  <c r="AL77" i="3"/>
  <c r="AM77" i="3" s="1"/>
  <c r="L51" i="53"/>
  <c r="AY71" i="3"/>
  <c r="AE70" i="3"/>
  <c r="AF70" i="3" s="1"/>
  <c r="W70" i="3"/>
  <c r="X70" i="3" s="1"/>
  <c r="I70" i="3"/>
  <c r="AY68" i="1"/>
  <c r="I55" i="39"/>
  <c r="V74" i="39"/>
  <c r="Q74" i="39" s="1"/>
  <c r="B75" i="39"/>
  <c r="D75" i="39"/>
  <c r="S75" i="39" s="1"/>
  <c r="T75" i="39" s="1"/>
  <c r="W28" i="39"/>
  <c r="X28" i="39" s="1"/>
  <c r="Z28" i="39"/>
  <c r="AA28" i="39" s="1"/>
  <c r="J28" i="39" s="1"/>
  <c r="AY72" i="39"/>
  <c r="I68" i="39"/>
  <c r="AY56" i="39"/>
  <c r="R84" i="39"/>
  <c r="AI84" i="39" s="1"/>
  <c r="AL84" i="39"/>
  <c r="AM84" i="39" s="1"/>
  <c r="AQ84" i="39" s="1"/>
  <c r="AS85" i="39" s="1"/>
  <c r="I69" i="39"/>
  <c r="AY37" i="39"/>
  <c r="AY40" i="39"/>
  <c r="AL74" i="39"/>
  <c r="AM74" i="39" s="1"/>
  <c r="AQ74" i="39" s="1"/>
  <c r="AS75" i="39" s="1"/>
  <c r="I74" i="39"/>
  <c r="AE57" i="39"/>
  <c r="AF57" i="39" s="1"/>
  <c r="AY62" i="39"/>
  <c r="H78" i="53"/>
  <c r="AP77" i="53"/>
  <c r="H68" i="53"/>
  <c r="H44" i="53"/>
  <c r="H55" i="53"/>
  <c r="H84" i="53"/>
  <c r="I82" i="51"/>
  <c r="I51" i="51"/>
  <c r="H36" i="53"/>
  <c r="L84" i="53"/>
  <c r="AJ37" i="53"/>
  <c r="AB36" i="53"/>
  <c r="AY40" i="51"/>
  <c r="AY41" i="51"/>
  <c r="W29" i="1"/>
  <c r="X29" i="1" s="1"/>
  <c r="I28" i="39"/>
  <c r="AY50" i="39"/>
  <c r="AY55" i="39"/>
  <c r="I61" i="39"/>
  <c r="F75" i="39"/>
  <c r="AK74" i="39"/>
  <c r="AD74" i="39" s="1"/>
  <c r="AJ74" i="39"/>
  <c r="AC74" i="39" s="1"/>
  <c r="W74" i="39"/>
  <c r="X74" i="39" s="1"/>
  <c r="I29" i="39"/>
  <c r="AY29" i="39"/>
  <c r="W67" i="39"/>
  <c r="X67" i="39" s="1"/>
  <c r="AY84" i="39"/>
  <c r="AE68" i="39"/>
  <c r="AF68" i="39" s="1"/>
  <c r="W36" i="39"/>
  <c r="X36" i="39" s="1"/>
  <c r="R74" i="39"/>
  <c r="AI74" i="39" s="1"/>
  <c r="AY74" i="39"/>
  <c r="AY58" i="39"/>
  <c r="AJ46" i="53"/>
  <c r="AP85" i="53"/>
  <c r="V83" i="39"/>
  <c r="Q83" i="39" s="1"/>
  <c r="I71" i="39"/>
  <c r="AG74" i="39"/>
  <c r="AH74" i="39" s="1"/>
  <c r="K74" i="39" s="1"/>
  <c r="U74" i="39"/>
  <c r="P74" i="39" s="1"/>
  <c r="U83" i="1"/>
  <c r="P83" i="1" s="1"/>
  <c r="AB46" i="53"/>
  <c r="AP37" i="53"/>
  <c r="AP50" i="53"/>
  <c r="H57" i="53"/>
  <c r="H81" i="53"/>
  <c r="H74" i="53"/>
  <c r="I30" i="39"/>
  <c r="AP66" i="49"/>
  <c r="AB63" i="53"/>
  <c r="AJ63" i="53"/>
  <c r="AG86" i="53"/>
  <c r="AY38" i="51"/>
  <c r="AN76" i="1"/>
  <c r="AP76" i="1" s="1"/>
  <c r="AE62" i="1"/>
  <c r="AF62" i="1" s="1"/>
  <c r="AH64" i="47"/>
  <c r="AI64" i="47" s="1"/>
  <c r="Z28" i="51"/>
  <c r="AA28" i="51" s="1"/>
  <c r="J28" i="51" s="1"/>
  <c r="H43" i="53"/>
  <c r="H64" i="53"/>
  <c r="H56" i="53"/>
  <c r="S83" i="53"/>
  <c r="T83" i="53" s="1"/>
  <c r="H83" i="53"/>
  <c r="S82" i="53"/>
  <c r="T82" i="53" s="1"/>
  <c r="H82" i="53"/>
  <c r="AE38" i="51"/>
  <c r="AF38" i="51" s="1"/>
  <c r="W40" i="1"/>
  <c r="X40" i="1" s="1"/>
  <c r="W56" i="1"/>
  <c r="X56" i="1" s="1"/>
  <c r="AE39" i="1"/>
  <c r="AF39" i="1" s="1"/>
  <c r="AE43" i="39"/>
  <c r="AF43" i="39" s="1"/>
  <c r="AF79" i="54"/>
  <c r="AG79" i="54" s="1"/>
  <c r="AH79" i="54"/>
  <c r="AI79" i="54" s="1"/>
  <c r="W79" i="54"/>
  <c r="X79" i="54" s="1"/>
  <c r="AK79" i="54"/>
  <c r="AD79" i="54" s="1"/>
  <c r="U79" i="54"/>
  <c r="P79" i="54" s="1"/>
  <c r="D80" i="54"/>
  <c r="S80" i="54" s="1"/>
  <c r="T80" i="54" s="1"/>
  <c r="AL79" i="54"/>
  <c r="AE79" i="54" s="1"/>
  <c r="V79" i="54"/>
  <c r="Q79" i="54" s="1"/>
  <c r="B80" i="54"/>
  <c r="I80" i="54"/>
  <c r="AO80" i="54"/>
  <c r="AQ80" i="54" s="1"/>
  <c r="Z79" i="54"/>
  <c r="AA79" i="54" s="1"/>
  <c r="J79" i="54" s="1"/>
  <c r="AZ80" i="54"/>
  <c r="F80" i="54"/>
  <c r="AM80" i="54"/>
  <c r="AN80" i="54" s="1"/>
  <c r="R80" i="54"/>
  <c r="AZ29" i="54"/>
  <c r="I29" i="54"/>
  <c r="AF28" i="54"/>
  <c r="AG28" i="54" s="1"/>
  <c r="W28" i="54"/>
  <c r="X28" i="54" s="1"/>
  <c r="W66" i="54"/>
  <c r="X66" i="54" s="1"/>
  <c r="AH66" i="54"/>
  <c r="AI66" i="54" s="1"/>
  <c r="Z66" i="54"/>
  <c r="AA66" i="54" s="1"/>
  <c r="J66" i="54" s="1"/>
  <c r="V66" i="54"/>
  <c r="Q66" i="54" s="1"/>
  <c r="D67" i="54"/>
  <c r="AZ67" i="54"/>
  <c r="AM67" i="54"/>
  <c r="AN67" i="54" s="1"/>
  <c r="I67" i="54"/>
  <c r="AF66" i="54"/>
  <c r="AG66" i="54" s="1"/>
  <c r="U66" i="54"/>
  <c r="P66" i="54" s="1"/>
  <c r="R67" i="54"/>
  <c r="F67" i="54"/>
  <c r="AO67" i="54"/>
  <c r="AQ67" i="54" s="1"/>
  <c r="AK66" i="54"/>
  <c r="AD66" i="54" s="1"/>
  <c r="B67" i="54"/>
  <c r="AL66" i="54"/>
  <c r="AE66" i="54" s="1"/>
  <c r="U54" i="54"/>
  <c r="P54" i="54" s="1"/>
  <c r="D55" i="54"/>
  <c r="S55" i="54" s="1"/>
  <c r="T55" i="54" s="1"/>
  <c r="W54" i="54"/>
  <c r="X54" i="54" s="1"/>
  <c r="AK54" i="54"/>
  <c r="AD54" i="54" s="1"/>
  <c r="Z54" i="54"/>
  <c r="AA54" i="54" s="1"/>
  <c r="J54" i="54" s="1"/>
  <c r="AL54" i="54"/>
  <c r="AE54" i="54" s="1"/>
  <c r="AF54" i="54"/>
  <c r="AG54" i="54" s="1"/>
  <c r="V54" i="54"/>
  <c r="Q54" i="54" s="1"/>
  <c r="R55" i="54"/>
  <c r="AO55" i="54"/>
  <c r="AQ55" i="54" s="1"/>
  <c r="F55" i="54"/>
  <c r="AM55" i="54"/>
  <c r="AN55" i="54" s="1"/>
  <c r="B55" i="54"/>
  <c r="I55" i="54"/>
  <c r="AH54" i="54"/>
  <c r="AI54" i="54" s="1"/>
  <c r="AZ55" i="54"/>
  <c r="D40" i="54"/>
  <c r="AZ40" i="54"/>
  <c r="I40" i="54"/>
  <c r="AO40" i="54"/>
  <c r="AQ40" i="54" s="1"/>
  <c r="R40" i="54"/>
  <c r="AH39" i="54"/>
  <c r="AI39" i="54" s="1"/>
  <c r="F40" i="54"/>
  <c r="B40" i="54"/>
  <c r="V39" i="54"/>
  <c r="Q39" i="54" s="1"/>
  <c r="AL39" i="54"/>
  <c r="AE39" i="54" s="1"/>
  <c r="Z39" i="54"/>
  <c r="AA39" i="54" s="1"/>
  <c r="J39" i="54" s="1"/>
  <c r="AK39" i="54"/>
  <c r="AD39" i="54" s="1"/>
  <c r="AM40" i="54"/>
  <c r="AN40" i="54" s="1"/>
  <c r="W39" i="54"/>
  <c r="X39" i="54" s="1"/>
  <c r="U39" i="54"/>
  <c r="P39" i="54" s="1"/>
  <c r="AF39" i="54"/>
  <c r="AG39" i="54" s="1"/>
  <c r="AK53" i="54"/>
  <c r="AD53" i="54" s="1"/>
  <c r="B53" i="54"/>
  <c r="AK52" i="54"/>
  <c r="AD52" i="54" s="1"/>
  <c r="U52" i="54"/>
  <c r="P52" i="54" s="1"/>
  <c r="AH52" i="54"/>
  <c r="AI52" i="54" s="1"/>
  <c r="F53" i="54"/>
  <c r="I53" i="54"/>
  <c r="AM53" i="54"/>
  <c r="AN53" i="54" s="1"/>
  <c r="AF52" i="54"/>
  <c r="AG52" i="54" s="1"/>
  <c r="R53" i="54"/>
  <c r="Z52" i="54"/>
  <c r="AA52" i="54" s="1"/>
  <c r="J52" i="54" s="1"/>
  <c r="D53" i="54"/>
  <c r="W52" i="54"/>
  <c r="X52" i="54" s="1"/>
  <c r="AL52" i="54"/>
  <c r="AE52" i="54" s="1"/>
  <c r="V52" i="54"/>
  <c r="Q52" i="54" s="1"/>
  <c r="AO53" i="54"/>
  <c r="AQ53" i="54" s="1"/>
  <c r="AZ53" i="54"/>
  <c r="I58" i="54"/>
  <c r="AO58" i="54"/>
  <c r="AQ58" i="54" s="1"/>
  <c r="AH57" i="54"/>
  <c r="AI57" i="54" s="1"/>
  <c r="D58" i="54"/>
  <c r="U57" i="54"/>
  <c r="P57" i="54" s="1"/>
  <c r="AF57" i="54"/>
  <c r="AG57" i="54" s="1"/>
  <c r="W57" i="54"/>
  <c r="X57" i="54" s="1"/>
  <c r="AZ58" i="54"/>
  <c r="V57" i="54"/>
  <c r="Q57" i="54" s="1"/>
  <c r="F58" i="54"/>
  <c r="AL57" i="54"/>
  <c r="AE57" i="54" s="1"/>
  <c r="R58" i="54"/>
  <c r="B58" i="54"/>
  <c r="AM58" i="54"/>
  <c r="AN58" i="54" s="1"/>
  <c r="Z57" i="54"/>
  <c r="AA57" i="54" s="1"/>
  <c r="J57" i="54" s="1"/>
  <c r="AK57" i="54"/>
  <c r="AD57" i="54" s="1"/>
  <c r="AK36" i="54"/>
  <c r="AD36" i="54" s="1"/>
  <c r="AF36" i="54"/>
  <c r="AG36" i="54" s="1"/>
  <c r="AL36" i="54"/>
  <c r="AE36" i="54" s="1"/>
  <c r="Z36" i="54"/>
  <c r="AA36" i="54" s="1"/>
  <c r="J36" i="54" s="1"/>
  <c r="U36" i="54"/>
  <c r="P36" i="54" s="1"/>
  <c r="AH36" i="54"/>
  <c r="AI36" i="54" s="1"/>
  <c r="I37" i="54"/>
  <c r="F37" i="54"/>
  <c r="W36" i="54"/>
  <c r="X36" i="54" s="1"/>
  <c r="B37" i="54"/>
  <c r="AZ37" i="54"/>
  <c r="V36" i="54"/>
  <c r="Q36" i="54" s="1"/>
  <c r="R37" i="54"/>
  <c r="D37" i="54"/>
  <c r="AO37" i="54"/>
  <c r="AQ37" i="54" s="1"/>
  <c r="AM37" i="54"/>
  <c r="AN37" i="54" s="1"/>
  <c r="D42" i="54"/>
  <c r="U41" i="54"/>
  <c r="P41" i="54" s="1"/>
  <c r="W41" i="54"/>
  <c r="X41" i="54" s="1"/>
  <c r="Z41" i="54"/>
  <c r="AA41" i="54" s="1"/>
  <c r="J41" i="54" s="1"/>
  <c r="AL41" i="54"/>
  <c r="AE41" i="54" s="1"/>
  <c r="AK41" i="54"/>
  <c r="AD41" i="54" s="1"/>
  <c r="F42" i="54"/>
  <c r="AH41" i="54"/>
  <c r="AI41" i="54" s="1"/>
  <c r="AF41" i="54"/>
  <c r="AG41" i="54" s="1"/>
  <c r="I42" i="54"/>
  <c r="B42" i="54"/>
  <c r="R42" i="54"/>
  <c r="V41" i="54"/>
  <c r="Q41" i="54" s="1"/>
  <c r="AZ42" i="54"/>
  <c r="AO42" i="54"/>
  <c r="AQ42" i="54" s="1"/>
  <c r="AM42" i="54"/>
  <c r="AN42" i="54" s="1"/>
  <c r="AO54" i="54"/>
  <c r="AQ54" i="54" s="1"/>
  <c r="AZ54" i="54"/>
  <c r="I54" i="54"/>
  <c r="AM54" i="54"/>
  <c r="AN54" i="54" s="1"/>
  <c r="R54" i="54"/>
  <c r="U53" i="54"/>
  <c r="P53" i="54" s="1"/>
  <c r="AH53" i="54"/>
  <c r="AI53" i="54" s="1"/>
  <c r="W53" i="54"/>
  <c r="X53" i="54" s="1"/>
  <c r="Z53" i="54"/>
  <c r="AA53" i="54" s="1"/>
  <c r="J53" i="54" s="1"/>
  <c r="AL53" i="54"/>
  <c r="AE53" i="54" s="1"/>
  <c r="D54" i="54"/>
  <c r="V53" i="54"/>
  <c r="Q53" i="54" s="1"/>
  <c r="B54" i="54"/>
  <c r="AF53" i="54"/>
  <c r="AG53" i="54" s="1"/>
  <c r="F54" i="54"/>
  <c r="I34" i="54"/>
  <c r="AO34" i="54"/>
  <c r="AQ34" i="54" s="1"/>
  <c r="AZ34" i="54"/>
  <c r="R34" i="54"/>
  <c r="AJ34" i="54" s="1"/>
  <c r="AM34" i="54"/>
  <c r="AN34" i="54" s="1"/>
  <c r="D34" i="54"/>
  <c r="AF33" i="54"/>
  <c r="AG33" i="54" s="1"/>
  <c r="Z33" i="54"/>
  <c r="AA33" i="54" s="1"/>
  <c r="J33" i="54" s="1"/>
  <c r="B34" i="54"/>
  <c r="U33" i="54"/>
  <c r="P33" i="54" s="1"/>
  <c r="AK33" i="54"/>
  <c r="AD33" i="54" s="1"/>
  <c r="V33" i="54"/>
  <c r="Q33" i="54" s="1"/>
  <c r="W33" i="54"/>
  <c r="X33" i="54" s="1"/>
  <c r="F34" i="54"/>
  <c r="AL33" i="54"/>
  <c r="AE33" i="54" s="1"/>
  <c r="AH33" i="54"/>
  <c r="AI33" i="54" s="1"/>
  <c r="AO85" i="54"/>
  <c r="AQ85" i="54" s="1"/>
  <c r="D86" i="54"/>
  <c r="W84" i="54"/>
  <c r="X84" i="54" s="1"/>
  <c r="AH84" i="54"/>
  <c r="AI84" i="54" s="1"/>
  <c r="B85" i="54"/>
  <c r="AL84" i="54"/>
  <c r="AE84" i="54" s="1"/>
  <c r="F85" i="54"/>
  <c r="U85" i="54"/>
  <c r="P85" i="54" s="1"/>
  <c r="Z84" i="54"/>
  <c r="AA84" i="54" s="1"/>
  <c r="J84" i="54" s="1"/>
  <c r="AM85" i="54"/>
  <c r="AN85" i="54" s="1"/>
  <c r="D85" i="54"/>
  <c r="AF85" i="54"/>
  <c r="AG85" i="54" s="1"/>
  <c r="U84" i="54"/>
  <c r="P84" i="54" s="1"/>
  <c r="I85" i="54"/>
  <c r="V85" i="54"/>
  <c r="Q85" i="54" s="1"/>
  <c r="AK84" i="54"/>
  <c r="AD84" i="54" s="1"/>
  <c r="W85" i="54"/>
  <c r="X85" i="54" s="1"/>
  <c r="R85" i="54"/>
  <c r="V84" i="54"/>
  <c r="Q84" i="54" s="1"/>
  <c r="AH85" i="54"/>
  <c r="AI85" i="54" s="1"/>
  <c r="F86" i="54"/>
  <c r="AF84" i="54"/>
  <c r="AG84" i="54" s="1"/>
  <c r="AL85" i="54"/>
  <c r="AE85" i="54" s="1"/>
  <c r="AZ85" i="54"/>
  <c r="AK85" i="54"/>
  <c r="AD85" i="54" s="1"/>
  <c r="B86" i="54"/>
  <c r="Z85" i="54"/>
  <c r="AA85" i="54" s="1"/>
  <c r="J85" i="54" s="1"/>
  <c r="R56" i="54"/>
  <c r="U55" i="54"/>
  <c r="P55" i="54" s="1"/>
  <c r="B56" i="54"/>
  <c r="AZ56" i="54"/>
  <c r="I56" i="54"/>
  <c r="AF55" i="54"/>
  <c r="AG55" i="54" s="1"/>
  <c r="V55" i="54"/>
  <c r="Q55" i="54" s="1"/>
  <c r="W55" i="54"/>
  <c r="X55" i="54" s="1"/>
  <c r="AO56" i="54"/>
  <c r="AQ56" i="54" s="1"/>
  <c r="AL55" i="54"/>
  <c r="AE55" i="54" s="1"/>
  <c r="F56" i="54"/>
  <c r="Z55" i="54"/>
  <c r="AA55" i="54" s="1"/>
  <c r="J55" i="54" s="1"/>
  <c r="D56" i="54"/>
  <c r="AK55" i="54"/>
  <c r="AD55" i="54" s="1"/>
  <c r="AM56" i="54"/>
  <c r="AN56" i="54" s="1"/>
  <c r="AH55" i="54"/>
  <c r="AI55" i="54" s="1"/>
  <c r="W81" i="54"/>
  <c r="X81" i="54" s="1"/>
  <c r="V81" i="54"/>
  <c r="Q81" i="54" s="1"/>
  <c r="AH81" i="54"/>
  <c r="AI81" i="54" s="1"/>
  <c r="D82" i="54"/>
  <c r="AK81" i="54"/>
  <c r="AD81" i="54" s="1"/>
  <c r="AL81" i="54"/>
  <c r="AE81" i="54" s="1"/>
  <c r="AF81" i="54"/>
  <c r="AG81" i="54" s="1"/>
  <c r="AZ82" i="54"/>
  <c r="F82" i="54"/>
  <c r="I82" i="54"/>
  <c r="AM82" i="54"/>
  <c r="AN82" i="54" s="1"/>
  <c r="Z81" i="54"/>
  <c r="AA81" i="54" s="1"/>
  <c r="J81" i="54" s="1"/>
  <c r="R82" i="54"/>
  <c r="AO82" i="54"/>
  <c r="AQ82" i="54" s="1"/>
  <c r="B82" i="54"/>
  <c r="U81" i="54"/>
  <c r="P81" i="54" s="1"/>
  <c r="AZ26" i="54"/>
  <c r="I26" i="54"/>
  <c r="L57" i="53"/>
  <c r="L47" i="53"/>
  <c r="L74" i="53"/>
  <c r="H60" i="53"/>
  <c r="AQ72" i="53"/>
  <c r="AP72" i="53"/>
  <c r="AV25" i="54"/>
  <c r="AW25" i="54" s="1"/>
  <c r="AX25" i="54" s="1"/>
  <c r="AM25" i="54"/>
  <c r="AN25" i="54" s="1"/>
  <c r="AZ25" i="54"/>
  <c r="B25" i="54"/>
  <c r="AO25" i="54"/>
  <c r="AQ25" i="54" s="1"/>
  <c r="AH26" i="54"/>
  <c r="AI26" i="54" s="1"/>
  <c r="W26" i="54"/>
  <c r="I27" i="54"/>
  <c r="Z26" i="54"/>
  <c r="AA26" i="54" s="1"/>
  <c r="J26" i="54" s="1"/>
  <c r="AZ27" i="54"/>
  <c r="AF26" i="54"/>
  <c r="Z75" i="54"/>
  <c r="AA75" i="54" s="1"/>
  <c r="J75" i="54" s="1"/>
  <c r="AZ76" i="54"/>
  <c r="B76" i="54"/>
  <c r="AO76" i="54"/>
  <c r="AQ76" i="54" s="1"/>
  <c r="AF75" i="54"/>
  <c r="AG75" i="54" s="1"/>
  <c r="AK75" i="54"/>
  <c r="AD75" i="54" s="1"/>
  <c r="AL75" i="54"/>
  <c r="AE75" i="54" s="1"/>
  <c r="I76" i="54"/>
  <c r="R76" i="54"/>
  <c r="D76" i="54"/>
  <c r="U75" i="54"/>
  <c r="P75" i="54" s="1"/>
  <c r="F76" i="54"/>
  <c r="AH75" i="54"/>
  <c r="AI75" i="54" s="1"/>
  <c r="W75" i="54"/>
  <c r="X75" i="54" s="1"/>
  <c r="V75" i="54"/>
  <c r="Q75" i="54" s="1"/>
  <c r="AM76" i="54"/>
  <c r="AN76" i="54" s="1"/>
  <c r="AH65" i="54"/>
  <c r="AI65" i="54" s="1"/>
  <c r="W64" i="54"/>
  <c r="X64" i="54" s="1"/>
  <c r="F65" i="54"/>
  <c r="AL64" i="54"/>
  <c r="AE64" i="54" s="1"/>
  <c r="D65" i="54"/>
  <c r="Z64" i="54"/>
  <c r="AA64" i="54" s="1"/>
  <c r="J64" i="54" s="1"/>
  <c r="B65" i="54"/>
  <c r="AF64" i="54"/>
  <c r="AG64" i="54" s="1"/>
  <c r="U64" i="54"/>
  <c r="P64" i="54" s="1"/>
  <c r="V64" i="54"/>
  <c r="Q64" i="54" s="1"/>
  <c r="AH64" i="54"/>
  <c r="AI64" i="54" s="1"/>
  <c r="AK64" i="54"/>
  <c r="AD64" i="54" s="1"/>
  <c r="R65" i="54"/>
  <c r="AM65" i="54"/>
  <c r="AN65" i="54" s="1"/>
  <c r="I65" i="54"/>
  <c r="AZ65" i="54"/>
  <c r="AO65" i="54"/>
  <c r="AQ65" i="54" s="1"/>
  <c r="R63" i="54"/>
  <c r="U62" i="54"/>
  <c r="P62" i="54" s="1"/>
  <c r="AK62" i="54"/>
  <c r="AD62" i="54" s="1"/>
  <c r="D63" i="54"/>
  <c r="AM63" i="54"/>
  <c r="AN63" i="54" s="1"/>
  <c r="F63" i="54"/>
  <c r="AH62" i="54"/>
  <c r="AI62" i="54" s="1"/>
  <c r="AL62" i="54"/>
  <c r="AE62" i="54" s="1"/>
  <c r="AF62" i="54"/>
  <c r="AG62" i="54" s="1"/>
  <c r="W62" i="54"/>
  <c r="X62" i="54" s="1"/>
  <c r="Z62" i="54"/>
  <c r="AA62" i="54" s="1"/>
  <c r="J62" i="54" s="1"/>
  <c r="I63" i="54"/>
  <c r="AO63" i="54"/>
  <c r="AQ63" i="54" s="1"/>
  <c r="B63" i="54"/>
  <c r="AZ63" i="54"/>
  <c r="V62" i="54"/>
  <c r="Q62" i="54" s="1"/>
  <c r="AL67" i="54"/>
  <c r="AE67" i="54" s="1"/>
  <c r="V67" i="54"/>
  <c r="Q67" i="54" s="1"/>
  <c r="AF67" i="54"/>
  <c r="AG67" i="54" s="1"/>
  <c r="U67" i="54"/>
  <c r="P67" i="54" s="1"/>
  <c r="R68" i="54"/>
  <c r="AH67" i="54"/>
  <c r="AI67" i="54" s="1"/>
  <c r="AZ68" i="54"/>
  <c r="Z67" i="54"/>
  <c r="AA67" i="54" s="1"/>
  <c r="J67" i="54" s="1"/>
  <c r="B68" i="54"/>
  <c r="D68" i="54"/>
  <c r="I68" i="54"/>
  <c r="F68" i="54"/>
  <c r="AO68" i="54"/>
  <c r="AQ68" i="54" s="1"/>
  <c r="W67" i="54"/>
  <c r="X67" i="54" s="1"/>
  <c r="AM68" i="54"/>
  <c r="AN68" i="54" s="1"/>
  <c r="AK67" i="54"/>
  <c r="AD67" i="54" s="1"/>
  <c r="R62" i="54"/>
  <c r="AO62" i="54"/>
  <c r="AQ62" i="54" s="1"/>
  <c r="AK61" i="54"/>
  <c r="AD61" i="54" s="1"/>
  <c r="AF61" i="54"/>
  <c r="AG61" i="54" s="1"/>
  <c r="AH61" i="54"/>
  <c r="AI61" i="54" s="1"/>
  <c r="V61" i="54"/>
  <c r="Q61" i="54" s="1"/>
  <c r="F62" i="54"/>
  <c r="U61" i="54"/>
  <c r="P61" i="54" s="1"/>
  <c r="AZ62" i="54"/>
  <c r="D62" i="54"/>
  <c r="S62" i="54" s="1"/>
  <c r="T62" i="54" s="1"/>
  <c r="AL61" i="54"/>
  <c r="AE61" i="54" s="1"/>
  <c r="B62" i="54"/>
  <c r="W61" i="54"/>
  <c r="X61" i="54" s="1"/>
  <c r="Z61" i="54"/>
  <c r="AA61" i="54" s="1"/>
  <c r="J61" i="54" s="1"/>
  <c r="I62" i="54"/>
  <c r="AM62" i="54"/>
  <c r="AN62" i="54" s="1"/>
  <c r="AH68" i="54"/>
  <c r="AI68" i="54" s="1"/>
  <c r="R69" i="54"/>
  <c r="AM69" i="54"/>
  <c r="AN69" i="54" s="1"/>
  <c r="U68" i="54"/>
  <c r="P68" i="54" s="1"/>
  <c r="AK68" i="54"/>
  <c r="AD68" i="54" s="1"/>
  <c r="AZ69" i="54"/>
  <c r="AL68" i="54"/>
  <c r="AE68" i="54" s="1"/>
  <c r="D69" i="54"/>
  <c r="AF68" i="54"/>
  <c r="AG68" i="54" s="1"/>
  <c r="I69" i="54"/>
  <c r="F69" i="54"/>
  <c r="Z68" i="54"/>
  <c r="AA68" i="54" s="1"/>
  <c r="J68" i="54" s="1"/>
  <c r="B69" i="54"/>
  <c r="V68" i="54"/>
  <c r="Q68" i="54" s="1"/>
  <c r="AO69" i="54"/>
  <c r="AQ69" i="54" s="1"/>
  <c r="W68" i="54"/>
  <c r="X68" i="54" s="1"/>
  <c r="Z70" i="54"/>
  <c r="AA70" i="54" s="1"/>
  <c r="J70" i="54" s="1"/>
  <c r="U70" i="54"/>
  <c r="P70" i="54" s="1"/>
  <c r="R71" i="54"/>
  <c r="V70" i="54"/>
  <c r="Q70" i="54" s="1"/>
  <c r="D71" i="54"/>
  <c r="AK70" i="54"/>
  <c r="AD70" i="54" s="1"/>
  <c r="AO71" i="54"/>
  <c r="AQ71" i="54" s="1"/>
  <c r="AZ71" i="54"/>
  <c r="F71" i="54"/>
  <c r="AH70" i="54"/>
  <c r="AI70" i="54" s="1"/>
  <c r="AL70" i="54"/>
  <c r="AE70" i="54" s="1"/>
  <c r="AM71" i="54"/>
  <c r="AN71" i="54" s="1"/>
  <c r="W70" i="54"/>
  <c r="X70" i="54" s="1"/>
  <c r="AF70" i="54"/>
  <c r="AG70" i="54" s="1"/>
  <c r="I71" i="54"/>
  <c r="B71" i="54"/>
  <c r="AO60" i="54"/>
  <c r="AQ60" i="54" s="1"/>
  <c r="AM60" i="54"/>
  <c r="AN60" i="54" s="1"/>
  <c r="R60" i="54"/>
  <c r="I60" i="54"/>
  <c r="AZ60" i="54"/>
  <c r="U59" i="54"/>
  <c r="P59" i="54" s="1"/>
  <c r="AH59" i="54"/>
  <c r="AI59" i="54" s="1"/>
  <c r="F60" i="54"/>
  <c r="AF59" i="54"/>
  <c r="AG59" i="54" s="1"/>
  <c r="V59" i="54"/>
  <c r="Q59" i="54" s="1"/>
  <c r="AL59" i="54"/>
  <c r="AE59" i="54" s="1"/>
  <c r="B60" i="54"/>
  <c r="W59" i="54"/>
  <c r="X59" i="54" s="1"/>
  <c r="D60" i="54"/>
  <c r="Z59" i="54"/>
  <c r="AA59" i="54" s="1"/>
  <c r="J59" i="54" s="1"/>
  <c r="AK59" i="54"/>
  <c r="AD59" i="54" s="1"/>
  <c r="AF30" i="54"/>
  <c r="AG30" i="54" s="1"/>
  <c r="W30" i="54"/>
  <c r="X30" i="54" s="1"/>
  <c r="AZ31" i="54"/>
  <c r="I31" i="54"/>
  <c r="AK77" i="54"/>
  <c r="AD77" i="54" s="1"/>
  <c r="B78" i="54"/>
  <c r="AH77" i="54"/>
  <c r="AI77" i="54" s="1"/>
  <c r="Z77" i="54"/>
  <c r="AA77" i="54" s="1"/>
  <c r="J77" i="54" s="1"/>
  <c r="AO78" i="54"/>
  <c r="AQ78" i="54" s="1"/>
  <c r="AZ78" i="54"/>
  <c r="R78" i="54"/>
  <c r="D78" i="54"/>
  <c r="V77" i="54"/>
  <c r="Q77" i="54" s="1"/>
  <c r="W77" i="54"/>
  <c r="X77" i="54" s="1"/>
  <c r="AL77" i="54"/>
  <c r="AE77" i="54" s="1"/>
  <c r="I78" i="54"/>
  <c r="F78" i="54"/>
  <c r="AM78" i="54"/>
  <c r="AN78" i="54" s="1"/>
  <c r="U77" i="54"/>
  <c r="P77" i="54" s="1"/>
  <c r="AF77" i="54"/>
  <c r="AG77" i="54" s="1"/>
  <c r="W44" i="54"/>
  <c r="X44" i="54" s="1"/>
  <c r="I45" i="54"/>
  <c r="AO45" i="54"/>
  <c r="AQ45" i="54" s="1"/>
  <c r="D45" i="54"/>
  <c r="AL44" i="54"/>
  <c r="AE44" i="54" s="1"/>
  <c r="R45" i="54"/>
  <c r="U44" i="54"/>
  <c r="P44" i="54" s="1"/>
  <c r="V44" i="54"/>
  <c r="Q44" i="54" s="1"/>
  <c r="AH44" i="54"/>
  <c r="AI44" i="54" s="1"/>
  <c r="AZ45" i="54"/>
  <c r="Z44" i="54"/>
  <c r="AA44" i="54" s="1"/>
  <c r="J44" i="54" s="1"/>
  <c r="F45" i="54"/>
  <c r="AK44" i="54"/>
  <c r="AD44" i="54" s="1"/>
  <c r="AF44" i="54"/>
  <c r="AG44" i="54" s="1"/>
  <c r="B45" i="54"/>
  <c r="AM45" i="54"/>
  <c r="AN45" i="54" s="1"/>
  <c r="AH73" i="54"/>
  <c r="AI73" i="54" s="1"/>
  <c r="U73" i="54"/>
  <c r="P73" i="54" s="1"/>
  <c r="AF73" i="54"/>
  <c r="AG73" i="54" s="1"/>
  <c r="B74" i="54"/>
  <c r="AO74" i="54"/>
  <c r="AQ74" i="54" s="1"/>
  <c r="AZ74" i="54"/>
  <c r="V73" i="54"/>
  <c r="Q73" i="54" s="1"/>
  <c r="I74" i="54"/>
  <c r="D74" i="54"/>
  <c r="F74" i="54"/>
  <c r="AL73" i="54"/>
  <c r="AE73" i="54" s="1"/>
  <c r="W73" i="54"/>
  <c r="X73" i="54" s="1"/>
  <c r="AM74" i="54"/>
  <c r="AN74" i="54" s="1"/>
  <c r="AK73" i="54"/>
  <c r="AD73" i="54" s="1"/>
  <c r="R74" i="54"/>
  <c r="Z73" i="54"/>
  <c r="AA73" i="54" s="1"/>
  <c r="J73" i="54" s="1"/>
  <c r="AF71" i="54"/>
  <c r="AG71" i="54" s="1"/>
  <c r="AM72" i="54"/>
  <c r="AN72" i="54" s="1"/>
  <c r="R72" i="54"/>
  <c r="I72" i="54"/>
  <c r="AO72" i="54"/>
  <c r="AQ72" i="54" s="1"/>
  <c r="U71" i="54"/>
  <c r="P71" i="54" s="1"/>
  <c r="Z71" i="54"/>
  <c r="AA71" i="54" s="1"/>
  <c r="J71" i="54" s="1"/>
  <c r="AL71" i="54"/>
  <c r="AE71" i="54" s="1"/>
  <c r="AZ72" i="54"/>
  <c r="W71" i="54"/>
  <c r="X71" i="54" s="1"/>
  <c r="AK71" i="54"/>
  <c r="AD71" i="54" s="1"/>
  <c r="V71" i="54"/>
  <c r="Q71" i="54" s="1"/>
  <c r="AH71" i="54"/>
  <c r="AI71" i="54" s="1"/>
  <c r="B72" i="54"/>
  <c r="D72" i="54"/>
  <c r="F72" i="54"/>
  <c r="AH45" i="54"/>
  <c r="AI45" i="54" s="1"/>
  <c r="AO46" i="54"/>
  <c r="AQ46" i="54" s="1"/>
  <c r="Z45" i="54"/>
  <c r="AA45" i="54" s="1"/>
  <c r="J45" i="54" s="1"/>
  <c r="R46" i="54"/>
  <c r="AM46" i="54"/>
  <c r="AN46" i="54" s="1"/>
  <c r="B46" i="54"/>
  <c r="I46" i="54"/>
  <c r="AK45" i="54"/>
  <c r="AD45" i="54" s="1"/>
  <c r="F46" i="54"/>
  <c r="W45" i="54"/>
  <c r="X45" i="54" s="1"/>
  <c r="AL45" i="54"/>
  <c r="AE45" i="54" s="1"/>
  <c r="AF45" i="54"/>
  <c r="AG45" i="54" s="1"/>
  <c r="AZ46" i="54"/>
  <c r="U45" i="54"/>
  <c r="P45" i="54" s="1"/>
  <c r="V45" i="54"/>
  <c r="Q45" i="54" s="1"/>
  <c r="D46" i="54"/>
  <c r="AM47" i="54"/>
  <c r="AN47" i="54" s="1"/>
  <c r="B47" i="54"/>
  <c r="AZ47" i="54"/>
  <c r="AL46" i="54"/>
  <c r="AE46" i="54" s="1"/>
  <c r="W46" i="54"/>
  <c r="X46" i="54" s="1"/>
  <c r="V46" i="54"/>
  <c r="Q46" i="54" s="1"/>
  <c r="AF46" i="54"/>
  <c r="AG46" i="54" s="1"/>
  <c r="U46" i="54"/>
  <c r="P46" i="54" s="1"/>
  <c r="D47" i="54"/>
  <c r="F47" i="54"/>
  <c r="AO47" i="54"/>
  <c r="AQ47" i="54" s="1"/>
  <c r="Z46" i="54"/>
  <c r="AA46" i="54" s="1"/>
  <c r="J46" i="54" s="1"/>
  <c r="I47" i="54"/>
  <c r="AH46" i="54"/>
  <c r="AI46" i="54" s="1"/>
  <c r="R47" i="54"/>
  <c r="AK46" i="54"/>
  <c r="AD46" i="54" s="1"/>
  <c r="I28" i="54"/>
  <c r="W27" i="54"/>
  <c r="X27" i="54" s="1"/>
  <c r="AF27" i="54"/>
  <c r="AG27" i="54" s="1"/>
  <c r="AZ28" i="54"/>
  <c r="D49" i="54"/>
  <c r="AZ49" i="54"/>
  <c r="V48" i="54"/>
  <c r="Q48" i="54" s="1"/>
  <c r="AH48" i="54"/>
  <c r="AI48" i="54" s="1"/>
  <c r="Z48" i="54"/>
  <c r="AA48" i="54" s="1"/>
  <c r="J48" i="54" s="1"/>
  <c r="B49" i="54"/>
  <c r="F49" i="54"/>
  <c r="W48" i="54"/>
  <c r="X48" i="54" s="1"/>
  <c r="U48" i="54"/>
  <c r="P48" i="54" s="1"/>
  <c r="AL48" i="54"/>
  <c r="AE48" i="54" s="1"/>
  <c r="AO49" i="54"/>
  <c r="AQ49" i="54" s="1"/>
  <c r="AM49" i="54"/>
  <c r="AN49" i="54" s="1"/>
  <c r="AK48" i="54"/>
  <c r="AD48" i="54" s="1"/>
  <c r="I49" i="54"/>
  <c r="AF48" i="54"/>
  <c r="AG48" i="54" s="1"/>
  <c r="R49" i="54"/>
  <c r="AM32" i="54"/>
  <c r="AN32" i="54" s="1"/>
  <c r="AF31" i="54"/>
  <c r="AG31" i="54" s="1"/>
  <c r="R32" i="54"/>
  <c r="AZ32" i="54"/>
  <c r="I32" i="54"/>
  <c r="AO32" i="54"/>
  <c r="AQ32" i="54" s="1"/>
  <c r="B32" i="54"/>
  <c r="W31" i="54"/>
  <c r="X31" i="54" s="1"/>
  <c r="AZ77" i="54"/>
  <c r="V76" i="54"/>
  <c r="Q76" i="54" s="1"/>
  <c r="W76" i="54"/>
  <c r="X76" i="54" s="1"/>
  <c r="AF76" i="54"/>
  <c r="AG76" i="54" s="1"/>
  <c r="AO77" i="54"/>
  <c r="AQ77" i="54" s="1"/>
  <c r="AL76" i="54"/>
  <c r="AE76" i="54" s="1"/>
  <c r="F77" i="54"/>
  <c r="AM77" i="54"/>
  <c r="AN77" i="54" s="1"/>
  <c r="B77" i="54"/>
  <c r="I77" i="54"/>
  <c r="R77" i="54"/>
  <c r="AJ77" i="54" s="1"/>
  <c r="D77" i="54"/>
  <c r="U76" i="54"/>
  <c r="P76" i="54" s="1"/>
  <c r="AH76" i="54"/>
  <c r="AI76" i="54" s="1"/>
  <c r="Z76" i="54"/>
  <c r="AA76" i="54" s="1"/>
  <c r="J76" i="54" s="1"/>
  <c r="AK76" i="54"/>
  <c r="AD76" i="54" s="1"/>
  <c r="B51" i="54"/>
  <c r="AF50" i="54"/>
  <c r="AG50" i="54" s="1"/>
  <c r="V50" i="54"/>
  <c r="Q50" i="54" s="1"/>
  <c r="F51" i="54"/>
  <c r="D51" i="54"/>
  <c r="AL50" i="54"/>
  <c r="AE50" i="54" s="1"/>
  <c r="AZ51" i="54"/>
  <c r="I51" i="54"/>
  <c r="R51" i="54"/>
  <c r="AO51" i="54"/>
  <c r="AQ51" i="54" s="1"/>
  <c r="W50" i="54"/>
  <c r="X50" i="54" s="1"/>
  <c r="AK50" i="54"/>
  <c r="AD50" i="54" s="1"/>
  <c r="Z50" i="54"/>
  <c r="AA50" i="54" s="1"/>
  <c r="J50" i="54" s="1"/>
  <c r="AM51" i="54"/>
  <c r="AN51" i="54" s="1"/>
  <c r="U50" i="54"/>
  <c r="P50" i="54" s="1"/>
  <c r="AH50" i="54"/>
  <c r="AI50" i="54" s="1"/>
  <c r="I64" i="54"/>
  <c r="AZ64" i="54"/>
  <c r="B64" i="54"/>
  <c r="AM64" i="54"/>
  <c r="AN64" i="54" s="1"/>
  <c r="AK63" i="54"/>
  <c r="AD63" i="54" s="1"/>
  <c r="AH63" i="54"/>
  <c r="AI63" i="54" s="1"/>
  <c r="R64" i="54"/>
  <c r="AF63" i="54"/>
  <c r="AG63" i="54" s="1"/>
  <c r="V63" i="54"/>
  <c r="Q63" i="54" s="1"/>
  <c r="AO64" i="54"/>
  <c r="AQ64" i="54" s="1"/>
  <c r="F64" i="54"/>
  <c r="Z63" i="54"/>
  <c r="AA63" i="54" s="1"/>
  <c r="J63" i="54" s="1"/>
  <c r="AL63" i="54"/>
  <c r="AE63" i="54" s="1"/>
  <c r="D64" i="54"/>
  <c r="W63" i="54"/>
  <c r="X63" i="54" s="1"/>
  <c r="U63" i="54"/>
  <c r="P63" i="54" s="1"/>
  <c r="Z80" i="54"/>
  <c r="AA80" i="54" s="1"/>
  <c r="J80" i="54" s="1"/>
  <c r="R81" i="54"/>
  <c r="U80" i="54"/>
  <c r="P80" i="54" s="1"/>
  <c r="B81" i="54"/>
  <c r="AZ81" i="54"/>
  <c r="V80" i="54"/>
  <c r="Q80" i="54" s="1"/>
  <c r="AM81" i="54"/>
  <c r="AN81" i="54" s="1"/>
  <c r="AK80" i="54"/>
  <c r="AD80" i="54" s="1"/>
  <c r="I81" i="54"/>
  <c r="F81" i="54"/>
  <c r="AL80" i="54"/>
  <c r="AE80" i="54" s="1"/>
  <c r="D81" i="54"/>
  <c r="W80" i="54"/>
  <c r="X80" i="54" s="1"/>
  <c r="AH80" i="54"/>
  <c r="AI80" i="54" s="1"/>
  <c r="AF80" i="54"/>
  <c r="AG80" i="54" s="1"/>
  <c r="AO81" i="54"/>
  <c r="AQ81" i="54" s="1"/>
  <c r="F59" i="54"/>
  <c r="W58" i="54"/>
  <c r="X58" i="54" s="1"/>
  <c r="U58" i="54"/>
  <c r="P58" i="54" s="1"/>
  <c r="B59" i="54"/>
  <c r="AF58" i="54"/>
  <c r="AG58" i="54" s="1"/>
  <c r="V58" i="54"/>
  <c r="Q58" i="54" s="1"/>
  <c r="AL58" i="54"/>
  <c r="AE58" i="54" s="1"/>
  <c r="AK58" i="54"/>
  <c r="AD58" i="54" s="1"/>
  <c r="AO59" i="54"/>
  <c r="AQ59" i="54" s="1"/>
  <c r="AH58" i="54"/>
  <c r="AI58" i="54" s="1"/>
  <c r="D59" i="54"/>
  <c r="AZ59" i="54"/>
  <c r="AM59" i="54"/>
  <c r="AN59" i="54" s="1"/>
  <c r="I59" i="54"/>
  <c r="Z58" i="54"/>
  <c r="AA58" i="54" s="1"/>
  <c r="J58" i="54" s="1"/>
  <c r="R59" i="54"/>
  <c r="AZ38" i="54"/>
  <c r="R38" i="54"/>
  <c r="B38" i="54"/>
  <c r="Z37" i="54"/>
  <c r="AA37" i="54" s="1"/>
  <c r="J37" i="54" s="1"/>
  <c r="AO38" i="54"/>
  <c r="AQ38" i="54" s="1"/>
  <c r="U37" i="54"/>
  <c r="P37" i="54" s="1"/>
  <c r="AK37" i="54"/>
  <c r="AD37" i="54" s="1"/>
  <c r="AH37" i="54"/>
  <c r="AI37" i="54" s="1"/>
  <c r="D38" i="54"/>
  <c r="W37" i="54"/>
  <c r="X37" i="54" s="1"/>
  <c r="AF37" i="54"/>
  <c r="AG37" i="54" s="1"/>
  <c r="F38" i="54"/>
  <c r="AM38" i="54"/>
  <c r="AN38" i="54" s="1"/>
  <c r="V37" i="54"/>
  <c r="Q37" i="54" s="1"/>
  <c r="AL37" i="54"/>
  <c r="AE37" i="54" s="1"/>
  <c r="I38" i="54"/>
  <c r="R48" i="54"/>
  <c r="Z47" i="54"/>
  <c r="AA47" i="54" s="1"/>
  <c r="J47" i="54" s="1"/>
  <c r="U47" i="54"/>
  <c r="P47" i="54" s="1"/>
  <c r="F48" i="54"/>
  <c r="AO48" i="54"/>
  <c r="AQ48" i="54" s="1"/>
  <c r="AH47" i="54"/>
  <c r="AI47" i="54" s="1"/>
  <c r="D48" i="54"/>
  <c r="AZ48" i="54"/>
  <c r="AF47" i="54"/>
  <c r="AG47" i="54" s="1"/>
  <c r="I48" i="54"/>
  <c r="V47" i="54"/>
  <c r="Q47" i="54" s="1"/>
  <c r="W47" i="54"/>
  <c r="X47" i="54" s="1"/>
  <c r="B48" i="54"/>
  <c r="AK47" i="54"/>
  <c r="AD47" i="54" s="1"/>
  <c r="AL47" i="54"/>
  <c r="AE47" i="54" s="1"/>
  <c r="AM48" i="54"/>
  <c r="AN48" i="54" s="1"/>
  <c r="R79" i="54"/>
  <c r="AF78" i="54"/>
  <c r="AG78" i="54" s="1"/>
  <c r="D79" i="54"/>
  <c r="I79" i="54"/>
  <c r="W78" i="54"/>
  <c r="X78" i="54" s="1"/>
  <c r="U78" i="54"/>
  <c r="P78" i="54" s="1"/>
  <c r="Z78" i="54"/>
  <c r="AA78" i="54" s="1"/>
  <c r="J78" i="54" s="1"/>
  <c r="AK78" i="54"/>
  <c r="AD78" i="54" s="1"/>
  <c r="V78" i="54"/>
  <c r="Q78" i="54" s="1"/>
  <c r="AH78" i="54"/>
  <c r="AI78" i="54" s="1"/>
  <c r="AO79" i="54"/>
  <c r="AQ79" i="54" s="1"/>
  <c r="B79" i="54"/>
  <c r="F79" i="54"/>
  <c r="AL78" i="54"/>
  <c r="AE78" i="54" s="1"/>
  <c r="AZ79" i="54"/>
  <c r="AM79" i="54"/>
  <c r="AN79" i="54" s="1"/>
  <c r="Z56" i="54"/>
  <c r="AA56" i="54" s="1"/>
  <c r="J56" i="54" s="1"/>
  <c r="AO57" i="54"/>
  <c r="AQ57" i="54" s="1"/>
  <c r="AL56" i="54"/>
  <c r="AE56" i="54" s="1"/>
  <c r="U56" i="54"/>
  <c r="P56" i="54" s="1"/>
  <c r="I57" i="54"/>
  <c r="AM57" i="54"/>
  <c r="AN57" i="54" s="1"/>
  <c r="W56" i="54"/>
  <c r="X56" i="54" s="1"/>
  <c r="V56" i="54"/>
  <c r="Q56" i="54" s="1"/>
  <c r="AZ57" i="54"/>
  <c r="D57" i="54"/>
  <c r="AH56" i="54"/>
  <c r="AI56" i="54" s="1"/>
  <c r="AK56" i="54"/>
  <c r="AD56" i="54" s="1"/>
  <c r="F57" i="54"/>
  <c r="AF56" i="54"/>
  <c r="AG56" i="54" s="1"/>
  <c r="R57" i="54"/>
  <c r="B57" i="54"/>
  <c r="V32" i="54"/>
  <c r="Q32" i="54" s="1"/>
  <c r="U32" i="54"/>
  <c r="P32" i="54" s="1"/>
  <c r="B33" i="54"/>
  <c r="AK32" i="54"/>
  <c r="AD32" i="54" s="1"/>
  <c r="R33" i="54"/>
  <c r="AH32" i="54"/>
  <c r="AI32" i="54" s="1"/>
  <c r="I33" i="54"/>
  <c r="AZ33" i="54"/>
  <c r="W32" i="54"/>
  <c r="X32" i="54" s="1"/>
  <c r="Z32" i="54"/>
  <c r="AA32" i="54" s="1"/>
  <c r="J32" i="54" s="1"/>
  <c r="AM33" i="54"/>
  <c r="AN33" i="54" s="1"/>
  <c r="AL32" i="54"/>
  <c r="AE32" i="54" s="1"/>
  <c r="AO33" i="54"/>
  <c r="AQ33" i="54" s="1"/>
  <c r="AF32" i="54"/>
  <c r="AG32" i="54" s="1"/>
  <c r="F33" i="54"/>
  <c r="D33" i="54"/>
  <c r="I43" i="54"/>
  <c r="AZ43" i="54"/>
  <c r="R43" i="54"/>
  <c r="AO43" i="54"/>
  <c r="AQ43" i="54" s="1"/>
  <c r="AM43" i="54"/>
  <c r="AN43" i="54" s="1"/>
  <c r="AL42" i="54"/>
  <c r="AE42" i="54" s="1"/>
  <c r="V42" i="54"/>
  <c r="Q42" i="54" s="1"/>
  <c r="D43" i="54"/>
  <c r="U42" i="54"/>
  <c r="P42" i="54" s="1"/>
  <c r="AF42" i="54"/>
  <c r="AG42" i="54" s="1"/>
  <c r="W42" i="54"/>
  <c r="X42" i="54" s="1"/>
  <c r="B43" i="54"/>
  <c r="AK42" i="54"/>
  <c r="AD42" i="54" s="1"/>
  <c r="Z42" i="54"/>
  <c r="AA42" i="54" s="1"/>
  <c r="J42" i="54" s="1"/>
  <c r="F43" i="54"/>
  <c r="AH42" i="54"/>
  <c r="AI42" i="54" s="1"/>
  <c r="L56" i="53"/>
  <c r="AO66" i="54"/>
  <c r="AQ66" i="54" s="1"/>
  <c r="I66" i="54"/>
  <c r="AZ66" i="54"/>
  <c r="AL65" i="54"/>
  <c r="AE65" i="54" s="1"/>
  <c r="Z65" i="54"/>
  <c r="AA65" i="54" s="1"/>
  <c r="J65" i="54" s="1"/>
  <c r="U65" i="54"/>
  <c r="P65" i="54" s="1"/>
  <c r="B66" i="54"/>
  <c r="AM66" i="54"/>
  <c r="AN66" i="54" s="1"/>
  <c r="AK65" i="54"/>
  <c r="AD65" i="54" s="1"/>
  <c r="R66" i="54"/>
  <c r="AF65" i="54"/>
  <c r="AG65" i="54" s="1"/>
  <c r="F66" i="54"/>
  <c r="W65" i="54"/>
  <c r="X65" i="54" s="1"/>
  <c r="D66" i="54"/>
  <c r="V65" i="54"/>
  <c r="Q65" i="54" s="1"/>
  <c r="AO83" i="54"/>
  <c r="AQ83" i="54" s="1"/>
  <c r="I83" i="54"/>
  <c r="AF82" i="54"/>
  <c r="AG82" i="54" s="1"/>
  <c r="AK82" i="54"/>
  <c r="AD82" i="54" s="1"/>
  <c r="R83" i="54"/>
  <c r="AJ83" i="54" s="1"/>
  <c r="AH82" i="54"/>
  <c r="AI82" i="54" s="1"/>
  <c r="B83" i="54"/>
  <c r="Z82" i="54"/>
  <c r="AA82" i="54" s="1"/>
  <c r="J82" i="54" s="1"/>
  <c r="W82" i="54"/>
  <c r="X82" i="54" s="1"/>
  <c r="AM83" i="54"/>
  <c r="AN83" i="54" s="1"/>
  <c r="AL82" i="54"/>
  <c r="AE82" i="54" s="1"/>
  <c r="V82" i="54"/>
  <c r="Q82" i="54" s="1"/>
  <c r="AZ83" i="54"/>
  <c r="F83" i="54"/>
  <c r="U82" i="54"/>
  <c r="P82" i="54" s="1"/>
  <c r="D83" i="54"/>
  <c r="AK35" i="54"/>
  <c r="AD35" i="54" s="1"/>
  <c r="Z35" i="54"/>
  <c r="AA35" i="54" s="1"/>
  <c r="J35" i="54" s="1"/>
  <c r="D36" i="54"/>
  <c r="AL35" i="54"/>
  <c r="AE35" i="54" s="1"/>
  <c r="AZ36" i="54"/>
  <c r="B36" i="54"/>
  <c r="F36" i="54"/>
  <c r="R36" i="54"/>
  <c r="AH35" i="54"/>
  <c r="AI35" i="54" s="1"/>
  <c r="W35" i="54"/>
  <c r="X35" i="54" s="1"/>
  <c r="AO36" i="54"/>
  <c r="AQ36" i="54" s="1"/>
  <c r="V35" i="54"/>
  <c r="Q35" i="54" s="1"/>
  <c r="AF35" i="54"/>
  <c r="AG35" i="54" s="1"/>
  <c r="I36" i="54"/>
  <c r="U35" i="54"/>
  <c r="P35" i="54" s="1"/>
  <c r="AM36" i="54"/>
  <c r="AN36" i="54" s="1"/>
  <c r="W34" i="54"/>
  <c r="X34" i="54" s="1"/>
  <c r="U34" i="54"/>
  <c r="P34" i="54" s="1"/>
  <c r="B35" i="54"/>
  <c r="AH34" i="54"/>
  <c r="AI34" i="54" s="1"/>
  <c r="I35" i="54"/>
  <c r="D35" i="54"/>
  <c r="Z34" i="54"/>
  <c r="AA34" i="54" s="1"/>
  <c r="J34" i="54" s="1"/>
  <c r="F35" i="54"/>
  <c r="AL34" i="54"/>
  <c r="AE34" i="54" s="1"/>
  <c r="AF34" i="54"/>
  <c r="AG34" i="54" s="1"/>
  <c r="AM35" i="54"/>
  <c r="AN35" i="54" s="1"/>
  <c r="R35" i="54"/>
  <c r="AK34" i="54"/>
  <c r="AD34" i="54" s="1"/>
  <c r="V34" i="54"/>
  <c r="Q34" i="54" s="1"/>
  <c r="AZ35" i="54"/>
  <c r="AO35" i="54"/>
  <c r="AQ35" i="54" s="1"/>
  <c r="AK69" i="54"/>
  <c r="AD69" i="54" s="1"/>
  <c r="AH69" i="54"/>
  <c r="AI69" i="54" s="1"/>
  <c r="AL69" i="54"/>
  <c r="AE69" i="54" s="1"/>
  <c r="W69" i="54"/>
  <c r="X69" i="54" s="1"/>
  <c r="U69" i="54"/>
  <c r="P69" i="54" s="1"/>
  <c r="V69" i="54"/>
  <c r="Q69" i="54" s="1"/>
  <c r="B70" i="54"/>
  <c r="D70" i="54"/>
  <c r="AZ70" i="54"/>
  <c r="F70" i="54"/>
  <c r="R70" i="54"/>
  <c r="Z69" i="54"/>
  <c r="AA69" i="54" s="1"/>
  <c r="J69" i="54" s="1"/>
  <c r="I70" i="54"/>
  <c r="AM70" i="54"/>
  <c r="AN70" i="54" s="1"/>
  <c r="AO70" i="54"/>
  <c r="AQ70" i="54" s="1"/>
  <c r="AF69" i="54"/>
  <c r="AG69" i="54" s="1"/>
  <c r="U83" i="54"/>
  <c r="P83" i="54" s="1"/>
  <c r="Z83" i="54"/>
  <c r="AA83" i="54" s="1"/>
  <c r="J83" i="54" s="1"/>
  <c r="AL83" i="54"/>
  <c r="AE83" i="54" s="1"/>
  <c r="V83" i="54"/>
  <c r="Q83" i="54" s="1"/>
  <c r="D84" i="54"/>
  <c r="S84" i="54" s="1"/>
  <c r="T84" i="54" s="1"/>
  <c r="B84" i="54"/>
  <c r="AF83" i="54"/>
  <c r="AG83" i="54" s="1"/>
  <c r="AK83" i="54"/>
  <c r="AD83" i="54" s="1"/>
  <c r="W83" i="54"/>
  <c r="X83" i="54" s="1"/>
  <c r="AZ84" i="54"/>
  <c r="AO84" i="54"/>
  <c r="AQ84" i="54" s="1"/>
  <c r="AM84" i="54"/>
  <c r="AN84" i="54" s="1"/>
  <c r="AH83" i="54"/>
  <c r="AI83" i="54" s="1"/>
  <c r="F84" i="54"/>
  <c r="R84" i="54"/>
  <c r="I84" i="54"/>
  <c r="AZ52" i="54"/>
  <c r="AH51" i="54"/>
  <c r="AI51" i="54" s="1"/>
  <c r="AM52" i="54"/>
  <c r="AN52" i="54" s="1"/>
  <c r="F52" i="54"/>
  <c r="W51" i="54"/>
  <c r="X51" i="54" s="1"/>
  <c r="U51" i="54"/>
  <c r="P51" i="54" s="1"/>
  <c r="AF51" i="54"/>
  <c r="AG51" i="54" s="1"/>
  <c r="D52" i="54"/>
  <c r="AL51" i="54"/>
  <c r="AE51" i="54" s="1"/>
  <c r="I52" i="54"/>
  <c r="R52" i="54"/>
  <c r="AK51" i="54"/>
  <c r="AD51" i="54" s="1"/>
  <c r="Z51" i="54"/>
  <c r="AA51" i="54" s="1"/>
  <c r="J51" i="54" s="1"/>
  <c r="V51" i="54"/>
  <c r="Q51" i="54" s="1"/>
  <c r="B52" i="54"/>
  <c r="AO52" i="54"/>
  <c r="AQ52" i="54" s="1"/>
  <c r="B61" i="54"/>
  <c r="V60" i="54"/>
  <c r="Q60" i="54" s="1"/>
  <c r="AM61" i="54"/>
  <c r="AN61" i="54" s="1"/>
  <c r="D61" i="54"/>
  <c r="R61" i="54"/>
  <c r="AH60" i="54"/>
  <c r="AI60" i="54" s="1"/>
  <c r="AL60" i="54"/>
  <c r="AE60" i="54" s="1"/>
  <c r="F61" i="54"/>
  <c r="AK60" i="54"/>
  <c r="AD60" i="54" s="1"/>
  <c r="AZ61" i="54"/>
  <c r="AO61" i="54"/>
  <c r="AQ61" i="54" s="1"/>
  <c r="W60" i="54"/>
  <c r="X60" i="54" s="1"/>
  <c r="U60" i="54"/>
  <c r="P60" i="54" s="1"/>
  <c r="Z60" i="54"/>
  <c r="AA60" i="54" s="1"/>
  <c r="J60" i="54" s="1"/>
  <c r="AF60" i="54"/>
  <c r="AG60" i="54" s="1"/>
  <c r="I61" i="54"/>
  <c r="I75" i="54"/>
  <c r="AK74" i="54"/>
  <c r="AD74" i="54" s="1"/>
  <c r="F75" i="54"/>
  <c r="W74" i="54"/>
  <c r="X74" i="54" s="1"/>
  <c r="AH74" i="54"/>
  <c r="AI74" i="54" s="1"/>
  <c r="U74" i="54"/>
  <c r="P74" i="54" s="1"/>
  <c r="D75" i="54"/>
  <c r="AM75" i="54"/>
  <c r="AN75" i="54" s="1"/>
  <c r="V74" i="54"/>
  <c r="Q74" i="54" s="1"/>
  <c r="AO75" i="54"/>
  <c r="AQ75" i="54" s="1"/>
  <c r="AL74" i="54"/>
  <c r="AE74" i="54" s="1"/>
  <c r="AF74" i="54"/>
  <c r="AG74" i="54" s="1"/>
  <c r="AZ75" i="54"/>
  <c r="R75" i="54"/>
  <c r="B75" i="54"/>
  <c r="Z74" i="54"/>
  <c r="AA74" i="54" s="1"/>
  <c r="J74" i="54" s="1"/>
  <c r="R73" i="54"/>
  <c r="U72" i="54"/>
  <c r="P72" i="54" s="1"/>
  <c r="AL72" i="54"/>
  <c r="AE72" i="54" s="1"/>
  <c r="W72" i="54"/>
  <c r="X72" i="54" s="1"/>
  <c r="F73" i="54"/>
  <c r="B73" i="54"/>
  <c r="AZ73" i="54"/>
  <c r="AO73" i="54"/>
  <c r="AQ73" i="54" s="1"/>
  <c r="D73" i="54"/>
  <c r="S73" i="54" s="1"/>
  <c r="T73" i="54" s="1"/>
  <c r="AF72" i="54"/>
  <c r="AG72" i="54" s="1"/>
  <c r="AM73" i="54"/>
  <c r="AN73" i="54" s="1"/>
  <c r="I73" i="54"/>
  <c r="Z72" i="54"/>
  <c r="AA72" i="54" s="1"/>
  <c r="J72" i="54" s="1"/>
  <c r="AH72" i="54"/>
  <c r="AI72" i="54" s="1"/>
  <c r="AK72" i="54"/>
  <c r="AD72" i="54" s="1"/>
  <c r="V72" i="54"/>
  <c r="Q72" i="54" s="1"/>
  <c r="AM39" i="54"/>
  <c r="AN39" i="54" s="1"/>
  <c r="AO39" i="54"/>
  <c r="AQ39" i="54" s="1"/>
  <c r="R39" i="54"/>
  <c r="AF38" i="54"/>
  <c r="AG38" i="54" s="1"/>
  <c r="AK38" i="54"/>
  <c r="AD38" i="54" s="1"/>
  <c r="AL38" i="54"/>
  <c r="AE38" i="54" s="1"/>
  <c r="Z38" i="54"/>
  <c r="AA38" i="54" s="1"/>
  <c r="J38" i="54" s="1"/>
  <c r="AH38" i="54"/>
  <c r="AI38" i="54" s="1"/>
  <c r="W38" i="54"/>
  <c r="X38" i="54" s="1"/>
  <c r="I39" i="54"/>
  <c r="V38" i="54"/>
  <c r="Q38" i="54" s="1"/>
  <c r="F39" i="54"/>
  <c r="AZ39" i="54"/>
  <c r="B39" i="54"/>
  <c r="D39" i="54"/>
  <c r="U38" i="54"/>
  <c r="P38" i="54" s="1"/>
  <c r="Z49" i="54"/>
  <c r="AA49" i="54" s="1"/>
  <c r="J49" i="54" s="1"/>
  <c r="AH49" i="54"/>
  <c r="AI49" i="54" s="1"/>
  <c r="B50" i="54"/>
  <c r="AZ50" i="54"/>
  <c r="V49" i="54"/>
  <c r="Q49" i="54" s="1"/>
  <c r="W49" i="54"/>
  <c r="X49" i="54" s="1"/>
  <c r="R50" i="54"/>
  <c r="AM50" i="54"/>
  <c r="AN50" i="54" s="1"/>
  <c r="U49" i="54"/>
  <c r="P49" i="54" s="1"/>
  <c r="AL49" i="54"/>
  <c r="AE49" i="54" s="1"/>
  <c r="F50" i="54"/>
  <c r="AK49" i="54"/>
  <c r="AD49" i="54" s="1"/>
  <c r="AO50" i="54"/>
  <c r="AQ50" i="54" s="1"/>
  <c r="D50" i="54"/>
  <c r="I50" i="54"/>
  <c r="AF49" i="54"/>
  <c r="AG49" i="54" s="1"/>
  <c r="W29" i="54"/>
  <c r="X29" i="54" s="1"/>
  <c r="AZ30" i="54"/>
  <c r="AF29" i="54"/>
  <c r="AG29" i="54" s="1"/>
  <c r="I30" i="54"/>
  <c r="AK43" i="54"/>
  <c r="AD43" i="54" s="1"/>
  <c r="AF43" i="54"/>
  <c r="AG43" i="54" s="1"/>
  <c r="AL43" i="54"/>
  <c r="AE43" i="54" s="1"/>
  <c r="B44" i="54"/>
  <c r="I44" i="54"/>
  <c r="D44" i="54"/>
  <c r="Z43" i="54"/>
  <c r="AA43" i="54" s="1"/>
  <c r="J43" i="54" s="1"/>
  <c r="AZ44" i="54"/>
  <c r="AH43" i="54"/>
  <c r="AI43" i="54" s="1"/>
  <c r="F44" i="54"/>
  <c r="W43" i="54"/>
  <c r="X43" i="54" s="1"/>
  <c r="R44" i="54"/>
  <c r="AO44" i="54"/>
  <c r="AQ44" i="54" s="1"/>
  <c r="V43" i="54"/>
  <c r="Q43" i="54" s="1"/>
  <c r="U43" i="54"/>
  <c r="P43" i="54" s="1"/>
  <c r="AM44" i="54"/>
  <c r="AN44" i="54" s="1"/>
  <c r="I41" i="54"/>
  <c r="Z40" i="54"/>
  <c r="AA40" i="54" s="1"/>
  <c r="J40" i="54" s="1"/>
  <c r="AK40" i="54"/>
  <c r="AD40" i="54" s="1"/>
  <c r="AL40" i="54"/>
  <c r="AE40" i="54" s="1"/>
  <c r="AZ41" i="54"/>
  <c r="B41" i="54"/>
  <c r="W40" i="54"/>
  <c r="X40" i="54" s="1"/>
  <c r="D41" i="54"/>
  <c r="V40" i="54"/>
  <c r="Q40" i="54" s="1"/>
  <c r="U40" i="54"/>
  <c r="P40" i="54" s="1"/>
  <c r="AF40" i="54"/>
  <c r="AG40" i="54" s="1"/>
  <c r="AO41" i="54"/>
  <c r="AQ41" i="54" s="1"/>
  <c r="AH40" i="54"/>
  <c r="AI40" i="54" s="1"/>
  <c r="AM41" i="54"/>
  <c r="AN41" i="54" s="1"/>
  <c r="R41" i="54"/>
  <c r="F41" i="54"/>
  <c r="AN79" i="1"/>
  <c r="AP79" i="1" s="1"/>
  <c r="AY79" i="1"/>
  <c r="AY56" i="1"/>
  <c r="D87" i="1"/>
  <c r="H87" i="1" s="1"/>
  <c r="AJ86" i="1"/>
  <c r="AC86" i="1" s="1"/>
  <c r="AB66" i="53"/>
  <c r="AB62" i="53"/>
  <c r="AP84" i="53"/>
  <c r="AB67" i="53"/>
  <c r="X86" i="53"/>
  <c r="AP80" i="53"/>
  <c r="H77" i="53"/>
  <c r="V78" i="39"/>
  <c r="Q78" i="39" s="1"/>
  <c r="AK86" i="1"/>
  <c r="AD86" i="1" s="1"/>
  <c r="AL86" i="1"/>
  <c r="AM86" i="1" s="1"/>
  <c r="AQ86" i="1" s="1"/>
  <c r="I79" i="1"/>
  <c r="AN86" i="1"/>
  <c r="AP86" i="1" s="1"/>
  <c r="V86" i="1"/>
  <c r="U85" i="1"/>
  <c r="P85" i="1" s="1"/>
  <c r="AG85" i="1"/>
  <c r="AH85" i="1" s="1"/>
  <c r="U86" i="1"/>
  <c r="P86" i="1" s="1"/>
  <c r="AY62" i="51"/>
  <c r="W26" i="39"/>
  <c r="X26" i="39" s="1"/>
  <c r="Z82" i="1"/>
  <c r="AA82" i="1" s="1"/>
  <c r="J82" i="1" s="1"/>
  <c r="W72" i="39"/>
  <c r="X72" i="39" s="1"/>
  <c r="AP57" i="53"/>
  <c r="L42" i="53"/>
  <c r="AB64" i="53"/>
  <c r="AJ64" i="53"/>
  <c r="AY59" i="51"/>
  <c r="Z86" i="1"/>
  <c r="AA86" i="1" s="1"/>
  <c r="J86" i="1" s="1"/>
  <c r="B87" i="1"/>
  <c r="I86" i="1"/>
  <c r="R86" i="1"/>
  <c r="AB86" i="1" s="1"/>
  <c r="AB83" i="53"/>
  <c r="AB57" i="53"/>
  <c r="AP35" i="53"/>
  <c r="AB49" i="53"/>
  <c r="F84" i="39"/>
  <c r="L41" i="53"/>
  <c r="AB48" i="53"/>
  <c r="AB68" i="53"/>
  <c r="AJ68" i="53"/>
  <c r="AE31" i="1"/>
  <c r="AF31" i="1" s="1"/>
  <c r="AY57" i="51"/>
  <c r="F83" i="1"/>
  <c r="AY51" i="51"/>
  <c r="D86" i="39"/>
  <c r="AP47" i="53"/>
  <c r="H58" i="53"/>
  <c r="AP33" i="53"/>
  <c r="AR33" i="53"/>
  <c r="AT34" i="53" s="1"/>
  <c r="AR42" i="53"/>
  <c r="AT43" i="53" s="1"/>
  <c r="AP42" i="53"/>
  <c r="H66" i="53"/>
  <c r="S66" i="53"/>
  <c r="T66" i="53" s="1"/>
  <c r="AP25" i="53"/>
  <c r="AR25" i="53"/>
  <c r="AT26" i="53" s="1"/>
  <c r="AP41" i="53"/>
  <c r="AR41" i="53"/>
  <c r="AT42" i="53" s="1"/>
  <c r="AB40" i="53"/>
  <c r="H80" i="53"/>
  <c r="L55" i="53"/>
  <c r="AK81" i="1"/>
  <c r="AD81" i="1" s="1"/>
  <c r="AE82" i="51"/>
  <c r="AF82" i="51" s="1"/>
  <c r="AY35" i="51"/>
  <c r="AK77" i="39"/>
  <c r="AD77" i="39" s="1"/>
  <c r="AL79" i="39"/>
  <c r="AM79" i="39" s="1"/>
  <c r="AQ79" i="39" s="1"/>
  <c r="AS80" i="39" s="1"/>
  <c r="AR67" i="53"/>
  <c r="AT68" i="53" s="1"/>
  <c r="AF86" i="53"/>
  <c r="W86" i="53"/>
  <c r="H39" i="53"/>
  <c r="AP79" i="53"/>
  <c r="AR79" i="53"/>
  <c r="AT80" i="53" s="1"/>
  <c r="S51" i="53"/>
  <c r="T51" i="53" s="1"/>
  <c r="H51" i="53"/>
  <c r="B26" i="53"/>
  <c r="AO26" i="53"/>
  <c r="AQ26" i="53" s="1"/>
  <c r="AR26" i="53" s="1"/>
  <c r="AT27" i="53" s="1"/>
  <c r="AB79" i="53"/>
  <c r="AJ80" i="53"/>
  <c r="Y27" i="53"/>
  <c r="L26" i="53"/>
  <c r="AY25" i="53"/>
  <c r="D25" i="53" s="1"/>
  <c r="AB78" i="53"/>
  <c r="I53" i="1"/>
  <c r="AE53" i="1"/>
  <c r="AF53" i="1" s="1"/>
  <c r="AE69" i="51"/>
  <c r="AF69" i="51" s="1"/>
  <c r="I50" i="51"/>
  <c r="W57" i="1"/>
  <c r="X57" i="1" s="1"/>
  <c r="W44" i="39"/>
  <c r="X44" i="39" s="1"/>
  <c r="H63" i="53"/>
  <c r="H42" i="53"/>
  <c r="S42" i="53"/>
  <c r="T42" i="53" s="1"/>
  <c r="AB41" i="53"/>
  <c r="AJ42" i="53"/>
  <c r="I32" i="1"/>
  <c r="W53" i="1"/>
  <c r="X53" i="1" s="1"/>
  <c r="I53" i="51"/>
  <c r="I70" i="51"/>
  <c r="I69" i="51"/>
  <c r="Z31" i="1"/>
  <c r="AA31" i="1" s="1"/>
  <c r="J31" i="1" s="1"/>
  <c r="AY48" i="1"/>
  <c r="AE85" i="51"/>
  <c r="AF85" i="51" s="1"/>
  <c r="W56" i="51"/>
  <c r="X56" i="51" s="1"/>
  <c r="I76" i="1"/>
  <c r="Z29" i="1"/>
  <c r="AA29" i="1" s="1"/>
  <c r="J29" i="1" s="1"/>
  <c r="AY42" i="1"/>
  <c r="AY31" i="51"/>
  <c r="AE50" i="51"/>
  <c r="AF50" i="51" s="1"/>
  <c r="Z77" i="39"/>
  <c r="AA77" i="39" s="1"/>
  <c r="J77" i="39" s="1"/>
  <c r="AE78" i="39"/>
  <c r="AF78" i="39" s="1"/>
  <c r="AL85" i="39"/>
  <c r="AM85" i="39" s="1"/>
  <c r="AQ85" i="39" s="1"/>
  <c r="G86" i="39"/>
  <c r="AY70" i="51"/>
  <c r="AG31" i="1"/>
  <c r="AH31" i="1" s="1"/>
  <c r="I57" i="51"/>
  <c r="AE29" i="1"/>
  <c r="AF29" i="1" s="1"/>
  <c r="AY83" i="51"/>
  <c r="W41" i="1"/>
  <c r="X41" i="1" s="1"/>
  <c r="AE30" i="51"/>
  <c r="AF30" i="51" s="1"/>
  <c r="W50" i="51"/>
  <c r="X50" i="51" s="1"/>
  <c r="I56" i="51"/>
  <c r="I52" i="39"/>
  <c r="G78" i="39"/>
  <c r="W62" i="39"/>
  <c r="X62" i="39" s="1"/>
  <c r="U78" i="39"/>
  <c r="P78" i="39" s="1"/>
  <c r="W85" i="39"/>
  <c r="X85" i="39" s="1"/>
  <c r="AN85" i="39"/>
  <c r="AP85" i="39" s="1"/>
  <c r="AE79" i="1"/>
  <c r="AF79" i="1" s="1"/>
  <c r="AY32" i="1"/>
  <c r="AG29" i="1"/>
  <c r="AH29" i="1" s="1"/>
  <c r="W82" i="51"/>
  <c r="X82" i="51" s="1"/>
  <c r="I54" i="1"/>
  <c r="AE26" i="39"/>
  <c r="AF26" i="39" s="1"/>
  <c r="AJ77" i="39"/>
  <c r="AC77" i="39" s="1"/>
  <c r="I53" i="39"/>
  <c r="Z84" i="39"/>
  <c r="AA84" i="39" s="1"/>
  <c r="J84" i="39" s="1"/>
  <c r="AK84" i="39"/>
  <c r="AD84" i="39" s="1"/>
  <c r="Z79" i="39"/>
  <c r="AA79" i="39" s="1"/>
  <c r="J79" i="39" s="1"/>
  <c r="W59" i="1"/>
  <c r="X59" i="1" s="1"/>
  <c r="I60" i="1"/>
  <c r="AY72" i="51"/>
  <c r="G83" i="39"/>
  <c r="AY41" i="39"/>
  <c r="AE80" i="39"/>
  <c r="AF80" i="39" s="1"/>
  <c r="I29" i="1"/>
  <c r="Z78" i="1"/>
  <c r="AA78" i="1" s="1"/>
  <c r="J78" i="1" s="1"/>
  <c r="R77" i="1"/>
  <c r="AI77" i="1" s="1"/>
  <c r="AE32" i="1"/>
  <c r="AF32" i="1" s="1"/>
  <c r="AY58" i="1"/>
  <c r="I31" i="39"/>
  <c r="Y32" i="39" s="1"/>
  <c r="AE78" i="51"/>
  <c r="AF78" i="51" s="1"/>
  <c r="AY63" i="1"/>
  <c r="B77" i="1"/>
  <c r="R81" i="1"/>
  <c r="AE80" i="51"/>
  <c r="AF80" i="51" s="1"/>
  <c r="AY60" i="1"/>
  <c r="W39" i="1"/>
  <c r="X39" i="1" s="1"/>
  <c r="W63" i="39"/>
  <c r="X63" i="39" s="1"/>
  <c r="U82" i="39"/>
  <c r="P82" i="39" s="1"/>
  <c r="AE82" i="39"/>
  <c r="AF82" i="39" s="1"/>
  <c r="AY31" i="39"/>
  <c r="AG83" i="39"/>
  <c r="AH83" i="39" s="1"/>
  <c r="K83" i="39" s="1"/>
  <c r="L84" i="55"/>
  <c r="AN82" i="39"/>
  <c r="AP82" i="39" s="1"/>
  <c r="I67" i="39"/>
  <c r="I51" i="39"/>
  <c r="D79" i="1"/>
  <c r="AY34" i="51"/>
  <c r="I71" i="1"/>
  <c r="I83" i="39"/>
  <c r="AK83" i="39"/>
  <c r="AD83" i="39" s="1"/>
  <c r="AE64" i="39"/>
  <c r="AF64" i="39" s="1"/>
  <c r="R82" i="39"/>
  <c r="I80" i="51"/>
  <c r="V78" i="1"/>
  <c r="AL81" i="1"/>
  <c r="AM81" i="1" s="1"/>
  <c r="AO81" i="1" s="1"/>
  <c r="AY45" i="1"/>
  <c r="AG78" i="1"/>
  <c r="AH78" i="1" s="1"/>
  <c r="AE78" i="1"/>
  <c r="AF78" i="1" s="1"/>
  <c r="AY81" i="1"/>
  <c r="AY33" i="1"/>
  <c r="AE36" i="1"/>
  <c r="AF36" i="1" s="1"/>
  <c r="F86" i="1"/>
  <c r="AE28" i="51"/>
  <c r="AF28" i="51" s="1"/>
  <c r="AY29" i="51"/>
  <c r="W38" i="51"/>
  <c r="X38" i="51" s="1"/>
  <c r="F85" i="1"/>
  <c r="AY41" i="1"/>
  <c r="I83" i="1"/>
  <c r="AY83" i="1"/>
  <c r="Z29" i="52"/>
  <c r="AA29" i="52" s="1"/>
  <c r="J29" i="52" s="1"/>
  <c r="AN25" i="51"/>
  <c r="AP25" i="51" s="1"/>
  <c r="AL25" i="51"/>
  <c r="AM25" i="51" s="1"/>
  <c r="L85" i="55"/>
  <c r="W78" i="1"/>
  <c r="X78" i="1" s="1"/>
  <c r="Z32" i="1"/>
  <c r="AA32" i="1" s="1"/>
  <c r="J32" i="1" s="1"/>
  <c r="AY80" i="51"/>
  <c r="U78" i="1"/>
  <c r="P78" i="1" s="1"/>
  <c r="B79" i="1"/>
  <c r="AG32" i="1"/>
  <c r="AH32" i="1" s="1"/>
  <c r="W79" i="51"/>
  <c r="X79" i="51" s="1"/>
  <c r="R82" i="1"/>
  <c r="AI82" i="1" s="1"/>
  <c r="AE66" i="1"/>
  <c r="AF66" i="1" s="1"/>
  <c r="F79" i="1"/>
  <c r="AK78" i="1"/>
  <c r="AD78" i="1" s="1"/>
  <c r="I81" i="1"/>
  <c r="W32" i="1"/>
  <c r="X32" i="1" s="1"/>
  <c r="I33" i="1"/>
  <c r="B82" i="1"/>
  <c r="I67" i="1"/>
  <c r="W65" i="1"/>
  <c r="X65" i="1" s="1"/>
  <c r="AY37" i="1"/>
  <c r="W28" i="51"/>
  <c r="X28" i="51" s="1"/>
  <c r="AG28" i="51"/>
  <c r="AH28" i="51" s="1"/>
  <c r="W37" i="51"/>
  <c r="X37" i="51" s="1"/>
  <c r="R85" i="1"/>
  <c r="AI85" i="1" s="1"/>
  <c r="R83" i="1"/>
  <c r="AL83" i="1"/>
  <c r="AM83" i="1" s="1"/>
  <c r="AO83" i="1" s="1"/>
  <c r="AY62" i="1"/>
  <c r="B25" i="51"/>
  <c r="B26" i="51" s="1"/>
  <c r="AL27" i="51" s="1"/>
  <c r="AM27" i="51" s="1"/>
  <c r="L71" i="55"/>
  <c r="AY25" i="51"/>
  <c r="W81" i="1"/>
  <c r="X81" i="1" s="1"/>
  <c r="AE82" i="1"/>
  <c r="AF82" i="1" s="1"/>
  <c r="F84" i="1"/>
  <c r="I83" i="51"/>
  <c r="I26" i="51"/>
  <c r="I54" i="51"/>
  <c r="AE79" i="39"/>
  <c r="AF79" i="39" s="1"/>
  <c r="AI64" i="46"/>
  <c r="AY29" i="1"/>
  <c r="AG28" i="1"/>
  <c r="AH28" i="1" s="1"/>
  <c r="AE39" i="51"/>
  <c r="AF39" i="51" s="1"/>
  <c r="W33" i="51"/>
  <c r="X33" i="51" s="1"/>
  <c r="I71" i="51"/>
  <c r="AE65" i="1"/>
  <c r="AF65" i="1" s="1"/>
  <c r="AY65" i="1"/>
  <c r="AJ85" i="1"/>
  <c r="AC85" i="1" s="1"/>
  <c r="AE85" i="1"/>
  <c r="AF85" i="1" s="1"/>
  <c r="W40" i="51"/>
  <c r="X40" i="51" s="1"/>
  <c r="I79" i="51"/>
  <c r="AY26" i="51"/>
  <c r="AY81" i="51"/>
  <c r="W83" i="51"/>
  <c r="X83" i="51" s="1"/>
  <c r="AN85" i="1"/>
  <c r="AP85" i="1" s="1"/>
  <c r="I55" i="51"/>
  <c r="I28" i="1"/>
  <c r="W61" i="1"/>
  <c r="X61" i="1" s="1"/>
  <c r="AN26" i="3"/>
  <c r="AP26" i="3" s="1"/>
  <c r="W61" i="51"/>
  <c r="X61" i="51" s="1"/>
  <c r="I61" i="51"/>
  <c r="I72" i="51"/>
  <c r="AY44" i="51"/>
  <c r="I66" i="39"/>
  <c r="AE63" i="39"/>
  <c r="AF63" i="39" s="1"/>
  <c r="Z82" i="39"/>
  <c r="AA82" i="39" s="1"/>
  <c r="J82" i="39" s="1"/>
  <c r="AG82" i="39"/>
  <c r="AH82" i="39" s="1"/>
  <c r="K82" i="39" s="1"/>
  <c r="AY83" i="39"/>
  <c r="F83" i="39"/>
  <c r="B81" i="39"/>
  <c r="W30" i="39"/>
  <c r="X30" i="39" s="1"/>
  <c r="Z83" i="39"/>
  <c r="AA83" i="39" s="1"/>
  <c r="J83" i="39" s="1"/>
  <c r="U83" i="39"/>
  <c r="P83" i="39" s="1"/>
  <c r="W38" i="39"/>
  <c r="X38" i="39" s="1"/>
  <c r="I65" i="39"/>
  <c r="AY44" i="39"/>
  <c r="AJ81" i="39"/>
  <c r="AC81" i="39" s="1"/>
  <c r="AY82" i="39"/>
  <c r="AN80" i="39"/>
  <c r="AP80" i="39" s="1"/>
  <c r="G80" i="39"/>
  <c r="AY67" i="39"/>
  <c r="AY51" i="39"/>
  <c r="I64" i="1"/>
  <c r="I57" i="39"/>
  <c r="V79" i="39"/>
  <c r="Q79" i="39" s="1"/>
  <c r="Z81" i="39"/>
  <c r="AA81" i="39" s="1"/>
  <c r="J81" i="39" s="1"/>
  <c r="Z28" i="1"/>
  <c r="AA28" i="1" s="1"/>
  <c r="J28" i="1" s="1"/>
  <c r="W28" i="1"/>
  <c r="X28" i="1" s="1"/>
  <c r="I78" i="51"/>
  <c r="I66" i="1"/>
  <c r="W72" i="1"/>
  <c r="X72" i="1" s="1"/>
  <c r="D86" i="1"/>
  <c r="S86" i="1" s="1"/>
  <c r="T86" i="1" s="1"/>
  <c r="AK85" i="1"/>
  <c r="AD85" i="1" s="1"/>
  <c r="AY79" i="51"/>
  <c r="W80" i="51"/>
  <c r="X80" i="51" s="1"/>
  <c r="I85" i="1"/>
  <c r="AE54" i="51"/>
  <c r="AF54" i="51" s="1"/>
  <c r="AE73" i="1"/>
  <c r="AF73" i="1" s="1"/>
  <c r="I62" i="1"/>
  <c r="B26" i="3"/>
  <c r="AN27" i="3" s="1"/>
  <c r="AP27" i="3" s="1"/>
  <c r="AE61" i="51"/>
  <c r="AF61" i="51" s="1"/>
  <c r="W71" i="51"/>
  <c r="X71" i="51" s="1"/>
  <c r="AE43" i="51"/>
  <c r="AF43" i="51" s="1"/>
  <c r="I50" i="39"/>
  <c r="I64" i="39"/>
  <c r="R83" i="39"/>
  <c r="AI83" i="39" s="1"/>
  <c r="W82" i="39"/>
  <c r="X82" i="39" s="1"/>
  <c r="D83" i="39"/>
  <c r="S83" i="39" s="1"/>
  <c r="T83" i="39" s="1"/>
  <c r="AK82" i="39"/>
  <c r="AD82" i="39" s="1"/>
  <c r="W40" i="39"/>
  <c r="X40" i="39" s="1"/>
  <c r="F81" i="39"/>
  <c r="B84" i="39"/>
  <c r="D84" i="39"/>
  <c r="S84" i="39" s="1"/>
  <c r="T84" i="39" s="1"/>
  <c r="W83" i="39"/>
  <c r="X83" i="39" s="1"/>
  <c r="AY39" i="39"/>
  <c r="L53" i="55"/>
  <c r="AY65" i="39"/>
  <c r="AL82" i="39"/>
  <c r="AM82" i="39" s="1"/>
  <c r="AQ82" i="39" s="1"/>
  <c r="AS83" i="39" s="1"/>
  <c r="AY80" i="39"/>
  <c r="R80" i="39"/>
  <c r="AI80" i="39" s="1"/>
  <c r="W66" i="39"/>
  <c r="X66" i="39" s="1"/>
  <c r="W50" i="39"/>
  <c r="X50" i="39" s="1"/>
  <c r="W85" i="1"/>
  <c r="X85" i="1" s="1"/>
  <c r="Z85" i="1"/>
  <c r="AA85" i="1" s="1"/>
  <c r="J85" i="1" s="1"/>
  <c r="V85" i="1"/>
  <c r="B86" i="1"/>
  <c r="AY84" i="51"/>
  <c r="AL85" i="1"/>
  <c r="AM85" i="1" s="1"/>
  <c r="AQ85" i="1" s="1"/>
  <c r="AS86" i="1" s="1"/>
  <c r="W54" i="51"/>
  <c r="X54" i="51" s="1"/>
  <c r="B83" i="39"/>
  <c r="AJ82" i="39"/>
  <c r="AC82" i="39" s="1"/>
  <c r="AN83" i="39"/>
  <c r="AP83" i="39" s="1"/>
  <c r="AL83" i="39"/>
  <c r="AM83" i="39" s="1"/>
  <c r="AQ83" i="39" s="1"/>
  <c r="AS84" i="39" s="1"/>
  <c r="AG80" i="39"/>
  <c r="AH80" i="39" s="1"/>
  <c r="K80" i="39" s="1"/>
  <c r="AE83" i="39"/>
  <c r="AF83" i="39" s="1"/>
  <c r="G84" i="39"/>
  <c r="AJ83" i="39"/>
  <c r="AC83" i="39" s="1"/>
  <c r="AG81" i="39"/>
  <c r="AH81" i="39" s="1"/>
  <c r="K81" i="39" s="1"/>
  <c r="I80" i="39"/>
  <c r="I30" i="1"/>
  <c r="L30" i="1" s="1"/>
  <c r="I84" i="51"/>
  <c r="I76" i="51"/>
  <c r="W76" i="1"/>
  <c r="X76" i="1" s="1"/>
  <c r="W34" i="1"/>
  <c r="X34" i="1" s="1"/>
  <c r="I59" i="51"/>
  <c r="AY65" i="51"/>
  <c r="Z79" i="1"/>
  <c r="AA79" i="1" s="1"/>
  <c r="J79" i="1" s="1"/>
  <c r="W30" i="1"/>
  <c r="X30" i="1" s="1"/>
  <c r="AE30" i="1"/>
  <c r="AF30" i="1" s="1"/>
  <c r="AE67" i="51"/>
  <c r="AF67" i="51" s="1"/>
  <c r="W84" i="51"/>
  <c r="X84" i="51" s="1"/>
  <c r="AE84" i="51"/>
  <c r="AF84" i="51" s="1"/>
  <c r="AE76" i="51"/>
  <c r="AF76" i="51" s="1"/>
  <c r="AL76" i="1"/>
  <c r="AM76" i="1" s="1"/>
  <c r="AQ76" i="1" s="1"/>
  <c r="AS77" i="1" s="1"/>
  <c r="AG75" i="1"/>
  <c r="AH75" i="1" s="1"/>
  <c r="R84" i="1"/>
  <c r="I67" i="51"/>
  <c r="AE75" i="51"/>
  <c r="AF75" i="51" s="1"/>
  <c r="W34" i="51"/>
  <c r="X34" i="51" s="1"/>
  <c r="I64" i="51"/>
  <c r="W53" i="51"/>
  <c r="X53" i="51" s="1"/>
  <c r="AE42" i="51"/>
  <c r="AF42" i="51" s="1"/>
  <c r="W56" i="39"/>
  <c r="X56" i="39" s="1"/>
  <c r="AY47" i="39"/>
  <c r="I56" i="39"/>
  <c r="AY81" i="39"/>
  <c r="W80" i="39"/>
  <c r="X80" i="39" s="1"/>
  <c r="G81" i="39"/>
  <c r="U80" i="39"/>
  <c r="P80" i="39" s="1"/>
  <c r="Z26" i="39"/>
  <c r="AA26" i="39" s="1"/>
  <c r="J26" i="39" s="1"/>
  <c r="AY45" i="39"/>
  <c r="R78" i="39"/>
  <c r="AN78" i="39"/>
  <c r="AP78" i="39" s="1"/>
  <c r="AY78" i="39"/>
  <c r="AL78" i="39"/>
  <c r="AM78" i="39" s="1"/>
  <c r="U77" i="39"/>
  <c r="P77" i="39" s="1"/>
  <c r="AE73" i="39"/>
  <c r="AF73" i="39" s="1"/>
  <c r="W73" i="39"/>
  <c r="X73" i="39" s="1"/>
  <c r="I63" i="39"/>
  <c r="AN79" i="39"/>
  <c r="AP79" i="39" s="1"/>
  <c r="I79" i="39"/>
  <c r="F79" i="39"/>
  <c r="G79" i="39"/>
  <c r="F82" i="39"/>
  <c r="B82" i="39"/>
  <c r="G82" i="39"/>
  <c r="D82" i="39"/>
  <c r="S82" i="39" s="1"/>
  <c r="T82" i="39" s="1"/>
  <c r="AE52" i="39"/>
  <c r="AF52" i="39" s="1"/>
  <c r="U79" i="39"/>
  <c r="P79" i="39" s="1"/>
  <c r="B80" i="39"/>
  <c r="AY73" i="39"/>
  <c r="B85" i="39"/>
  <c r="Z85" i="39"/>
  <c r="AA85" i="39" s="1"/>
  <c r="J85" i="39" s="1"/>
  <c r="G85" i="39"/>
  <c r="I85" i="39"/>
  <c r="AJ85" i="39"/>
  <c r="AC85" i="39" s="1"/>
  <c r="V84" i="39"/>
  <c r="Q84" i="39" s="1"/>
  <c r="AE85" i="39"/>
  <c r="AF85" i="39" s="1"/>
  <c r="I59" i="1"/>
  <c r="Z80" i="1"/>
  <c r="AA80" i="1" s="1"/>
  <c r="J80" i="1" s="1"/>
  <c r="AJ80" i="1"/>
  <c r="AC80" i="1" s="1"/>
  <c r="W58" i="51"/>
  <c r="X58" i="51" s="1"/>
  <c r="AE64" i="51"/>
  <c r="AF64" i="51" s="1"/>
  <c r="AG79" i="1"/>
  <c r="AH79" i="1" s="1"/>
  <c r="AG30" i="1"/>
  <c r="AH30" i="1" s="1"/>
  <c r="AY31" i="1"/>
  <c r="AY51" i="1"/>
  <c r="W67" i="51"/>
  <c r="X67" i="51" s="1"/>
  <c r="W85" i="51"/>
  <c r="X85" i="51" s="1"/>
  <c r="B86" i="51"/>
  <c r="AE35" i="51"/>
  <c r="AF35" i="51" s="1"/>
  <c r="I77" i="51"/>
  <c r="F76" i="1"/>
  <c r="AK75" i="1"/>
  <c r="AD75" i="1" s="1"/>
  <c r="R76" i="1"/>
  <c r="B85" i="1"/>
  <c r="W84" i="1"/>
  <c r="X84" i="1" s="1"/>
  <c r="AE83" i="1"/>
  <c r="AF83" i="1" s="1"/>
  <c r="W66" i="51"/>
  <c r="X66" i="51" s="1"/>
  <c r="W75" i="51"/>
  <c r="X75" i="51" s="1"/>
  <c r="I58" i="51"/>
  <c r="AE70" i="1"/>
  <c r="AF70" i="1" s="1"/>
  <c r="AE53" i="51"/>
  <c r="AF53" i="51" s="1"/>
  <c r="AY43" i="51"/>
  <c r="I70" i="1"/>
  <c r="I26" i="39"/>
  <c r="L52" i="55"/>
  <c r="L55" i="55"/>
  <c r="AE56" i="39"/>
  <c r="AF56" i="39" s="1"/>
  <c r="I72" i="39"/>
  <c r="W46" i="39"/>
  <c r="X46" i="39" s="1"/>
  <c r="AJ80" i="39"/>
  <c r="AC80" i="39" s="1"/>
  <c r="R81" i="39"/>
  <c r="AK80" i="39"/>
  <c r="AD80" i="39" s="1"/>
  <c r="I81" i="39"/>
  <c r="I27" i="39"/>
  <c r="AE77" i="39"/>
  <c r="AF77" i="39" s="1"/>
  <c r="B78" i="39"/>
  <c r="F78" i="39"/>
  <c r="I78" i="39"/>
  <c r="B74" i="39"/>
  <c r="AE62" i="39"/>
  <c r="AF62" i="39" s="1"/>
  <c r="B79" i="39"/>
  <c r="W78" i="39"/>
  <c r="X78" i="39" s="1"/>
  <c r="AK78" i="39"/>
  <c r="AD78" i="39" s="1"/>
  <c r="AY79" i="39"/>
  <c r="Z78" i="39"/>
  <c r="AA78" i="39" s="1"/>
  <c r="J78" i="39" s="1"/>
  <c r="W81" i="39"/>
  <c r="X81" i="39" s="1"/>
  <c r="I62" i="39"/>
  <c r="AY53" i="39"/>
  <c r="W79" i="39"/>
  <c r="X79" i="39" s="1"/>
  <c r="AK79" i="39"/>
  <c r="AD79" i="39" s="1"/>
  <c r="AG79" i="39"/>
  <c r="AH79" i="39" s="1"/>
  <c r="K79" i="39" s="1"/>
  <c r="AE72" i="39"/>
  <c r="AF72" i="39" s="1"/>
  <c r="I73" i="39"/>
  <c r="U85" i="39"/>
  <c r="P85" i="39" s="1"/>
  <c r="D85" i="39"/>
  <c r="S85" i="39" s="1"/>
  <c r="T85" i="39" s="1"/>
  <c r="W84" i="39"/>
  <c r="X84" i="39" s="1"/>
  <c r="AJ84" i="39"/>
  <c r="AC84" i="39" s="1"/>
  <c r="F85" i="39"/>
  <c r="AK85" i="39"/>
  <c r="AD85" i="39" s="1"/>
  <c r="R85" i="39"/>
  <c r="AB85" i="39" s="1"/>
  <c r="V85" i="39"/>
  <c r="Q85" i="39" s="1"/>
  <c r="I69" i="1"/>
  <c r="F81" i="1"/>
  <c r="I30" i="52"/>
  <c r="F80" i="1"/>
  <c r="I31" i="1"/>
  <c r="AY85" i="51"/>
  <c r="I85" i="51"/>
  <c r="I75" i="51"/>
  <c r="AE75" i="1"/>
  <c r="AF75" i="1" s="1"/>
  <c r="AE74" i="1"/>
  <c r="AF74" i="1" s="1"/>
  <c r="D85" i="1"/>
  <c r="AN84" i="1"/>
  <c r="AP84" i="1" s="1"/>
  <c r="AY67" i="51"/>
  <c r="AL81" i="39"/>
  <c r="AM81" i="39" s="1"/>
  <c r="AQ81" i="39" s="1"/>
  <c r="AS82" i="39" s="1"/>
  <c r="Z80" i="39"/>
  <c r="AA80" i="39" s="1"/>
  <c r="J80" i="39" s="1"/>
  <c r="V80" i="39"/>
  <c r="Q80" i="39" s="1"/>
  <c r="D81" i="39"/>
  <c r="S81" i="39" s="1"/>
  <c r="T81" i="39" s="1"/>
  <c r="AN81" i="39"/>
  <c r="AP81" i="39" s="1"/>
  <c r="AG26" i="39"/>
  <c r="AH26" i="39" s="1"/>
  <c r="K26" i="39" s="1"/>
  <c r="AG77" i="39"/>
  <c r="AH77" i="39" s="1"/>
  <c r="K77" i="39" s="1"/>
  <c r="W77" i="39"/>
  <c r="X77" i="39" s="1"/>
  <c r="V77" i="39"/>
  <c r="Q77" i="39" s="1"/>
  <c r="AJ78" i="39"/>
  <c r="AC78" i="39" s="1"/>
  <c r="AG78" i="39"/>
  <c r="AH78" i="39" s="1"/>
  <c r="K78" i="39" s="1"/>
  <c r="D79" i="39"/>
  <c r="S79" i="39" s="1"/>
  <c r="T79" i="39" s="1"/>
  <c r="R79" i="39"/>
  <c r="AK81" i="39"/>
  <c r="AD81" i="39" s="1"/>
  <c r="AE81" i="39"/>
  <c r="AF81" i="39" s="1"/>
  <c r="V81" i="39"/>
  <c r="Q81" i="39" s="1"/>
  <c r="U81" i="39"/>
  <c r="P81" i="39" s="1"/>
  <c r="D80" i="39"/>
  <c r="S80" i="39" s="1"/>
  <c r="T80" i="39" s="1"/>
  <c r="AJ79" i="39"/>
  <c r="AC79" i="39" s="1"/>
  <c r="F80" i="39"/>
  <c r="AG84" i="39"/>
  <c r="AH84" i="39" s="1"/>
  <c r="K84" i="39" s="1"/>
  <c r="B86" i="39"/>
  <c r="AE84" i="39"/>
  <c r="AF84" i="39" s="1"/>
  <c r="AY85" i="39"/>
  <c r="F86" i="39"/>
  <c r="U84" i="39"/>
  <c r="P84" i="39" s="1"/>
  <c r="AG30" i="39"/>
  <c r="AH30" i="39" s="1"/>
  <c r="K30" i="39" s="1"/>
  <c r="Z30" i="39"/>
  <c r="AA30" i="39" s="1"/>
  <c r="J30" i="39" s="1"/>
  <c r="L26" i="55"/>
  <c r="L50" i="55"/>
  <c r="AI64" i="49"/>
  <c r="I63" i="1"/>
  <c r="AY59" i="1"/>
  <c r="AE63" i="1"/>
  <c r="AF63" i="1" s="1"/>
  <c r="W51" i="1"/>
  <c r="X51" i="1" s="1"/>
  <c r="AE34" i="1"/>
  <c r="AF34" i="1" s="1"/>
  <c r="I58" i="1"/>
  <c r="W64" i="1"/>
  <c r="X64" i="1" s="1"/>
  <c r="I51" i="1"/>
  <c r="W75" i="1"/>
  <c r="X75" i="1" s="1"/>
  <c r="D76" i="1"/>
  <c r="S76" i="1" s="1"/>
  <c r="T76" i="1" s="1"/>
  <c r="B76" i="1"/>
  <c r="I75" i="1"/>
  <c r="V84" i="1"/>
  <c r="AK83" i="1"/>
  <c r="AD83" i="1" s="1"/>
  <c r="B84" i="1"/>
  <c r="AJ83" i="1"/>
  <c r="AC83" i="1" s="1"/>
  <c r="W83" i="1"/>
  <c r="X83" i="1" s="1"/>
  <c r="I68" i="1"/>
  <c r="I57" i="1"/>
  <c r="W43" i="1"/>
  <c r="X43" i="1" s="1"/>
  <c r="L80" i="55"/>
  <c r="AE68" i="1"/>
  <c r="AF68" i="1" s="1"/>
  <c r="W58" i="1"/>
  <c r="X58" i="1" s="1"/>
  <c r="W68" i="1"/>
  <c r="X68" i="1" s="1"/>
  <c r="W63" i="1"/>
  <c r="X63" i="1" s="1"/>
  <c r="I52" i="1"/>
  <c r="I56" i="1"/>
  <c r="I73" i="1"/>
  <c r="I65" i="1"/>
  <c r="W50" i="1"/>
  <c r="X50" i="1" s="1"/>
  <c r="AJ75" i="1"/>
  <c r="AC75" i="1" s="1"/>
  <c r="Z75" i="1"/>
  <c r="AA75" i="1" s="1"/>
  <c r="J75" i="1" s="1"/>
  <c r="AY75" i="1"/>
  <c r="R75" i="1"/>
  <c r="AL75" i="1"/>
  <c r="AM75" i="1" s="1"/>
  <c r="AQ75" i="1" s="1"/>
  <c r="AS76" i="1" s="1"/>
  <c r="W74" i="1"/>
  <c r="X74" i="1" s="1"/>
  <c r="U84" i="1"/>
  <c r="Q84" i="1" s="1"/>
  <c r="AJ84" i="1"/>
  <c r="AC84" i="1" s="1"/>
  <c r="Z83" i="1"/>
  <c r="AA83" i="1" s="1"/>
  <c r="J83" i="1" s="1"/>
  <c r="V83" i="1"/>
  <c r="AL84" i="1"/>
  <c r="AM84" i="1" s="1"/>
  <c r="AQ84" i="1" s="1"/>
  <c r="AS85" i="1" s="1"/>
  <c r="AY84" i="1"/>
  <c r="AE56" i="1"/>
  <c r="AF56" i="1" s="1"/>
  <c r="AY71" i="1"/>
  <c r="I74" i="1"/>
  <c r="I65" i="47"/>
  <c r="V75" i="1"/>
  <c r="U75" i="1"/>
  <c r="Q75" i="1" s="1"/>
  <c r="B75" i="1"/>
  <c r="AK84" i="1"/>
  <c r="AD84" i="1" s="1"/>
  <c r="AE84" i="1"/>
  <c r="AF84" i="1" s="1"/>
  <c r="Z84" i="1"/>
  <c r="AA84" i="1" s="1"/>
  <c r="J84" i="1" s="1"/>
  <c r="AG84" i="1"/>
  <c r="AH84" i="1" s="1"/>
  <c r="D84" i="1"/>
  <c r="S84" i="1" s="1"/>
  <c r="T84" i="1" s="1"/>
  <c r="AG83" i="1"/>
  <c r="AH83" i="1" s="1"/>
  <c r="I84" i="1"/>
  <c r="W73" i="1"/>
  <c r="X73" i="1" s="1"/>
  <c r="L54" i="55"/>
  <c r="AI57" i="45"/>
  <c r="AI82" i="45"/>
  <c r="AQ84" i="45"/>
  <c r="AS85" i="45" s="1"/>
  <c r="AQ76" i="45"/>
  <c r="AS77" i="45" s="1"/>
  <c r="AQ52" i="45"/>
  <c r="AS53" i="45" s="1"/>
  <c r="AI75" i="45"/>
  <c r="AQ44" i="45"/>
  <c r="AS45" i="45" s="1"/>
  <c r="AQ63" i="45"/>
  <c r="AS64" i="45" s="1"/>
  <c r="AQ43" i="45"/>
  <c r="AS44" i="45" s="1"/>
  <c r="AI77" i="45"/>
  <c r="AQ82" i="45"/>
  <c r="AS83" i="45" s="1"/>
  <c r="AO82" i="45"/>
  <c r="AQ68" i="45"/>
  <c r="AS69" i="45" s="1"/>
  <c r="AQ46" i="45"/>
  <c r="AS47" i="45" s="1"/>
  <c r="AQ69" i="45"/>
  <c r="AS70" i="45" s="1"/>
  <c r="Z46" i="26"/>
  <c r="AD46" i="26" s="1"/>
  <c r="BD47" i="26"/>
  <c r="AH46" i="26"/>
  <c r="AM46" i="26" s="1"/>
  <c r="Z70" i="26"/>
  <c r="AD70" i="26" s="1"/>
  <c r="AH70" i="26"/>
  <c r="AM70" i="26" s="1"/>
  <c r="BD71" i="26"/>
  <c r="AB30" i="26"/>
  <c r="AC30" i="26" s="1"/>
  <c r="J30" i="26" s="1"/>
  <c r="Z30" i="26"/>
  <c r="AD30" i="26" s="1"/>
  <c r="AH30" i="26"/>
  <c r="AM30" i="26" s="1"/>
  <c r="BD31" i="26"/>
  <c r="AI30" i="26"/>
  <c r="AL30" i="26" s="1"/>
  <c r="K30" i="26" s="1"/>
  <c r="Z91" i="26"/>
  <c r="AD91" i="26" s="1"/>
  <c r="BD92" i="26"/>
  <c r="AH91" i="26"/>
  <c r="AM91" i="26" s="1"/>
  <c r="AH96" i="26"/>
  <c r="AM96" i="26" s="1"/>
  <c r="Z96" i="26"/>
  <c r="AD96" i="26" s="1"/>
  <c r="BD97" i="26"/>
  <c r="BD101" i="26"/>
  <c r="Z100" i="26"/>
  <c r="AD100" i="26" s="1"/>
  <c r="AH100" i="26"/>
  <c r="AM100" i="26" s="1"/>
  <c r="BD39" i="26"/>
  <c r="AH38" i="26"/>
  <c r="AM38" i="26" s="1"/>
  <c r="Z38" i="26"/>
  <c r="AD38" i="26" s="1"/>
  <c r="BD83" i="26"/>
  <c r="AH82" i="26"/>
  <c r="AM82" i="26" s="1"/>
  <c r="Z82" i="26"/>
  <c r="AD82" i="26" s="1"/>
  <c r="Z33" i="26"/>
  <c r="AD33" i="26" s="1"/>
  <c r="BD34" i="26"/>
  <c r="AH33" i="26"/>
  <c r="AM33" i="26" s="1"/>
  <c r="BD41" i="26"/>
  <c r="Z40" i="26"/>
  <c r="AD40" i="26" s="1"/>
  <c r="AH40" i="26"/>
  <c r="AM40" i="26" s="1"/>
  <c r="AH54" i="26"/>
  <c r="AM54" i="26" s="1"/>
  <c r="Z54" i="26"/>
  <c r="AD54" i="26" s="1"/>
  <c r="BD55" i="26"/>
  <c r="AH32" i="26"/>
  <c r="AM32" i="26" s="1"/>
  <c r="BD33" i="26"/>
  <c r="Z32" i="26"/>
  <c r="AD32" i="26" s="1"/>
  <c r="Z36" i="26"/>
  <c r="AD36" i="26" s="1"/>
  <c r="AH36" i="26"/>
  <c r="AM36" i="26" s="1"/>
  <c r="BD37" i="26"/>
  <c r="BD42" i="26"/>
  <c r="Z41" i="26"/>
  <c r="AD41" i="26" s="1"/>
  <c r="AH41" i="26"/>
  <c r="AM41" i="26" s="1"/>
  <c r="AH94" i="26"/>
  <c r="AM94" i="26" s="1"/>
  <c r="BD95" i="26"/>
  <c r="Z94" i="26"/>
  <c r="AD94" i="26" s="1"/>
  <c r="BD93" i="26"/>
  <c r="AH92" i="26"/>
  <c r="AM92" i="26" s="1"/>
  <c r="Z92" i="26"/>
  <c r="AD92" i="26" s="1"/>
  <c r="AH37" i="26"/>
  <c r="AM37" i="26" s="1"/>
  <c r="Z37" i="26"/>
  <c r="AD37" i="26" s="1"/>
  <c r="BD38" i="26"/>
  <c r="Z65" i="26"/>
  <c r="AD65" i="26" s="1"/>
  <c r="AH65" i="26"/>
  <c r="AM65" i="26" s="1"/>
  <c r="BD66" i="26"/>
  <c r="M61" i="60"/>
  <c r="Z26" i="52"/>
  <c r="AA26" i="52" s="1"/>
  <c r="J26" i="52" s="1"/>
  <c r="I27" i="52"/>
  <c r="AE26" i="52"/>
  <c r="AF26" i="52" s="1"/>
  <c r="W26" i="52"/>
  <c r="X26" i="52" s="1"/>
  <c r="AY27" i="52"/>
  <c r="AG26" i="52"/>
  <c r="AH26" i="52" s="1"/>
  <c r="AU25" i="52"/>
  <c r="AV25" i="52" s="1"/>
  <c r="AW25" i="52" s="1"/>
  <c r="AX25" i="52" s="1"/>
  <c r="S25" i="52" s="1"/>
  <c r="AL25" i="52"/>
  <c r="AM25" i="52" s="1"/>
  <c r="AN25" i="52"/>
  <c r="AP25" i="52" s="1"/>
  <c r="B25" i="52"/>
  <c r="AY25" i="52"/>
  <c r="AY67" i="52"/>
  <c r="W66" i="52"/>
  <c r="X66" i="52" s="1"/>
  <c r="AE66" i="52"/>
  <c r="AF66" i="52" s="1"/>
  <c r="I67" i="52"/>
  <c r="AY40" i="52"/>
  <c r="AE39" i="52"/>
  <c r="AF39" i="52" s="1"/>
  <c r="W39" i="52"/>
  <c r="X39" i="52" s="1"/>
  <c r="W31" i="52"/>
  <c r="X31" i="52" s="1"/>
  <c r="AE31" i="52"/>
  <c r="AF31" i="52" s="1"/>
  <c r="AY32" i="52"/>
  <c r="W57" i="52"/>
  <c r="X57" i="52" s="1"/>
  <c r="AY58" i="52"/>
  <c r="AE57" i="52"/>
  <c r="AF57" i="52" s="1"/>
  <c r="I58" i="52"/>
  <c r="W49" i="52"/>
  <c r="X49" i="52" s="1"/>
  <c r="AY50" i="52"/>
  <c r="AE49" i="52"/>
  <c r="AF49" i="52" s="1"/>
  <c r="I50" i="52"/>
  <c r="AY66" i="52"/>
  <c r="AE65" i="52"/>
  <c r="AF65" i="52" s="1"/>
  <c r="W65" i="52"/>
  <c r="X65" i="52" s="1"/>
  <c r="I66" i="52"/>
  <c r="AE75" i="52"/>
  <c r="AF75" i="52" s="1"/>
  <c r="W75" i="52"/>
  <c r="X75" i="52" s="1"/>
  <c r="I76" i="52"/>
  <c r="AY76" i="52"/>
  <c r="I62" i="52"/>
  <c r="W62" i="52"/>
  <c r="X62" i="52" s="1"/>
  <c r="AE62" i="52"/>
  <c r="AF62" i="52" s="1"/>
  <c r="I63" i="52"/>
  <c r="AY63" i="52"/>
  <c r="W28" i="52"/>
  <c r="X28" i="52" s="1"/>
  <c r="AY29" i="52"/>
  <c r="AE28" i="52"/>
  <c r="AF28" i="52" s="1"/>
  <c r="Z28" i="52"/>
  <c r="AA28" i="52" s="1"/>
  <c r="J28" i="52" s="1"/>
  <c r="AG28" i="52"/>
  <c r="AH28" i="52" s="1"/>
  <c r="W55" i="52"/>
  <c r="X55" i="52" s="1"/>
  <c r="AY56" i="52"/>
  <c r="AE55" i="52"/>
  <c r="AF55" i="52" s="1"/>
  <c r="I56" i="52"/>
  <c r="AY55" i="52"/>
  <c r="W54" i="52"/>
  <c r="X54" i="52" s="1"/>
  <c r="I55" i="52"/>
  <c r="AE54" i="52"/>
  <c r="AF54" i="52" s="1"/>
  <c r="AE79" i="52"/>
  <c r="AF79" i="52" s="1"/>
  <c r="W79" i="52"/>
  <c r="X79" i="52" s="1"/>
  <c r="AY80" i="52"/>
  <c r="H44" i="55"/>
  <c r="AH81" i="26"/>
  <c r="AM81" i="26" s="1"/>
  <c r="BD82" i="26"/>
  <c r="Z81" i="26"/>
  <c r="AD81" i="26" s="1"/>
  <c r="AH87" i="26"/>
  <c r="AM87" i="26" s="1"/>
  <c r="Z87" i="26"/>
  <c r="AD87" i="26" s="1"/>
  <c r="BD88" i="26"/>
  <c r="Z31" i="26"/>
  <c r="AD31" i="26" s="1"/>
  <c r="AH31" i="26"/>
  <c r="AM31" i="26" s="1"/>
  <c r="BD32" i="26"/>
  <c r="AH99" i="26"/>
  <c r="AM99" i="26" s="1"/>
  <c r="Z99" i="26"/>
  <c r="AD99" i="26" s="1"/>
  <c r="BD100" i="26"/>
  <c r="AH88" i="26"/>
  <c r="AM88" i="26" s="1"/>
  <c r="Z88" i="26"/>
  <c r="AD88" i="26" s="1"/>
  <c r="BD89" i="26"/>
  <c r="BD76" i="26"/>
  <c r="Z75" i="26"/>
  <c r="AD75" i="26" s="1"/>
  <c r="AH75" i="26"/>
  <c r="AM75" i="26" s="1"/>
  <c r="Z80" i="26"/>
  <c r="AD80" i="26" s="1"/>
  <c r="AH80" i="26"/>
  <c r="AM80" i="26" s="1"/>
  <c r="BD81" i="26"/>
  <c r="BD27" i="26"/>
  <c r="BD68" i="26"/>
  <c r="Z67" i="26"/>
  <c r="AD67" i="26" s="1"/>
  <c r="AH67" i="26"/>
  <c r="AM67" i="26" s="1"/>
  <c r="AH60" i="26"/>
  <c r="AM60" i="26" s="1"/>
  <c r="BD61" i="26"/>
  <c r="Z60" i="26"/>
  <c r="AD60" i="26" s="1"/>
  <c r="AH78" i="26"/>
  <c r="AM78" i="26" s="1"/>
  <c r="BD79" i="26"/>
  <c r="Z78" i="26"/>
  <c r="AD78" i="26" s="1"/>
  <c r="AH98" i="26"/>
  <c r="AM98" i="26" s="1"/>
  <c r="BD99" i="26"/>
  <c r="Z98" i="26"/>
  <c r="AD98" i="26" s="1"/>
  <c r="BD91" i="26"/>
  <c r="AH90" i="26"/>
  <c r="AM90" i="26" s="1"/>
  <c r="Z90" i="26"/>
  <c r="AD90" i="26" s="1"/>
  <c r="Z71" i="26"/>
  <c r="AD71" i="26" s="1"/>
  <c r="AH71" i="26"/>
  <c r="AM71" i="26" s="1"/>
  <c r="BD72" i="26"/>
  <c r="AH55" i="26"/>
  <c r="AM55" i="26" s="1"/>
  <c r="Z55" i="26"/>
  <c r="AD55" i="26" s="1"/>
  <c r="BD56" i="26"/>
  <c r="AH76" i="26"/>
  <c r="AM76" i="26" s="1"/>
  <c r="Z76" i="26"/>
  <c r="AD76" i="26" s="1"/>
  <c r="BD77" i="26"/>
  <c r="BD86" i="26"/>
  <c r="Z85" i="26"/>
  <c r="AD85" i="26" s="1"/>
  <c r="AH85" i="26"/>
  <c r="AM85" i="26" s="1"/>
  <c r="I29" i="52"/>
  <c r="W82" i="52"/>
  <c r="X82" i="52" s="1"/>
  <c r="I83" i="52"/>
  <c r="AY83" i="52"/>
  <c r="AE82" i="52"/>
  <c r="AF82" i="52" s="1"/>
  <c r="AY74" i="52"/>
  <c r="W73" i="52"/>
  <c r="X73" i="52" s="1"/>
  <c r="I74" i="52"/>
  <c r="AE73" i="52"/>
  <c r="AF73" i="52" s="1"/>
  <c r="W81" i="52"/>
  <c r="X81" i="52" s="1"/>
  <c r="I82" i="52"/>
  <c r="AE81" i="52"/>
  <c r="AF81" i="52" s="1"/>
  <c r="AY82" i="52"/>
  <c r="AY51" i="52"/>
  <c r="AE50" i="52"/>
  <c r="AF50" i="52" s="1"/>
  <c r="W50" i="52"/>
  <c r="X50" i="52" s="1"/>
  <c r="I51" i="52"/>
  <c r="AE44" i="52"/>
  <c r="AF44" i="52" s="1"/>
  <c r="AY45" i="52"/>
  <c r="W44" i="52"/>
  <c r="X44" i="52" s="1"/>
  <c r="W78" i="52"/>
  <c r="X78" i="52" s="1"/>
  <c r="AE78" i="52"/>
  <c r="AF78" i="52" s="1"/>
  <c r="AY79" i="52"/>
  <c r="I79" i="52"/>
  <c r="W74" i="52"/>
  <c r="X74" i="52" s="1"/>
  <c r="AE74" i="52"/>
  <c r="AF74" i="52" s="1"/>
  <c r="AY75" i="52"/>
  <c r="I75" i="52"/>
  <c r="AY41" i="52"/>
  <c r="W40" i="52"/>
  <c r="X40" i="52" s="1"/>
  <c r="AE40" i="52"/>
  <c r="AF40" i="52" s="1"/>
  <c r="W38" i="52"/>
  <c r="X38" i="52" s="1"/>
  <c r="AE38" i="52"/>
  <c r="AF38" i="52" s="1"/>
  <c r="AY39" i="52"/>
  <c r="AE72" i="52"/>
  <c r="AF72" i="52" s="1"/>
  <c r="AY73" i="52"/>
  <c r="W72" i="52"/>
  <c r="X72" i="52" s="1"/>
  <c r="I73" i="52"/>
  <c r="W29" i="52"/>
  <c r="X29" i="52" s="1"/>
  <c r="AE29" i="52"/>
  <c r="AF29" i="52" s="1"/>
  <c r="AY30" i="52"/>
  <c r="AY28" i="52"/>
  <c r="I28" i="52"/>
  <c r="Z27" i="52"/>
  <c r="AA27" i="52" s="1"/>
  <c r="J27" i="52" s="1"/>
  <c r="AG27" i="52"/>
  <c r="AH27" i="52" s="1"/>
  <c r="AE27" i="52"/>
  <c r="AF27" i="52" s="1"/>
  <c r="W27" i="52"/>
  <c r="X27" i="52" s="1"/>
  <c r="AE59" i="52"/>
  <c r="AF59" i="52" s="1"/>
  <c r="W59" i="52"/>
  <c r="X59" i="52" s="1"/>
  <c r="AY60" i="52"/>
  <c r="I60" i="52"/>
  <c r="AE68" i="52"/>
  <c r="AF68" i="52" s="1"/>
  <c r="AY69" i="52"/>
  <c r="I69" i="52"/>
  <c r="W68" i="52"/>
  <c r="X68" i="52" s="1"/>
  <c r="W69" i="52"/>
  <c r="X69" i="52" s="1"/>
  <c r="AE69" i="52"/>
  <c r="AF69" i="52" s="1"/>
  <c r="AY70" i="52"/>
  <c r="I70" i="52"/>
  <c r="Z45" i="26"/>
  <c r="AD45" i="26" s="1"/>
  <c r="AH45" i="26"/>
  <c r="AM45" i="26" s="1"/>
  <c r="BD46" i="26"/>
  <c r="BD96" i="26"/>
  <c r="AH95" i="26"/>
  <c r="AM95" i="26" s="1"/>
  <c r="Z95" i="26"/>
  <c r="AD95" i="26" s="1"/>
  <c r="BD30" i="26"/>
  <c r="AH29" i="26"/>
  <c r="AM29" i="26" s="1"/>
  <c r="AI29" i="26"/>
  <c r="AL29" i="26" s="1"/>
  <c r="K29" i="26" s="1"/>
  <c r="Z29" i="26"/>
  <c r="AD29" i="26" s="1"/>
  <c r="AB29" i="26"/>
  <c r="AC29" i="26" s="1"/>
  <c r="J29" i="26" s="1"/>
  <c r="AH61" i="26"/>
  <c r="AM61" i="26" s="1"/>
  <c r="Z61" i="26"/>
  <c r="AD61" i="26" s="1"/>
  <c r="BD62" i="26"/>
  <c r="Z93" i="26"/>
  <c r="AD93" i="26" s="1"/>
  <c r="AH93" i="26"/>
  <c r="AM93" i="26" s="1"/>
  <c r="BD94" i="26"/>
  <c r="BD87" i="26"/>
  <c r="AH86" i="26"/>
  <c r="AM86" i="26" s="1"/>
  <c r="Z86" i="26"/>
  <c r="AD86" i="26" s="1"/>
  <c r="AH69" i="26"/>
  <c r="AM69" i="26" s="1"/>
  <c r="Z69" i="26"/>
  <c r="AD69" i="26" s="1"/>
  <c r="BD70" i="26"/>
  <c r="Z73" i="26"/>
  <c r="AD73" i="26" s="1"/>
  <c r="BD74" i="26"/>
  <c r="AH73" i="26"/>
  <c r="AM73" i="26" s="1"/>
  <c r="BD44" i="26"/>
  <c r="AH43" i="26"/>
  <c r="AM43" i="26" s="1"/>
  <c r="Z43" i="26"/>
  <c r="AD43" i="26" s="1"/>
  <c r="Z42" i="26"/>
  <c r="AD42" i="26" s="1"/>
  <c r="BD43" i="26"/>
  <c r="AH42" i="26"/>
  <c r="AM42" i="26" s="1"/>
  <c r="Z56" i="26"/>
  <c r="AD56" i="26" s="1"/>
  <c r="BD57" i="26"/>
  <c r="AH56" i="26"/>
  <c r="AM56" i="26" s="1"/>
  <c r="Z83" i="26"/>
  <c r="AD83" i="26" s="1"/>
  <c r="BD84" i="26"/>
  <c r="AH83" i="26"/>
  <c r="AM83" i="26" s="1"/>
  <c r="Z74" i="26"/>
  <c r="AD74" i="26" s="1"/>
  <c r="BD75" i="26"/>
  <c r="AH74" i="26"/>
  <c r="AM74" i="26" s="1"/>
  <c r="Z39" i="26"/>
  <c r="AD39" i="26" s="1"/>
  <c r="AH39" i="26"/>
  <c r="AM39" i="26" s="1"/>
  <c r="BD40" i="26"/>
  <c r="AH27" i="26"/>
  <c r="AM27" i="26" s="1"/>
  <c r="AI27" i="26"/>
  <c r="AL27" i="26" s="1"/>
  <c r="K27" i="26" s="1"/>
  <c r="Z27" i="26"/>
  <c r="AD27" i="26" s="1"/>
  <c r="BD28" i="26"/>
  <c r="AB27" i="26"/>
  <c r="AC27" i="26" s="1"/>
  <c r="J27" i="26" s="1"/>
  <c r="AH64" i="26"/>
  <c r="AM64" i="26" s="1"/>
  <c r="BD65" i="26"/>
  <c r="Z64" i="26"/>
  <c r="AD64" i="26" s="1"/>
  <c r="AH89" i="26"/>
  <c r="AM89" i="26" s="1"/>
  <c r="Z89" i="26"/>
  <c r="AD89" i="26" s="1"/>
  <c r="BD90" i="26"/>
  <c r="AH44" i="26"/>
  <c r="AM44" i="26" s="1"/>
  <c r="Z44" i="26"/>
  <c r="AD44" i="26" s="1"/>
  <c r="BD45" i="26"/>
  <c r="W35" i="52"/>
  <c r="X35" i="52" s="1"/>
  <c r="AE35" i="52"/>
  <c r="AF35" i="52" s="1"/>
  <c r="AY36" i="52"/>
  <c r="I26" i="52"/>
  <c r="AY26" i="52"/>
  <c r="W77" i="52"/>
  <c r="X77" i="52" s="1"/>
  <c r="I78" i="52"/>
  <c r="AE77" i="52"/>
  <c r="AF77" i="52" s="1"/>
  <c r="AY78" i="52"/>
  <c r="AY57" i="52"/>
  <c r="I57" i="52"/>
  <c r="AE56" i="52"/>
  <c r="AF56" i="52" s="1"/>
  <c r="W56" i="52"/>
  <c r="X56" i="52" s="1"/>
  <c r="I84" i="52"/>
  <c r="AY84" i="52"/>
  <c r="W83" i="52"/>
  <c r="X83" i="52" s="1"/>
  <c r="AE83" i="52"/>
  <c r="AF83" i="52" s="1"/>
  <c r="AE52" i="52"/>
  <c r="AF52" i="52" s="1"/>
  <c r="AY53" i="52"/>
  <c r="W52" i="52"/>
  <c r="X52" i="52" s="1"/>
  <c r="I53" i="52"/>
  <c r="AY42" i="52"/>
  <c r="W41" i="52"/>
  <c r="X41" i="52" s="1"/>
  <c r="AE41" i="52"/>
  <c r="AF41" i="52" s="1"/>
  <c r="I52" i="52"/>
  <c r="W51" i="52"/>
  <c r="X51" i="52" s="1"/>
  <c r="AY52" i="52"/>
  <c r="AE51" i="52"/>
  <c r="AF51" i="52" s="1"/>
  <c r="AE76" i="52"/>
  <c r="AF76" i="52" s="1"/>
  <c r="AY77" i="52"/>
  <c r="W76" i="52"/>
  <c r="X76" i="52" s="1"/>
  <c r="I77" i="52"/>
  <c r="AY71" i="52"/>
  <c r="W70" i="52"/>
  <c r="X70" i="52" s="1"/>
  <c r="AE70" i="52"/>
  <c r="AF70" i="52" s="1"/>
  <c r="I71" i="52"/>
  <c r="W37" i="52"/>
  <c r="X37" i="52" s="1"/>
  <c r="AE37" i="52"/>
  <c r="AF37" i="52" s="1"/>
  <c r="AY38" i="52"/>
  <c r="B86" i="52"/>
  <c r="I85" i="52"/>
  <c r="AE85" i="52"/>
  <c r="AF85" i="52" s="1"/>
  <c r="AY85" i="52"/>
  <c r="W85" i="52"/>
  <c r="X85" i="52" s="1"/>
  <c r="AE84" i="52"/>
  <c r="AF84" i="52" s="1"/>
  <c r="W84" i="52"/>
  <c r="X84" i="52" s="1"/>
  <c r="AY64" i="52"/>
  <c r="AE63" i="52"/>
  <c r="AF63" i="52" s="1"/>
  <c r="W63" i="52"/>
  <c r="X63" i="52" s="1"/>
  <c r="I64" i="52"/>
  <c r="W42" i="52"/>
  <c r="X42" i="52" s="1"/>
  <c r="AE42" i="52"/>
  <c r="AF42" i="52" s="1"/>
  <c r="AY43" i="52"/>
  <c r="AY62" i="52"/>
  <c r="W61" i="52"/>
  <c r="X61" i="52" s="1"/>
  <c r="AE61" i="52"/>
  <c r="AF61" i="52" s="1"/>
  <c r="AJ76" i="1"/>
  <c r="AC76" i="1" s="1"/>
  <c r="AH79" i="26"/>
  <c r="AM79" i="26" s="1"/>
  <c r="BD80" i="26"/>
  <c r="Z79" i="26"/>
  <c r="AD79" i="26" s="1"/>
  <c r="AH57" i="26"/>
  <c r="AM57" i="26" s="1"/>
  <c r="BD58" i="26"/>
  <c r="Z57" i="26"/>
  <c r="AD57" i="26" s="1"/>
  <c r="BD78" i="26"/>
  <c r="AH77" i="26"/>
  <c r="AM77" i="26" s="1"/>
  <c r="Z77" i="26"/>
  <c r="AD77" i="26" s="1"/>
  <c r="AH66" i="26"/>
  <c r="AM66" i="26" s="1"/>
  <c r="BD67" i="26"/>
  <c r="Z66" i="26"/>
  <c r="AD66" i="26" s="1"/>
  <c r="Z84" i="26"/>
  <c r="AD84" i="26" s="1"/>
  <c r="AH84" i="26"/>
  <c r="AM84" i="26" s="1"/>
  <c r="BD85" i="26"/>
  <c r="AH63" i="26"/>
  <c r="AM63" i="26" s="1"/>
  <c r="BD64" i="26"/>
  <c r="Z63" i="26"/>
  <c r="AD63" i="26" s="1"/>
  <c r="BD48" i="26"/>
  <c r="AH47" i="26"/>
  <c r="AM47" i="26" s="1"/>
  <c r="Z47" i="26"/>
  <c r="AD47" i="26" s="1"/>
  <c r="Z102" i="26"/>
  <c r="AD102" i="26" s="1"/>
  <c r="BD102" i="26"/>
  <c r="AH102" i="26"/>
  <c r="AM102" i="26" s="1"/>
  <c r="Z101" i="26"/>
  <c r="AD101" i="26" s="1"/>
  <c r="AH101" i="26"/>
  <c r="AM101" i="26" s="1"/>
  <c r="B103" i="26"/>
  <c r="AH72" i="26"/>
  <c r="AM72" i="26" s="1"/>
  <c r="Z72" i="26"/>
  <c r="AD72" i="26" s="1"/>
  <c r="BD73" i="26"/>
  <c r="BD63" i="26"/>
  <c r="Z62" i="26"/>
  <c r="AD62" i="26" s="1"/>
  <c r="AH62" i="26"/>
  <c r="AM62" i="26" s="1"/>
  <c r="AH59" i="26"/>
  <c r="AM59" i="26" s="1"/>
  <c r="BD60" i="26"/>
  <c r="Z59" i="26"/>
  <c r="AD59" i="26" s="1"/>
  <c r="Z35" i="26"/>
  <c r="AD35" i="26" s="1"/>
  <c r="AH35" i="26"/>
  <c r="AM35" i="26" s="1"/>
  <c r="BD36" i="26"/>
  <c r="AH97" i="26"/>
  <c r="AM97" i="26" s="1"/>
  <c r="BD98" i="26"/>
  <c r="Z97" i="26"/>
  <c r="AD97" i="26" s="1"/>
  <c r="Z34" i="26"/>
  <c r="AD34" i="26" s="1"/>
  <c r="AH34" i="26"/>
  <c r="AM34" i="26" s="1"/>
  <c r="BD35" i="26"/>
  <c r="AH68" i="26"/>
  <c r="AM68" i="26" s="1"/>
  <c r="BD69" i="26"/>
  <c r="Z68" i="26"/>
  <c r="AD68" i="26" s="1"/>
  <c r="AS26" i="26"/>
  <c r="AU26" i="26" s="1"/>
  <c r="AQ26" i="26"/>
  <c r="AR26" i="26" s="1"/>
  <c r="D26" i="26"/>
  <c r="H26" i="26" s="1"/>
  <c r="BD26" i="26"/>
  <c r="B26" i="26"/>
  <c r="B27" i="26" s="1"/>
  <c r="Z28" i="26"/>
  <c r="AD28" i="26" s="1"/>
  <c r="BD29" i="26"/>
  <c r="AI28" i="26"/>
  <c r="AL28" i="26" s="1"/>
  <c r="K28" i="26" s="1"/>
  <c r="AB28" i="26"/>
  <c r="AC28" i="26" s="1"/>
  <c r="J28" i="26" s="1"/>
  <c r="AH28" i="26"/>
  <c r="AM28" i="26" s="1"/>
  <c r="AH58" i="26"/>
  <c r="AM58" i="26" s="1"/>
  <c r="BD59" i="26"/>
  <c r="Z58" i="26"/>
  <c r="AD58" i="26" s="1"/>
  <c r="AY35" i="52"/>
  <c r="W34" i="52"/>
  <c r="X34" i="52" s="1"/>
  <c r="AE34" i="52"/>
  <c r="AF34" i="52" s="1"/>
  <c r="AY34" i="52"/>
  <c r="W33" i="52"/>
  <c r="X33" i="52" s="1"/>
  <c r="AE33" i="52"/>
  <c r="AF33" i="52" s="1"/>
  <c r="I61" i="52"/>
  <c r="W60" i="52"/>
  <c r="X60" i="52" s="1"/>
  <c r="AY61" i="52"/>
  <c r="AE60" i="52"/>
  <c r="AF60" i="52" s="1"/>
  <c r="AY37" i="52"/>
  <c r="W36" i="52"/>
  <c r="X36" i="52" s="1"/>
  <c r="AE36" i="52"/>
  <c r="AF36" i="52" s="1"/>
  <c r="AY65" i="52"/>
  <c r="AE64" i="52"/>
  <c r="AF64" i="52" s="1"/>
  <c r="W64" i="52"/>
  <c r="X64" i="52" s="1"/>
  <c r="I65" i="52"/>
  <c r="AE53" i="52"/>
  <c r="AF53" i="52" s="1"/>
  <c r="W53" i="52"/>
  <c r="X53" i="52" s="1"/>
  <c r="I54" i="52"/>
  <c r="AY54" i="52"/>
  <c r="AE71" i="52"/>
  <c r="AF71" i="52" s="1"/>
  <c r="AY72" i="52"/>
  <c r="W71" i="52"/>
  <c r="X71" i="52" s="1"/>
  <c r="I72" i="52"/>
  <c r="I59" i="52"/>
  <c r="AE58" i="52"/>
  <c r="AF58" i="52" s="1"/>
  <c r="AY59" i="52"/>
  <c r="W58" i="52"/>
  <c r="X58" i="52" s="1"/>
  <c r="AY47" i="52"/>
  <c r="AE46" i="52"/>
  <c r="AF46" i="52" s="1"/>
  <c r="W46" i="52"/>
  <c r="X46" i="52" s="1"/>
  <c r="I80" i="52"/>
  <c r="AY81" i="52"/>
  <c r="AE80" i="52"/>
  <c r="AF80" i="52" s="1"/>
  <c r="W80" i="52"/>
  <c r="X80" i="52" s="1"/>
  <c r="I81" i="52"/>
  <c r="AY33" i="52"/>
  <c r="W32" i="52"/>
  <c r="X32" i="52" s="1"/>
  <c r="AE32" i="52"/>
  <c r="AF32" i="52" s="1"/>
  <c r="AE45" i="52"/>
  <c r="AF45" i="52" s="1"/>
  <c r="AY46" i="52"/>
  <c r="W45" i="52"/>
  <c r="X45" i="52" s="1"/>
  <c r="AY44" i="52"/>
  <c r="W43" i="52"/>
  <c r="X43" i="52" s="1"/>
  <c r="AE43" i="52"/>
  <c r="AF43" i="52" s="1"/>
  <c r="W30" i="52"/>
  <c r="X30" i="52" s="1"/>
  <c r="AY31" i="52"/>
  <c r="AE30" i="52"/>
  <c r="AF30" i="52" s="1"/>
  <c r="W67" i="52"/>
  <c r="X67" i="52" s="1"/>
  <c r="AY68" i="52"/>
  <c r="AE67" i="52"/>
  <c r="AF67" i="52" s="1"/>
  <c r="I68" i="52"/>
  <c r="S25" i="51"/>
  <c r="F77" i="1"/>
  <c r="D77" i="1"/>
  <c r="S77" i="1" s="1"/>
  <c r="T77" i="1" s="1"/>
  <c r="V76" i="1"/>
  <c r="AE76" i="1"/>
  <c r="AF76" i="1" s="1"/>
  <c r="D81" i="1"/>
  <c r="S81" i="1" s="1"/>
  <c r="T81" i="1" s="1"/>
  <c r="V80" i="1"/>
  <c r="R80" i="1"/>
  <c r="W79" i="1"/>
  <c r="X79" i="1" s="1"/>
  <c r="AY80" i="1"/>
  <c r="D80" i="1"/>
  <c r="S80" i="1" s="1"/>
  <c r="T80" i="1" s="1"/>
  <c r="L62" i="55"/>
  <c r="B26" i="55"/>
  <c r="AL27" i="55" s="1"/>
  <c r="AM27" i="55" s="1"/>
  <c r="L67" i="55"/>
  <c r="L38" i="55"/>
  <c r="H85" i="55"/>
  <c r="L44" i="55"/>
  <c r="H45" i="55"/>
  <c r="U76" i="1"/>
  <c r="Q76" i="1" s="1"/>
  <c r="U80" i="1"/>
  <c r="Q80" i="1" s="1"/>
  <c r="AL80" i="1"/>
  <c r="AM80" i="1" s="1"/>
  <c r="AO80" i="1" s="1"/>
  <c r="AJ79" i="1"/>
  <c r="AC79" i="1" s="1"/>
  <c r="U79" i="1"/>
  <c r="P79" i="1" s="1"/>
  <c r="L60" i="55"/>
  <c r="L57" i="55"/>
  <c r="AG76" i="1"/>
  <c r="AH76" i="1" s="1"/>
  <c r="I77" i="1"/>
  <c r="AY77" i="1"/>
  <c r="AG80" i="1"/>
  <c r="AH80" i="1" s="1"/>
  <c r="AK80" i="1"/>
  <c r="AD80" i="1" s="1"/>
  <c r="I80" i="1"/>
  <c r="Z76" i="1"/>
  <c r="AA76" i="1" s="1"/>
  <c r="J76" i="1" s="1"/>
  <c r="AK76" i="1"/>
  <c r="AD76" i="1" s="1"/>
  <c r="AN77" i="1"/>
  <c r="AP77" i="1" s="1"/>
  <c r="AE80" i="1"/>
  <c r="AF80" i="1" s="1"/>
  <c r="W80" i="1"/>
  <c r="X80" i="1" s="1"/>
  <c r="B81" i="1"/>
  <c r="B80" i="1"/>
  <c r="V79" i="1"/>
  <c r="AK79" i="1"/>
  <c r="AD79" i="1" s="1"/>
  <c r="AN26" i="55"/>
  <c r="AP26" i="55" s="1"/>
  <c r="AQ26" i="55" s="1"/>
  <c r="AS27" i="55" s="1"/>
  <c r="L73" i="55"/>
  <c r="L65" i="55"/>
  <c r="L77" i="55"/>
  <c r="L83" i="55"/>
  <c r="H81" i="55"/>
  <c r="H59" i="55"/>
  <c r="L59" i="55"/>
  <c r="L43" i="55"/>
  <c r="H39" i="55"/>
  <c r="H47" i="55"/>
  <c r="L76" i="55"/>
  <c r="L39" i="55"/>
  <c r="L72" i="55"/>
  <c r="L42" i="55"/>
  <c r="AI38" i="55"/>
  <c r="W27" i="50"/>
  <c r="X27" i="50" s="1"/>
  <c r="AE27" i="50"/>
  <c r="AF27" i="50" s="1"/>
  <c r="AY28" i="50"/>
  <c r="Z27" i="50"/>
  <c r="AA27" i="50" s="1"/>
  <c r="J27" i="50" s="1"/>
  <c r="AG27" i="50"/>
  <c r="AH27" i="50" s="1"/>
  <c r="I28" i="50"/>
  <c r="AE49" i="50"/>
  <c r="AF49" i="50" s="1"/>
  <c r="W49" i="50"/>
  <c r="X49" i="50" s="1"/>
  <c r="AY50" i="50"/>
  <c r="I50" i="50"/>
  <c r="S65" i="55"/>
  <c r="T65" i="55" s="1"/>
  <c r="H65" i="55"/>
  <c r="AQ43" i="55"/>
  <c r="AS44" i="55" s="1"/>
  <c r="AO43" i="55"/>
  <c r="AF105" i="47"/>
  <c r="AG105" i="47" s="1"/>
  <c r="AZ106" i="47"/>
  <c r="I106" i="47"/>
  <c r="W105" i="47"/>
  <c r="X105" i="47" s="1"/>
  <c r="AF82" i="47"/>
  <c r="AG82" i="47" s="1"/>
  <c r="W82" i="47"/>
  <c r="X82" i="47" s="1"/>
  <c r="AZ83" i="47"/>
  <c r="AF72" i="47"/>
  <c r="AG72" i="47" s="1"/>
  <c r="AZ73" i="47"/>
  <c r="W72" i="47"/>
  <c r="X72" i="47" s="1"/>
  <c r="AQ80" i="39"/>
  <c r="AS81" i="39" s="1"/>
  <c r="AQ53" i="55"/>
  <c r="AS54" i="55" s="1"/>
  <c r="AO53" i="55"/>
  <c r="H66" i="55"/>
  <c r="S66" i="55"/>
  <c r="T66" i="55" s="1"/>
  <c r="L45" i="55"/>
  <c r="S72" i="55"/>
  <c r="T72" i="55" s="1"/>
  <c r="H72" i="55"/>
  <c r="L56" i="55"/>
  <c r="AI69" i="55"/>
  <c r="AB68" i="55"/>
  <c r="AO68" i="55"/>
  <c r="AQ68" i="55"/>
  <c r="AS69" i="55" s="1"/>
  <c r="AB63" i="55"/>
  <c r="AI64" i="55"/>
  <c r="AO64" i="55"/>
  <c r="AQ64" i="55"/>
  <c r="AS65" i="55" s="1"/>
  <c r="AI58" i="55"/>
  <c r="AB57" i="55"/>
  <c r="AE55" i="50"/>
  <c r="AF55" i="50" s="1"/>
  <c r="I56" i="50"/>
  <c r="W55" i="50"/>
  <c r="X55" i="50" s="1"/>
  <c r="AY56" i="50"/>
  <c r="AY66" i="50"/>
  <c r="I66" i="50"/>
  <c r="AE65" i="50"/>
  <c r="AF65" i="50" s="1"/>
  <c r="W65" i="50"/>
  <c r="X65" i="50" s="1"/>
  <c r="S25" i="55"/>
  <c r="AQ51" i="55"/>
  <c r="AS52" i="55" s="1"/>
  <c r="AO51" i="55"/>
  <c r="L74" i="55"/>
  <c r="AZ88" i="47"/>
  <c r="AF87" i="47"/>
  <c r="AG87" i="47" s="1"/>
  <c r="W87" i="47"/>
  <c r="X87" i="47" s="1"/>
  <c r="I88" i="47"/>
  <c r="W102" i="47"/>
  <c r="X102" i="47" s="1"/>
  <c r="AF102" i="47"/>
  <c r="AG102" i="47" s="1"/>
  <c r="AZ103" i="47"/>
  <c r="I103" i="47"/>
  <c r="AZ64" i="47"/>
  <c r="W63" i="47"/>
  <c r="X63" i="47" s="1"/>
  <c r="AF63" i="47"/>
  <c r="AG63" i="47" s="1"/>
  <c r="Z63" i="47"/>
  <c r="AA63" i="47" s="1"/>
  <c r="J63" i="47" s="1"/>
  <c r="AH63" i="47"/>
  <c r="AI63" i="47" s="1"/>
  <c r="AL82" i="1"/>
  <c r="AM82" i="1" s="1"/>
  <c r="AQ82" i="1" s="1"/>
  <c r="AS83" i="1" s="1"/>
  <c r="F82" i="1"/>
  <c r="AJ81" i="1"/>
  <c r="AC81" i="1" s="1"/>
  <c r="I82" i="1"/>
  <c r="AG82" i="1"/>
  <c r="AH82" i="1" s="1"/>
  <c r="U82" i="1"/>
  <c r="P82" i="1" s="1"/>
  <c r="V82" i="1"/>
  <c r="AJ82" i="1"/>
  <c r="AC82" i="1" s="1"/>
  <c r="D25" i="51"/>
  <c r="D61" i="51" s="1"/>
  <c r="H63" i="55"/>
  <c r="S63" i="55"/>
  <c r="T63" i="55" s="1"/>
  <c r="H52" i="55"/>
  <c r="S52" i="55"/>
  <c r="T52" i="55" s="1"/>
  <c r="AI55" i="55"/>
  <c r="AB54" i="55"/>
  <c r="AQ59" i="55"/>
  <c r="AS60" i="55" s="1"/>
  <c r="AO59" i="55"/>
  <c r="H71" i="55"/>
  <c r="S71" i="55"/>
  <c r="T71" i="55" s="1"/>
  <c r="AQ79" i="55"/>
  <c r="AS80" i="55" s="1"/>
  <c r="AO79" i="55"/>
  <c r="H41" i="55"/>
  <c r="H73" i="55"/>
  <c r="S73" i="55"/>
  <c r="T73" i="55" s="1"/>
  <c r="AZ70" i="67"/>
  <c r="AQ60" i="55"/>
  <c r="AS61" i="55" s="1"/>
  <c r="AO60" i="55"/>
  <c r="AI62" i="55"/>
  <c r="AB61" i="55"/>
  <c r="AY78" i="50"/>
  <c r="W77" i="50"/>
  <c r="X77" i="50" s="1"/>
  <c r="AE77" i="50"/>
  <c r="AF77" i="50" s="1"/>
  <c r="I78" i="50"/>
  <c r="AE72" i="50"/>
  <c r="AF72" i="50" s="1"/>
  <c r="AY73" i="50"/>
  <c r="W72" i="50"/>
  <c r="X72" i="50" s="1"/>
  <c r="I73" i="50"/>
  <c r="W43" i="50"/>
  <c r="X43" i="50" s="1"/>
  <c r="AY44" i="50"/>
  <c r="AE43" i="50"/>
  <c r="AF43" i="50" s="1"/>
  <c r="AE73" i="50"/>
  <c r="AF73" i="50" s="1"/>
  <c r="W73" i="50"/>
  <c r="X73" i="50" s="1"/>
  <c r="AY74" i="50"/>
  <c r="I74" i="50"/>
  <c r="W57" i="50"/>
  <c r="X57" i="50" s="1"/>
  <c r="AE57" i="50"/>
  <c r="AF57" i="50" s="1"/>
  <c r="AY58" i="50"/>
  <c r="I58" i="50"/>
  <c r="AE45" i="50"/>
  <c r="AF45" i="50" s="1"/>
  <c r="AY46" i="50"/>
  <c r="W45" i="50"/>
  <c r="X45" i="50" s="1"/>
  <c r="AE82" i="50"/>
  <c r="AF82" i="50" s="1"/>
  <c r="I83" i="50"/>
  <c r="AY83" i="50"/>
  <c r="W82" i="50"/>
  <c r="X82" i="50" s="1"/>
  <c r="AE38" i="50"/>
  <c r="AF38" i="50" s="1"/>
  <c r="AY39" i="50"/>
  <c r="W38" i="50"/>
  <c r="X38" i="50" s="1"/>
  <c r="AY79" i="50"/>
  <c r="I79" i="50"/>
  <c r="W78" i="50"/>
  <c r="X78" i="50" s="1"/>
  <c r="AE78" i="50"/>
  <c r="AF78" i="50" s="1"/>
  <c r="AY45" i="50"/>
  <c r="W44" i="50"/>
  <c r="X44" i="50" s="1"/>
  <c r="AE44" i="50"/>
  <c r="AF44" i="50" s="1"/>
  <c r="AY51" i="50"/>
  <c r="W50" i="50"/>
  <c r="X50" i="50" s="1"/>
  <c r="AE50" i="50"/>
  <c r="AF50" i="50" s="1"/>
  <c r="I51" i="50"/>
  <c r="AN25" i="50"/>
  <c r="AP25" i="50" s="1"/>
  <c r="AL25" i="50"/>
  <c r="AM25" i="50" s="1"/>
  <c r="B25" i="50"/>
  <c r="AN26" i="50" s="1"/>
  <c r="AP26" i="50" s="1"/>
  <c r="AU25" i="50"/>
  <c r="AV25" i="50" s="1"/>
  <c r="AW25" i="50" s="1"/>
  <c r="AX25" i="50" s="1"/>
  <c r="AY25" i="50"/>
  <c r="AE29" i="50"/>
  <c r="AF29" i="50" s="1"/>
  <c r="AY30" i="50"/>
  <c r="W29" i="50"/>
  <c r="X29" i="50" s="1"/>
  <c r="W53" i="50"/>
  <c r="X53" i="50" s="1"/>
  <c r="AE53" i="50"/>
  <c r="AF53" i="50" s="1"/>
  <c r="AY54" i="50"/>
  <c r="I54" i="50"/>
  <c r="AE56" i="50"/>
  <c r="AF56" i="50" s="1"/>
  <c r="AY57" i="50"/>
  <c r="W56" i="50"/>
  <c r="X56" i="50" s="1"/>
  <c r="I57" i="50"/>
  <c r="H86" i="55"/>
  <c r="L46" i="55"/>
  <c r="AB45" i="55"/>
  <c r="AI46" i="55"/>
  <c r="AO46" i="55"/>
  <c r="AQ46" i="55"/>
  <c r="AS47" i="55" s="1"/>
  <c r="AQ83" i="55"/>
  <c r="AS84" i="55" s="1"/>
  <c r="AO83" i="55"/>
  <c r="S83" i="55"/>
  <c r="T83" i="55" s="1"/>
  <c r="H83" i="55"/>
  <c r="AI83" i="55"/>
  <c r="AB82" i="55"/>
  <c r="AI65" i="55"/>
  <c r="AB64" i="55"/>
  <c r="AB75" i="55"/>
  <c r="AI76" i="55"/>
  <c r="S74" i="55"/>
  <c r="T74" i="55" s="1"/>
  <c r="H74" i="55"/>
  <c r="AF107" i="47"/>
  <c r="AG107" i="47" s="1"/>
  <c r="AZ108" i="47"/>
  <c r="I108" i="47"/>
  <c r="W107" i="47"/>
  <c r="X107" i="47" s="1"/>
  <c r="AF79" i="47"/>
  <c r="AG79" i="47" s="1"/>
  <c r="W79" i="47"/>
  <c r="X79" i="47" s="1"/>
  <c r="AZ80" i="47"/>
  <c r="W64" i="47"/>
  <c r="X64" i="47" s="1"/>
  <c r="AZ65" i="47"/>
  <c r="AF64" i="47"/>
  <c r="AG64" i="47" s="1"/>
  <c r="AF108" i="47"/>
  <c r="AG108" i="47" s="1"/>
  <c r="W108" i="47"/>
  <c r="X108" i="47" s="1"/>
  <c r="I109" i="47"/>
  <c r="AZ109" i="47"/>
  <c r="AZ75" i="47"/>
  <c r="AF74" i="47"/>
  <c r="AG74" i="47" s="1"/>
  <c r="W74" i="47"/>
  <c r="X74" i="47" s="1"/>
  <c r="AZ87" i="47"/>
  <c r="W86" i="47"/>
  <c r="X86" i="47" s="1"/>
  <c r="I87" i="47"/>
  <c r="AF86" i="47"/>
  <c r="AG86" i="47" s="1"/>
  <c r="AZ94" i="47"/>
  <c r="W93" i="47"/>
  <c r="X93" i="47" s="1"/>
  <c r="I94" i="47"/>
  <c r="AF93" i="47"/>
  <c r="AG93" i="47" s="1"/>
  <c r="AF77" i="47"/>
  <c r="AG77" i="47" s="1"/>
  <c r="AZ78" i="47"/>
  <c r="W77" i="47"/>
  <c r="X77" i="47" s="1"/>
  <c r="AF69" i="47"/>
  <c r="AG69" i="47" s="1"/>
  <c r="W69" i="47"/>
  <c r="X69" i="47" s="1"/>
  <c r="AZ70" i="47"/>
  <c r="AZ89" i="47"/>
  <c r="AF88" i="47"/>
  <c r="AG88" i="47" s="1"/>
  <c r="I89" i="47"/>
  <c r="W88" i="47"/>
  <c r="X88" i="47" s="1"/>
  <c r="W97" i="47"/>
  <c r="X97" i="47" s="1"/>
  <c r="AF97" i="47"/>
  <c r="AG97" i="47" s="1"/>
  <c r="I98" i="47"/>
  <c r="AZ98" i="47"/>
  <c r="AZ91" i="47"/>
  <c r="I91" i="47"/>
  <c r="AF90" i="47"/>
  <c r="AG90" i="47" s="1"/>
  <c r="W90" i="47"/>
  <c r="X90" i="47" s="1"/>
  <c r="AZ104" i="47"/>
  <c r="AF103" i="47"/>
  <c r="AG103" i="47" s="1"/>
  <c r="W103" i="47"/>
  <c r="X103" i="47" s="1"/>
  <c r="I104" i="47"/>
  <c r="W95" i="47"/>
  <c r="X95" i="47" s="1"/>
  <c r="AZ96" i="47"/>
  <c r="AF95" i="47"/>
  <c r="AG95" i="47" s="1"/>
  <c r="I96" i="47"/>
  <c r="AO57" i="55"/>
  <c r="AQ57" i="55"/>
  <c r="AS58" i="55" s="1"/>
  <c r="AB43" i="55"/>
  <c r="AI44" i="55"/>
  <c r="AI66" i="55"/>
  <c r="AB65" i="55"/>
  <c r="AO39" i="55"/>
  <c r="AQ39" i="55"/>
  <c r="AS40" i="55" s="1"/>
  <c r="AQ70" i="55"/>
  <c r="AS71" i="55" s="1"/>
  <c r="AO70" i="55"/>
  <c r="AI56" i="55"/>
  <c r="AB55" i="55"/>
  <c r="AO69" i="55"/>
  <c r="AQ69" i="55"/>
  <c r="AS70" i="55" s="1"/>
  <c r="AI68" i="55"/>
  <c r="AB67" i="55"/>
  <c r="AI47" i="55"/>
  <c r="AB46" i="55"/>
  <c r="H64" i="55"/>
  <c r="S61" i="55"/>
  <c r="T61" i="55" s="1"/>
  <c r="H61" i="55"/>
  <c r="AO58" i="55"/>
  <c r="AQ58" i="55"/>
  <c r="AS59" i="55" s="1"/>
  <c r="S58" i="55"/>
  <c r="T58" i="55" s="1"/>
  <c r="H58" i="55"/>
  <c r="AI79" i="55"/>
  <c r="AB78" i="55"/>
  <c r="W83" i="50"/>
  <c r="X83" i="50" s="1"/>
  <c r="AE83" i="50"/>
  <c r="AF83" i="50" s="1"/>
  <c r="AY84" i="50"/>
  <c r="I84" i="50"/>
  <c r="AE28" i="50"/>
  <c r="AF28" i="50" s="1"/>
  <c r="AY29" i="50"/>
  <c r="W28" i="50"/>
  <c r="X28" i="50" s="1"/>
  <c r="AY85" i="50"/>
  <c r="AE84" i="50"/>
  <c r="AF84" i="50" s="1"/>
  <c r="W85" i="50"/>
  <c r="X85" i="50" s="1"/>
  <c r="AE85" i="50"/>
  <c r="AF85" i="50" s="1"/>
  <c r="B86" i="50"/>
  <c r="W84" i="50"/>
  <c r="X84" i="50" s="1"/>
  <c r="I85" i="50"/>
  <c r="AY33" i="50"/>
  <c r="AE32" i="50"/>
  <c r="AF32" i="50" s="1"/>
  <c r="W32" i="50"/>
  <c r="X32" i="50" s="1"/>
  <c r="AY62" i="50"/>
  <c r="I62" i="50"/>
  <c r="AE61" i="50"/>
  <c r="AF61" i="50" s="1"/>
  <c r="W61" i="50"/>
  <c r="X61" i="50" s="1"/>
  <c r="AQ40" i="55"/>
  <c r="AS41" i="55" s="1"/>
  <c r="AO40" i="55"/>
  <c r="AF71" i="47"/>
  <c r="AG71" i="47" s="1"/>
  <c r="AZ72" i="47"/>
  <c r="W71" i="47"/>
  <c r="X71" i="47" s="1"/>
  <c r="AZ67" i="47"/>
  <c r="W66" i="47"/>
  <c r="X66" i="47" s="1"/>
  <c r="AF66" i="47"/>
  <c r="AG66" i="47" s="1"/>
  <c r="W76" i="47"/>
  <c r="X76" i="47" s="1"/>
  <c r="AZ77" i="47"/>
  <c r="AF76" i="47"/>
  <c r="AG76" i="47" s="1"/>
  <c r="I105" i="47"/>
  <c r="AF104" i="47"/>
  <c r="AG104" i="47" s="1"/>
  <c r="W104" i="47"/>
  <c r="X104" i="47" s="1"/>
  <c r="AZ105" i="47"/>
  <c r="Z28" i="50"/>
  <c r="AA28" i="50" s="1"/>
  <c r="J28" i="50" s="1"/>
  <c r="V81" i="1"/>
  <c r="U81" i="1"/>
  <c r="P81" i="1" s="1"/>
  <c r="AE81" i="1"/>
  <c r="AF81" i="1" s="1"/>
  <c r="AG81" i="1"/>
  <c r="AH81" i="1" s="1"/>
  <c r="AK82" i="1"/>
  <c r="AD82" i="1" s="1"/>
  <c r="D83" i="1"/>
  <c r="S83" i="1" s="1"/>
  <c r="T83" i="1" s="1"/>
  <c r="I29" i="50"/>
  <c r="T25" i="51"/>
  <c r="I25" i="51" s="1"/>
  <c r="L25" i="51" s="1"/>
  <c r="AQ63" i="55"/>
  <c r="AS64" i="55" s="1"/>
  <c r="AO63" i="55"/>
  <c r="AO55" i="55"/>
  <c r="AQ55" i="55"/>
  <c r="AS56" i="55" s="1"/>
  <c r="L40" i="55"/>
  <c r="L41" i="55"/>
  <c r="AQ41" i="55"/>
  <c r="AS42" i="55" s="1"/>
  <c r="AO41" i="55"/>
  <c r="AO67" i="55"/>
  <c r="AQ67" i="55"/>
  <c r="AS68" i="55" s="1"/>
  <c r="AI77" i="55"/>
  <c r="AB76" i="55"/>
  <c r="J68" i="67"/>
  <c r="J131" i="67" s="1"/>
  <c r="M70" i="67"/>
  <c r="M68" i="67" s="1"/>
  <c r="M131" i="67" s="1"/>
  <c r="H60" i="55"/>
  <c r="S60" i="55"/>
  <c r="T60" i="55" s="1"/>
  <c r="S62" i="55"/>
  <c r="T62" i="55" s="1"/>
  <c r="H62" i="55"/>
  <c r="AE60" i="50"/>
  <c r="AF60" i="50" s="1"/>
  <c r="I61" i="50"/>
  <c r="AY61" i="50"/>
  <c r="W60" i="50"/>
  <c r="X60" i="50" s="1"/>
  <c r="W42" i="50"/>
  <c r="X42" i="50" s="1"/>
  <c r="AY43" i="50"/>
  <c r="AE42" i="50"/>
  <c r="AF42" i="50" s="1"/>
  <c r="AY34" i="50"/>
  <c r="W33" i="50"/>
  <c r="X33" i="50" s="1"/>
  <c r="AE33" i="50"/>
  <c r="AF33" i="50" s="1"/>
  <c r="AY41" i="50"/>
  <c r="AE40" i="50"/>
  <c r="AF40" i="50" s="1"/>
  <c r="W40" i="50"/>
  <c r="X40" i="50" s="1"/>
  <c r="W62" i="50"/>
  <c r="X62" i="50" s="1"/>
  <c r="AY63" i="50"/>
  <c r="AE62" i="50"/>
  <c r="AF62" i="50" s="1"/>
  <c r="I63" i="50"/>
  <c r="AY35" i="50"/>
  <c r="AE34" i="50"/>
  <c r="AF34" i="50" s="1"/>
  <c r="W34" i="50"/>
  <c r="X34" i="50" s="1"/>
  <c r="AY27" i="50"/>
  <c r="AE26" i="50"/>
  <c r="AF26" i="50" s="1"/>
  <c r="Z26" i="50"/>
  <c r="AA26" i="50" s="1"/>
  <c r="J26" i="50" s="1"/>
  <c r="AG26" i="50"/>
  <c r="AH26" i="50" s="1"/>
  <c r="W26" i="50"/>
  <c r="X26" i="50" s="1"/>
  <c r="I27" i="50"/>
  <c r="W52" i="50"/>
  <c r="X52" i="50" s="1"/>
  <c r="AY53" i="50"/>
  <c r="AE52" i="50"/>
  <c r="AF52" i="50" s="1"/>
  <c r="I53" i="50"/>
  <c r="I55" i="50"/>
  <c r="AE54" i="50"/>
  <c r="AF54" i="50" s="1"/>
  <c r="AY55" i="50"/>
  <c r="W54" i="50"/>
  <c r="X54" i="50" s="1"/>
  <c r="AE80" i="50"/>
  <c r="AF80" i="50" s="1"/>
  <c r="I81" i="50"/>
  <c r="AY81" i="50"/>
  <c r="W80" i="50"/>
  <c r="X80" i="50" s="1"/>
  <c r="AE51" i="50"/>
  <c r="AF51" i="50" s="1"/>
  <c r="W51" i="50"/>
  <c r="X51" i="50" s="1"/>
  <c r="AY52" i="50"/>
  <c r="I52" i="50"/>
  <c r="W66" i="50"/>
  <c r="X66" i="50" s="1"/>
  <c r="AY67" i="50"/>
  <c r="AE66" i="50"/>
  <c r="AF66" i="50" s="1"/>
  <c r="I67" i="50"/>
  <c r="AE63" i="50"/>
  <c r="AF63" i="50" s="1"/>
  <c r="AY64" i="50"/>
  <c r="W63" i="50"/>
  <c r="X63" i="50" s="1"/>
  <c r="I64" i="50"/>
  <c r="AY71" i="50"/>
  <c r="W70" i="50"/>
  <c r="X70" i="50" s="1"/>
  <c r="AE70" i="50"/>
  <c r="AF70" i="50" s="1"/>
  <c r="I71" i="50"/>
  <c r="W37" i="50"/>
  <c r="X37" i="50" s="1"/>
  <c r="AY38" i="50"/>
  <c r="AE37" i="50"/>
  <c r="AF37" i="50" s="1"/>
  <c r="AB39" i="55"/>
  <c r="AI40" i="55"/>
  <c r="H40" i="55"/>
  <c r="AQ54" i="55"/>
  <c r="AS55" i="55" s="1"/>
  <c r="AO54" i="55"/>
  <c r="L82" i="55"/>
  <c r="AO65" i="55"/>
  <c r="AQ65" i="55"/>
  <c r="AS66" i="55" s="1"/>
  <c r="S76" i="55"/>
  <c r="T76" i="55" s="1"/>
  <c r="H76" i="55"/>
  <c r="AI43" i="55"/>
  <c r="AB42" i="55"/>
  <c r="T25" i="55"/>
  <c r="I25" i="55" s="1"/>
  <c r="L25" i="55" s="1"/>
  <c r="AQ25" i="55"/>
  <c r="AS26" i="55" s="1"/>
  <c r="AO25" i="55"/>
  <c r="S75" i="55"/>
  <c r="T75" i="55" s="1"/>
  <c r="H75" i="55"/>
  <c r="AI75" i="55"/>
  <c r="AB74" i="55"/>
  <c r="L75" i="55"/>
  <c r="L51" i="55"/>
  <c r="AI51" i="55"/>
  <c r="AB50" i="55"/>
  <c r="AQ74" i="55"/>
  <c r="AS75" i="55" s="1"/>
  <c r="AO74" i="55"/>
  <c r="I122" i="47"/>
  <c r="AF122" i="47"/>
  <c r="AG122" i="47" s="1"/>
  <c r="AZ122" i="47"/>
  <c r="W121" i="47"/>
  <c r="X121" i="47" s="1"/>
  <c r="W122" i="47"/>
  <c r="X122" i="47" s="1"/>
  <c r="AF121" i="47"/>
  <c r="AG121" i="47" s="1"/>
  <c r="AZ116" i="47"/>
  <c r="AF115" i="47"/>
  <c r="AG115" i="47" s="1"/>
  <c r="I116" i="47"/>
  <c r="W115" i="47"/>
  <c r="X115" i="47" s="1"/>
  <c r="AZ84" i="47"/>
  <c r="AF83" i="47"/>
  <c r="AG83" i="47" s="1"/>
  <c r="W83" i="47"/>
  <c r="X83" i="47" s="1"/>
  <c r="I92" i="47"/>
  <c r="AF91" i="47"/>
  <c r="AG91" i="47" s="1"/>
  <c r="AZ92" i="47"/>
  <c r="W91" i="47"/>
  <c r="X91" i="47" s="1"/>
  <c r="AZ62" i="47"/>
  <c r="AO62" i="47"/>
  <c r="AQ62" i="47" s="1"/>
  <c r="B62" i="47"/>
  <c r="B63" i="47" s="1"/>
  <c r="AM62" i="47"/>
  <c r="AN62" i="47" s="1"/>
  <c r="AV62" i="47"/>
  <c r="W89" i="47"/>
  <c r="X89" i="47" s="1"/>
  <c r="AZ90" i="47"/>
  <c r="AF89" i="47"/>
  <c r="AG89" i="47" s="1"/>
  <c r="I90" i="47"/>
  <c r="AF113" i="47"/>
  <c r="AG113" i="47" s="1"/>
  <c r="AZ114" i="47"/>
  <c r="I114" i="47"/>
  <c r="W113" i="47"/>
  <c r="X113" i="47" s="1"/>
  <c r="W70" i="47"/>
  <c r="X70" i="47" s="1"/>
  <c r="AZ71" i="47"/>
  <c r="AF70" i="47"/>
  <c r="AG70" i="47" s="1"/>
  <c r="AF96" i="47"/>
  <c r="AG96" i="47" s="1"/>
  <c r="W96" i="47"/>
  <c r="X96" i="47" s="1"/>
  <c r="AZ97" i="47"/>
  <c r="I97" i="47"/>
  <c r="AZ100" i="47"/>
  <c r="W99" i="47"/>
  <c r="X99" i="47" s="1"/>
  <c r="I100" i="47"/>
  <c r="AF99" i="47"/>
  <c r="AG99" i="47" s="1"/>
  <c r="AF67" i="47"/>
  <c r="AG67" i="47" s="1"/>
  <c r="W67" i="47"/>
  <c r="X67" i="47" s="1"/>
  <c r="AZ68" i="47"/>
  <c r="I95" i="47"/>
  <c r="W94" i="47"/>
  <c r="X94" i="47" s="1"/>
  <c r="AF94" i="47"/>
  <c r="AG94" i="47" s="1"/>
  <c r="AZ95" i="47"/>
  <c r="AF78" i="47"/>
  <c r="AG78" i="47" s="1"/>
  <c r="AZ79" i="47"/>
  <c r="W78" i="47"/>
  <c r="X78" i="47" s="1"/>
  <c r="W111" i="47"/>
  <c r="X111" i="47" s="1"/>
  <c r="AZ112" i="47"/>
  <c r="AF111" i="47"/>
  <c r="AG111" i="47" s="1"/>
  <c r="I112" i="47"/>
  <c r="AF118" i="47"/>
  <c r="AG118" i="47" s="1"/>
  <c r="W118" i="47"/>
  <c r="X118" i="47" s="1"/>
  <c r="AZ119" i="47"/>
  <c r="I119" i="47"/>
  <c r="L79" i="55"/>
  <c r="S80" i="55"/>
  <c r="T80" i="55" s="1"/>
  <c r="H80" i="55"/>
  <c r="S57" i="55"/>
  <c r="T57" i="55" s="1"/>
  <c r="H57" i="55"/>
  <c r="L66" i="55"/>
  <c r="L70" i="55"/>
  <c r="AB69" i="55"/>
  <c r="AI70" i="55"/>
  <c r="AO45" i="55"/>
  <c r="AQ45" i="55"/>
  <c r="AS46" i="55" s="1"/>
  <c r="AQ72" i="55"/>
  <c r="AS73" i="55" s="1"/>
  <c r="AO72" i="55"/>
  <c r="AO56" i="55"/>
  <c r="AQ56" i="55"/>
  <c r="AS57" i="55" s="1"/>
  <c r="L68" i="55"/>
  <c r="AB41" i="55"/>
  <c r="AI42" i="55"/>
  <c r="AO42" i="55"/>
  <c r="AQ42" i="55"/>
  <c r="AS43" i="55" s="1"/>
  <c r="H42" i="55"/>
  <c r="L81" i="55"/>
  <c r="AO81" i="55"/>
  <c r="AQ81" i="55"/>
  <c r="AS82" i="55" s="1"/>
  <c r="L64" i="55"/>
  <c r="AO61" i="55"/>
  <c r="AQ61" i="55"/>
  <c r="AS62" i="55" s="1"/>
  <c r="AB51" i="55"/>
  <c r="AI52" i="55"/>
  <c r="AB70" i="55"/>
  <c r="AI71" i="55"/>
  <c r="S78" i="55"/>
  <c r="T78" i="55" s="1"/>
  <c r="H78" i="55"/>
  <c r="AB59" i="55"/>
  <c r="AI60" i="55"/>
  <c r="AQ62" i="55"/>
  <c r="AS63" i="55" s="1"/>
  <c r="AO62" i="55"/>
  <c r="I82" i="50"/>
  <c r="AY82" i="50"/>
  <c r="W81" i="50"/>
  <c r="X81" i="50" s="1"/>
  <c r="AE81" i="50"/>
  <c r="AF81" i="50" s="1"/>
  <c r="W71" i="50"/>
  <c r="X71" i="50" s="1"/>
  <c r="AY72" i="50"/>
  <c r="I72" i="50"/>
  <c r="AE71" i="50"/>
  <c r="AF71" i="50" s="1"/>
  <c r="AE31" i="50"/>
  <c r="AF31" i="50" s="1"/>
  <c r="AY32" i="50"/>
  <c r="W31" i="50"/>
  <c r="X31" i="50" s="1"/>
  <c r="AY26" i="50"/>
  <c r="I26" i="50"/>
  <c r="W58" i="50"/>
  <c r="X58" i="50" s="1"/>
  <c r="AY59" i="50"/>
  <c r="AE58" i="50"/>
  <c r="AF58" i="50" s="1"/>
  <c r="I59" i="50"/>
  <c r="AO82" i="55"/>
  <c r="AQ82" i="55"/>
  <c r="AS83" i="55" s="1"/>
  <c r="AQ75" i="55"/>
  <c r="AS76" i="55" s="1"/>
  <c r="AO75" i="55"/>
  <c r="I115" i="47"/>
  <c r="W114" i="47"/>
  <c r="X114" i="47" s="1"/>
  <c r="AF114" i="47"/>
  <c r="AG114" i="47" s="1"/>
  <c r="AZ115" i="47"/>
  <c r="AZ120" i="47"/>
  <c r="W119" i="47"/>
  <c r="X119" i="47" s="1"/>
  <c r="AF119" i="47"/>
  <c r="AG119" i="47" s="1"/>
  <c r="I120" i="47"/>
  <c r="W68" i="47"/>
  <c r="X68" i="47" s="1"/>
  <c r="AZ69" i="47"/>
  <c r="AF68" i="47"/>
  <c r="AG68" i="47" s="1"/>
  <c r="AZ110" i="47"/>
  <c r="AF109" i="47"/>
  <c r="AG109" i="47" s="1"/>
  <c r="W109" i="47"/>
  <c r="X109" i="47" s="1"/>
  <c r="I110" i="47"/>
  <c r="I63" i="47"/>
  <c r="AZ63" i="47"/>
  <c r="AI57" i="55"/>
  <c r="AB56" i="55"/>
  <c r="AI84" i="55"/>
  <c r="AB83" i="55"/>
  <c r="H53" i="55"/>
  <c r="S53" i="55"/>
  <c r="T53" i="55" s="1"/>
  <c r="AO66" i="55"/>
  <c r="AQ66" i="55"/>
  <c r="AS67" i="55" s="1"/>
  <c r="D82" i="1"/>
  <c r="Z81" i="1"/>
  <c r="AA81" i="1" s="1"/>
  <c r="J81" i="1" s="1"/>
  <c r="AN82" i="1"/>
  <c r="AP82" i="1" s="1"/>
  <c r="AY82" i="1"/>
  <c r="W82" i="1"/>
  <c r="X82" i="1" s="1"/>
  <c r="B83" i="1"/>
  <c r="L63" i="55"/>
  <c r="AB62" i="55"/>
  <c r="AI63" i="55"/>
  <c r="AQ52" i="55"/>
  <c r="AS53" i="55" s="1"/>
  <c r="AO52" i="55"/>
  <c r="S55" i="55"/>
  <c r="T55" i="55" s="1"/>
  <c r="H55" i="55"/>
  <c r="AB58" i="55"/>
  <c r="AI59" i="55"/>
  <c r="AO71" i="55"/>
  <c r="AQ71" i="55"/>
  <c r="AS72" i="55" s="1"/>
  <c r="S79" i="55"/>
  <c r="T79" i="55" s="1"/>
  <c r="H79" i="55"/>
  <c r="AO50" i="55"/>
  <c r="AQ50" i="55"/>
  <c r="AS51" i="55" s="1"/>
  <c r="AI41" i="55"/>
  <c r="AB40" i="55"/>
  <c r="S67" i="55"/>
  <c r="T67" i="55" s="1"/>
  <c r="H67" i="55"/>
  <c r="AB66" i="55"/>
  <c r="AI67" i="55"/>
  <c r="H77" i="55"/>
  <c r="S77" i="55"/>
  <c r="T77" i="55" s="1"/>
  <c r="AO77" i="55"/>
  <c r="AQ77" i="55"/>
  <c r="AS78" i="55" s="1"/>
  <c r="L78" i="55"/>
  <c r="AO78" i="55"/>
  <c r="AQ78" i="55"/>
  <c r="AS79" i="55" s="1"/>
  <c r="AB77" i="55"/>
  <c r="AI78" i="55"/>
  <c r="AO73" i="55"/>
  <c r="AQ73" i="55"/>
  <c r="AS74" i="55" s="1"/>
  <c r="AI73" i="55"/>
  <c r="AB72" i="55"/>
  <c r="AQ38" i="55"/>
  <c r="AS39" i="55" s="1"/>
  <c r="AO38" i="55"/>
  <c r="AY60" i="50"/>
  <c r="AE59" i="50"/>
  <c r="AF59" i="50" s="1"/>
  <c r="W59" i="50"/>
  <c r="X59" i="50" s="1"/>
  <c r="I60" i="50"/>
  <c r="I70" i="50"/>
  <c r="AE69" i="50"/>
  <c r="AF69" i="50" s="1"/>
  <c r="W69" i="50"/>
  <c r="X69" i="50" s="1"/>
  <c r="AY70" i="50"/>
  <c r="AE75" i="50"/>
  <c r="AF75" i="50" s="1"/>
  <c r="AY76" i="50"/>
  <c r="W75" i="50"/>
  <c r="X75" i="50" s="1"/>
  <c r="I76" i="50"/>
  <c r="W67" i="50"/>
  <c r="X67" i="50" s="1"/>
  <c r="AE67" i="50"/>
  <c r="AF67" i="50" s="1"/>
  <c r="I68" i="50"/>
  <c r="AY68" i="50"/>
  <c r="AE74" i="50"/>
  <c r="AF74" i="50" s="1"/>
  <c r="AY75" i="50"/>
  <c r="I75" i="50"/>
  <c r="W74" i="50"/>
  <c r="X74" i="50" s="1"/>
  <c r="W35" i="50"/>
  <c r="X35" i="50" s="1"/>
  <c r="AE35" i="50"/>
  <c r="AF35" i="50" s="1"/>
  <c r="AY36" i="50"/>
  <c r="W39" i="50"/>
  <c r="X39" i="50" s="1"/>
  <c r="AE39" i="50"/>
  <c r="AF39" i="50" s="1"/>
  <c r="AY40" i="50"/>
  <c r="I65" i="50"/>
  <c r="AY65" i="50"/>
  <c r="W64" i="50"/>
  <c r="X64" i="50" s="1"/>
  <c r="AE64" i="50"/>
  <c r="AF64" i="50" s="1"/>
  <c r="W76" i="50"/>
  <c r="X76" i="50" s="1"/>
  <c r="I77" i="50"/>
  <c r="AY77" i="50"/>
  <c r="AE76" i="50"/>
  <c r="AF76" i="50" s="1"/>
  <c r="I80" i="50"/>
  <c r="AE79" i="50"/>
  <c r="AF79" i="50" s="1"/>
  <c r="AY80" i="50"/>
  <c r="W79" i="50"/>
  <c r="X79" i="50" s="1"/>
  <c r="W68" i="50"/>
  <c r="X68" i="50" s="1"/>
  <c r="I69" i="50"/>
  <c r="AY69" i="50"/>
  <c r="AE68" i="50"/>
  <c r="AF68" i="50" s="1"/>
  <c r="AE30" i="50"/>
  <c r="AF30" i="50" s="1"/>
  <c r="W30" i="50"/>
  <c r="X30" i="50" s="1"/>
  <c r="AY31" i="50"/>
  <c r="AE46" i="50"/>
  <c r="AF46" i="50" s="1"/>
  <c r="W46" i="50"/>
  <c r="X46" i="50" s="1"/>
  <c r="AY47" i="50"/>
  <c r="AY37" i="50"/>
  <c r="W36" i="50"/>
  <c r="X36" i="50" s="1"/>
  <c r="AE36" i="50"/>
  <c r="AF36" i="50" s="1"/>
  <c r="AE41" i="50"/>
  <c r="AF41" i="50" s="1"/>
  <c r="AY42" i="50"/>
  <c r="W41" i="50"/>
  <c r="X41" i="50" s="1"/>
  <c r="AB84" i="55"/>
  <c r="AB85" i="55"/>
  <c r="AI85" i="55"/>
  <c r="AQ85" i="55"/>
  <c r="AO85" i="55"/>
  <c r="H46" i="55"/>
  <c r="AI54" i="55"/>
  <c r="AB53" i="55"/>
  <c r="S82" i="55"/>
  <c r="T82" i="55" s="1"/>
  <c r="H82" i="55"/>
  <c r="AB81" i="55"/>
  <c r="AI82" i="55"/>
  <c r="AQ76" i="55"/>
  <c r="AS77" i="55" s="1"/>
  <c r="AO76" i="55"/>
  <c r="H43" i="55"/>
  <c r="D25" i="55"/>
  <c r="S51" i="55"/>
  <c r="T51" i="55" s="1"/>
  <c r="H51" i="55"/>
  <c r="AI74" i="55"/>
  <c r="AB73" i="55"/>
  <c r="AZ121" i="47"/>
  <c r="AF120" i="47"/>
  <c r="AG120" i="47" s="1"/>
  <c r="W120" i="47"/>
  <c r="X120" i="47" s="1"/>
  <c r="I121" i="47"/>
  <c r="W106" i="47"/>
  <c r="X106" i="47" s="1"/>
  <c r="AZ107" i="47"/>
  <c r="AF106" i="47"/>
  <c r="AG106" i="47" s="1"/>
  <c r="I107" i="47"/>
  <c r="I113" i="47"/>
  <c r="AF112" i="47"/>
  <c r="AG112" i="47" s="1"/>
  <c r="AZ113" i="47"/>
  <c r="W112" i="47"/>
  <c r="X112" i="47" s="1"/>
  <c r="AF98" i="47"/>
  <c r="AG98" i="47" s="1"/>
  <c r="W98" i="47"/>
  <c r="X98" i="47" s="1"/>
  <c r="AZ99" i="47"/>
  <c r="I99" i="47"/>
  <c r="W75" i="47"/>
  <c r="X75" i="47" s="1"/>
  <c r="AF75" i="47"/>
  <c r="AG75" i="47" s="1"/>
  <c r="AZ76" i="47"/>
  <c r="AF73" i="47"/>
  <c r="AG73" i="47" s="1"/>
  <c r="W73" i="47"/>
  <c r="X73" i="47" s="1"/>
  <c r="AZ74" i="47"/>
  <c r="I93" i="47"/>
  <c r="AF92" i="47"/>
  <c r="AG92" i="47" s="1"/>
  <c r="W92" i="47"/>
  <c r="X92" i="47" s="1"/>
  <c r="AZ93" i="47"/>
  <c r="W100" i="47"/>
  <c r="X100" i="47" s="1"/>
  <c r="AF100" i="47"/>
  <c r="AG100" i="47" s="1"/>
  <c r="AZ101" i="47"/>
  <c r="I101" i="47"/>
  <c r="W117" i="47"/>
  <c r="X117" i="47" s="1"/>
  <c r="AZ118" i="47"/>
  <c r="I118" i="47"/>
  <c r="AF117" i="47"/>
  <c r="AG117" i="47" s="1"/>
  <c r="AZ102" i="47"/>
  <c r="W101" i="47"/>
  <c r="X101" i="47" s="1"/>
  <c r="AF101" i="47"/>
  <c r="AG101" i="47" s="1"/>
  <c r="I102" i="47"/>
  <c r="AF81" i="47"/>
  <c r="AG81" i="47" s="1"/>
  <c r="AZ82" i="47"/>
  <c r="W81" i="47"/>
  <c r="X81" i="47" s="1"/>
  <c r="AZ66" i="47"/>
  <c r="AF65" i="47"/>
  <c r="AG65" i="47" s="1"/>
  <c r="W65" i="47"/>
  <c r="X65" i="47" s="1"/>
  <c r="W116" i="47"/>
  <c r="X116" i="47" s="1"/>
  <c r="AZ117" i="47"/>
  <c r="AF116" i="47"/>
  <c r="AG116" i="47" s="1"/>
  <c r="I117" i="47"/>
  <c r="AZ81" i="47"/>
  <c r="AF80" i="47"/>
  <c r="AG80" i="47" s="1"/>
  <c r="W80" i="47"/>
  <c r="X80" i="47" s="1"/>
  <c r="AF110" i="47"/>
  <c r="AG110" i="47" s="1"/>
  <c r="AZ111" i="47"/>
  <c r="W110" i="47"/>
  <c r="X110" i="47" s="1"/>
  <c r="I111" i="47"/>
  <c r="AO80" i="55"/>
  <c r="AQ80" i="55"/>
  <c r="AS81" i="55" s="1"/>
  <c r="AB79" i="55"/>
  <c r="AI80" i="55"/>
  <c r="S84" i="55"/>
  <c r="T84" i="55" s="1"/>
  <c r="H84" i="55"/>
  <c r="AO84" i="55"/>
  <c r="AQ84" i="55"/>
  <c r="AS85" i="55" s="1"/>
  <c r="AO44" i="55"/>
  <c r="AQ44" i="55"/>
  <c r="AS45" i="55" s="1"/>
  <c r="AS71" i="67"/>
  <c r="AU72" i="67" s="1"/>
  <c r="AI53" i="55"/>
  <c r="AB52" i="55"/>
  <c r="AB38" i="55"/>
  <c r="AI39" i="55"/>
  <c r="AI45" i="55"/>
  <c r="AB44" i="55"/>
  <c r="AI72" i="55"/>
  <c r="AB71" i="55"/>
  <c r="S69" i="55"/>
  <c r="T69" i="55" s="1"/>
  <c r="H69" i="55"/>
  <c r="S68" i="55"/>
  <c r="T68" i="55" s="1"/>
  <c r="H68" i="55"/>
  <c r="AI81" i="55"/>
  <c r="AB80" i="55"/>
  <c r="AQ47" i="55"/>
  <c r="AS48" i="55" s="1"/>
  <c r="AO47" i="55"/>
  <c r="I64" i="47"/>
  <c r="L64" i="47" s="1"/>
  <c r="L61" i="55"/>
  <c r="AI61" i="55"/>
  <c r="AB60" i="55"/>
  <c r="L58" i="55"/>
  <c r="AI79" i="1"/>
  <c r="AQ77" i="1"/>
  <c r="AS78" i="1" s="1"/>
  <c r="AI31" i="26"/>
  <c r="AL31" i="26" s="1"/>
  <c r="K31" i="26" s="1"/>
  <c r="AB31" i="26"/>
  <c r="AC31" i="26" s="1"/>
  <c r="J31" i="26" s="1"/>
  <c r="AD27" i="41"/>
  <c r="Z28" i="41"/>
  <c r="AA28" i="41" s="1"/>
  <c r="AI77" i="68"/>
  <c r="AJ77" i="68" s="1"/>
  <c r="M30" i="41"/>
  <c r="Y29" i="41"/>
  <c r="O29" i="41"/>
  <c r="K29" i="41"/>
  <c r="J29" i="41"/>
  <c r="S29" i="41"/>
  <c r="T29" i="41" s="1"/>
  <c r="B29" i="41"/>
  <c r="AQ84" i="48"/>
  <c r="AS85" i="48" s="1"/>
  <c r="AS114" i="59"/>
  <c r="AU115" i="59" s="1"/>
  <c r="AQ114" i="59"/>
  <c r="AA66" i="59"/>
  <c r="AB66" i="59" s="1"/>
  <c r="K66" i="59" s="1"/>
  <c r="AQ81" i="48"/>
  <c r="AS82" i="48" s="1"/>
  <c r="B26" i="1"/>
  <c r="AN27" i="1" s="1"/>
  <c r="AP27" i="1" s="1"/>
  <c r="AU26" i="1"/>
  <c r="D26" i="1" s="1"/>
  <c r="AN26" i="1"/>
  <c r="AP26" i="1" s="1"/>
  <c r="AY26" i="1"/>
  <c r="AL26" i="1"/>
  <c r="AM26" i="1" s="1"/>
  <c r="I72" i="68"/>
  <c r="S73" i="68"/>
  <c r="D82" i="68"/>
  <c r="T82" i="68" s="1"/>
  <c r="U82" i="68" s="1"/>
  <c r="D83" i="68"/>
  <c r="D77" i="68"/>
  <c r="D106" i="68"/>
  <c r="BH72" i="68"/>
  <c r="D74" i="68"/>
  <c r="D80" i="68"/>
  <c r="D76" i="68"/>
  <c r="D105" i="68"/>
  <c r="D73" i="68"/>
  <c r="D99" i="68"/>
  <c r="D81" i="68"/>
  <c r="D79" i="68"/>
  <c r="D78" i="68"/>
  <c r="D75" i="68"/>
  <c r="D100" i="68"/>
  <c r="D91" i="68"/>
  <c r="D98" i="68"/>
  <c r="D97" i="68"/>
  <c r="D92" i="68"/>
  <c r="D84" i="68"/>
  <c r="D102" i="68"/>
  <c r="D90" i="68"/>
  <c r="D85" i="68"/>
  <c r="D107" i="68"/>
  <c r="D104" i="68"/>
  <c r="D87" i="68"/>
  <c r="D86" i="68"/>
  <c r="D101" i="68"/>
  <c r="D108" i="68"/>
  <c r="D103" i="68"/>
  <c r="D88" i="68"/>
  <c r="D89" i="68"/>
  <c r="D93" i="68"/>
  <c r="AK121" i="59"/>
  <c r="AK118" i="59"/>
  <c r="AK100" i="59"/>
  <c r="Z34" i="48"/>
  <c r="AA34" i="48" s="1"/>
  <c r="J34" i="48" s="1"/>
  <c r="AY43" i="1"/>
  <c r="AE42" i="1"/>
  <c r="AF42" i="1" s="1"/>
  <c r="W42" i="1"/>
  <c r="X42" i="1" s="1"/>
  <c r="Z30" i="52"/>
  <c r="AA30" i="52" s="1"/>
  <c r="J30" i="52" s="1"/>
  <c r="H26" i="41"/>
  <c r="R31" i="41"/>
  <c r="V31" i="41" s="1"/>
  <c r="AI30" i="41"/>
  <c r="AJ30" i="41" s="1"/>
  <c r="AC30" i="41" s="1"/>
  <c r="AB29" i="41"/>
  <c r="P26" i="57"/>
  <c r="D68" i="61"/>
  <c r="C68" i="61"/>
  <c r="E68" i="61"/>
  <c r="AG29" i="51"/>
  <c r="AH29" i="51" s="1"/>
  <c r="AK109" i="59"/>
  <c r="AQ75" i="48"/>
  <c r="AS76" i="48" s="1"/>
  <c r="AQ83" i="48"/>
  <c r="AS84" i="48" s="1"/>
  <c r="M76" i="68"/>
  <c r="J27" i="41"/>
  <c r="AI66" i="59"/>
  <c r="AJ66" i="59" s="1"/>
  <c r="AI82" i="48"/>
  <c r="M39" i="3"/>
  <c r="O38" i="3"/>
  <c r="I38" i="3"/>
  <c r="AE71" i="1"/>
  <c r="AF71" i="1" s="1"/>
  <c r="AY72" i="1"/>
  <c r="W71" i="1"/>
  <c r="X71" i="1" s="1"/>
  <c r="I72" i="1"/>
  <c r="AY36" i="1"/>
  <c r="W35" i="1"/>
  <c r="X35" i="1" s="1"/>
  <c r="AE35" i="1"/>
  <c r="AF35" i="1" s="1"/>
  <c r="Y66" i="47"/>
  <c r="AH66" i="47" s="1"/>
  <c r="AI66" i="47" s="1"/>
  <c r="S66" i="47"/>
  <c r="T66" i="47" s="1"/>
  <c r="I66" i="47" s="1"/>
  <c r="M67" i="47"/>
  <c r="O66" i="47"/>
  <c r="M31" i="51"/>
  <c r="Y30" i="51"/>
  <c r="S30" i="51"/>
  <c r="T30" i="51" s="1"/>
  <c r="O30" i="51"/>
  <c r="Q26" i="57"/>
  <c r="B69" i="61"/>
  <c r="A70" i="61"/>
  <c r="Z30" i="51"/>
  <c r="AA30" i="51" s="1"/>
  <c r="J30" i="51" s="1"/>
  <c r="Z29" i="51"/>
  <c r="AA29" i="51" s="1"/>
  <c r="J29" i="51" s="1"/>
  <c r="AN29" i="41"/>
  <c r="AP29" i="41" s="1"/>
  <c r="AL29" i="41"/>
  <c r="AM29" i="41" s="1"/>
  <c r="M34" i="46"/>
  <c r="I33" i="46"/>
  <c r="O33" i="46"/>
  <c r="S33" i="57"/>
  <c r="T33" i="57" s="1"/>
  <c r="Y33" i="57"/>
  <c r="Z33" i="57" s="1"/>
  <c r="AA33" i="57" s="1"/>
  <c r="J33" i="57" s="1"/>
  <c r="O33" i="57"/>
  <c r="M34" i="57"/>
  <c r="I33" i="57"/>
  <c r="L28" i="41"/>
  <c r="AH63" i="59"/>
  <c r="AI80" i="48"/>
  <c r="M33" i="39"/>
  <c r="I32" i="39"/>
  <c r="O32" i="39"/>
  <c r="N68" i="59"/>
  <c r="Z67" i="59"/>
  <c r="T67" i="59"/>
  <c r="U67" i="59" s="1"/>
  <c r="J67" i="59" s="1"/>
  <c r="P67" i="59"/>
  <c r="M32" i="45"/>
  <c r="I31" i="45"/>
  <c r="O31" i="45"/>
  <c r="V77" i="1"/>
  <c r="AL78" i="1"/>
  <c r="AM78" i="1" s="1"/>
  <c r="I78" i="1"/>
  <c r="AY78" i="1"/>
  <c r="W77" i="1"/>
  <c r="X77" i="1" s="1"/>
  <c r="R78" i="1"/>
  <c r="F78" i="1"/>
  <c r="U77" i="1"/>
  <c r="B78" i="1"/>
  <c r="D78" i="1"/>
  <c r="AJ77" i="1"/>
  <c r="AC77" i="1" s="1"/>
  <c r="AN78" i="1"/>
  <c r="AP78" i="1" s="1"/>
  <c r="AG77" i="1"/>
  <c r="AH77" i="1" s="1"/>
  <c r="AE77" i="1"/>
  <c r="AF77" i="1" s="1"/>
  <c r="AK77" i="1"/>
  <c r="AD77" i="1" s="1"/>
  <c r="Z77" i="1"/>
  <c r="AA77" i="1" s="1"/>
  <c r="J77" i="1" s="1"/>
  <c r="AY27" i="1"/>
  <c r="I27" i="1"/>
  <c r="K27" i="41"/>
  <c r="L30" i="55"/>
  <c r="O31" i="55"/>
  <c r="Y31" i="55"/>
  <c r="Z31" i="55" s="1"/>
  <c r="AA31" i="55" s="1"/>
  <c r="J31" i="55" s="1"/>
  <c r="M32" i="55"/>
  <c r="I31" i="55"/>
  <c r="AB26" i="57"/>
  <c r="R28" i="57"/>
  <c r="AI27" i="57"/>
  <c r="AJ27" i="57" s="1"/>
  <c r="AC27" i="57" s="1"/>
  <c r="AJ26" i="57"/>
  <c r="AK26" i="57"/>
  <c r="M32" i="52"/>
  <c r="Y31" i="52"/>
  <c r="I31" i="52"/>
  <c r="O31" i="52"/>
  <c r="S32" i="26"/>
  <c r="T32" i="26" s="1"/>
  <c r="U32" i="26" s="1"/>
  <c r="I32" i="26" s="1"/>
  <c r="BF32" i="26"/>
  <c r="AA32" i="26"/>
  <c r="M33" i="26"/>
  <c r="O32" i="26"/>
  <c r="AD76" i="68"/>
  <c r="AA78" i="68"/>
  <c r="AB78" i="68" s="1"/>
  <c r="K78" i="68" s="1"/>
  <c r="M78" i="68" s="1"/>
  <c r="Z78" i="68"/>
  <c r="AG29" i="41"/>
  <c r="AH29" i="41" s="1"/>
  <c r="Z29" i="41"/>
  <c r="AA29" i="41" s="1"/>
  <c r="AJ29" i="41"/>
  <c r="AC29" i="41" s="1"/>
  <c r="AK29" i="41"/>
  <c r="AD29" i="41" s="1"/>
  <c r="G29" i="41" s="1"/>
  <c r="H29" i="41" s="1"/>
  <c r="Z32" i="57"/>
  <c r="AA32" i="57" s="1"/>
  <c r="J32" i="57" s="1"/>
  <c r="L32" i="57" s="1"/>
  <c r="M34" i="1"/>
  <c r="O33" i="1"/>
  <c r="N83" i="68"/>
  <c r="P82" i="68"/>
  <c r="J82" i="68"/>
  <c r="AK114" i="59"/>
  <c r="AS120" i="59"/>
  <c r="AU121" i="59" s="1"/>
  <c r="AE38" i="1"/>
  <c r="AF38" i="1" s="1"/>
  <c r="W38" i="1"/>
  <c r="X38" i="1" s="1"/>
  <c r="AY39" i="1"/>
  <c r="E39" i="61"/>
  <c r="L39" i="61"/>
  <c r="Z31" i="39"/>
  <c r="AA31" i="39" s="1"/>
  <c r="J31" i="39" s="1"/>
  <c r="M36" i="48"/>
  <c r="Y35" i="48"/>
  <c r="S35" i="48"/>
  <c r="T35" i="48" s="1"/>
  <c r="I35" i="48" s="1"/>
  <c r="O35" i="48"/>
  <c r="AF26" i="48"/>
  <c r="AE54" i="1"/>
  <c r="AF54" i="1" s="1"/>
  <c r="AY55" i="1"/>
  <c r="W54" i="1"/>
  <c r="X54" i="1" s="1"/>
  <c r="I55" i="1"/>
  <c r="AE60" i="1"/>
  <c r="AF60" i="1" s="1"/>
  <c r="I61" i="1"/>
  <c r="W60" i="1"/>
  <c r="X60" i="1" s="1"/>
  <c r="AY61" i="1"/>
  <c r="AG30" i="52"/>
  <c r="AH30" i="52" s="1"/>
  <c r="AC64" i="47"/>
  <c r="Z66" i="47"/>
  <c r="AA66" i="47" s="1"/>
  <c r="J66" i="47" s="1"/>
  <c r="B43" i="61"/>
  <c r="M31" i="50"/>
  <c r="O30" i="50"/>
  <c r="I30" i="50"/>
  <c r="I30" i="51"/>
  <c r="AI67" i="59"/>
  <c r="AJ67" i="59" s="1"/>
  <c r="AA67" i="59"/>
  <c r="AB67" i="59" s="1"/>
  <c r="K67" i="59" s="1"/>
  <c r="AO28" i="41"/>
  <c r="AN76" i="68" l="1"/>
  <c r="AO76" i="68" s="1"/>
  <c r="B76" i="68"/>
  <c r="AP76" i="68"/>
  <c r="AR76" i="68" s="1"/>
  <c r="AQ75" i="68"/>
  <c r="AS75" i="68"/>
  <c r="AU76" i="68" s="1"/>
  <c r="AO79" i="45"/>
  <c r="AQ92" i="60"/>
  <c r="AK30" i="41"/>
  <c r="AD30" i="41" s="1"/>
  <c r="G30" i="41" s="1"/>
  <c r="H30" i="41" s="1"/>
  <c r="B30" i="57"/>
  <c r="AL30" i="57"/>
  <c r="AM30" i="57" s="1"/>
  <c r="AN30" i="57"/>
  <c r="AP30" i="57" s="1"/>
  <c r="AD73" i="67"/>
  <c r="AI74" i="67"/>
  <c r="AJ74" i="67" s="1"/>
  <c r="AA74" i="67"/>
  <c r="AB74" i="67" s="1"/>
  <c r="K74" i="67" s="1"/>
  <c r="AQ29" i="57"/>
  <c r="AS30" i="57" s="1"/>
  <c r="AO29" i="57"/>
  <c r="T75" i="67"/>
  <c r="U75" i="67" s="1"/>
  <c r="Z75" i="67"/>
  <c r="AI75" i="67" s="1"/>
  <c r="AJ75" i="67" s="1"/>
  <c r="N76" i="67"/>
  <c r="P75" i="67"/>
  <c r="J75" i="67"/>
  <c r="M75" i="67" s="1"/>
  <c r="AS62" i="59"/>
  <c r="AU63" i="59" s="1"/>
  <c r="AQ25" i="51"/>
  <c r="AS26" i="51" s="1"/>
  <c r="AS62" i="60"/>
  <c r="AU63" i="60" s="1"/>
  <c r="AQ26" i="3"/>
  <c r="AS27" i="3" s="1"/>
  <c r="AC104" i="60"/>
  <c r="H81" i="49"/>
  <c r="L76" i="49"/>
  <c r="L62" i="54"/>
  <c r="B72" i="67"/>
  <c r="AN73" i="67" s="1"/>
  <c r="AO73" i="67" s="1"/>
  <c r="H44" i="46"/>
  <c r="H80" i="54"/>
  <c r="M93" i="60"/>
  <c r="L85" i="48"/>
  <c r="AQ71" i="67"/>
  <c r="AP72" i="67"/>
  <c r="AR72" i="67" s="1"/>
  <c r="AS72" i="67" s="1"/>
  <c r="AU73" i="67" s="1"/>
  <c r="L42" i="45"/>
  <c r="AQ103" i="59"/>
  <c r="L63" i="46"/>
  <c r="L79" i="46"/>
  <c r="AB85" i="48"/>
  <c r="H86" i="48"/>
  <c r="L32" i="48"/>
  <c r="I92" i="60"/>
  <c r="L27" i="48"/>
  <c r="L31" i="48"/>
  <c r="M109" i="60"/>
  <c r="I112" i="60"/>
  <c r="L80" i="48"/>
  <c r="L84" i="48"/>
  <c r="AB80" i="48"/>
  <c r="L26" i="48"/>
  <c r="L75" i="48"/>
  <c r="AB76" i="48"/>
  <c r="AN63" i="60"/>
  <c r="AO63" i="60" s="1"/>
  <c r="AQ63" i="60" s="1"/>
  <c r="AC107" i="60"/>
  <c r="I121" i="60"/>
  <c r="T25" i="48"/>
  <c r="I25" i="48" s="1"/>
  <c r="L25" i="48" s="1"/>
  <c r="AB41" i="46"/>
  <c r="H81" i="48"/>
  <c r="L30" i="48"/>
  <c r="L33" i="48"/>
  <c r="AB81" i="48"/>
  <c r="AO83" i="48"/>
  <c r="AO76" i="48"/>
  <c r="L82" i="48"/>
  <c r="L74" i="48"/>
  <c r="AO44" i="46"/>
  <c r="AL26" i="46"/>
  <c r="AM26" i="46" s="1"/>
  <c r="AQ26" i="46" s="1"/>
  <c r="AS27" i="46" s="1"/>
  <c r="L78" i="48"/>
  <c r="L83" i="48"/>
  <c r="L76" i="48"/>
  <c r="H80" i="48"/>
  <c r="H79" i="48"/>
  <c r="AO81" i="48"/>
  <c r="AN26" i="48"/>
  <c r="AP26" i="48" s="1"/>
  <c r="AQ26" i="48" s="1"/>
  <c r="AS27" i="48" s="1"/>
  <c r="L81" i="48"/>
  <c r="AB75" i="48"/>
  <c r="L79" i="48"/>
  <c r="AI83" i="48"/>
  <c r="AQ79" i="48"/>
  <c r="AS80" i="48" s="1"/>
  <c r="AO25" i="48"/>
  <c r="B63" i="60"/>
  <c r="AP64" i="60" s="1"/>
  <c r="AR64" i="60" s="1"/>
  <c r="I95" i="60"/>
  <c r="M90" i="60"/>
  <c r="AV25" i="48"/>
  <c r="AW25" i="48" s="1"/>
  <c r="AX25" i="48" s="1"/>
  <c r="D25" i="48" s="1"/>
  <c r="AO74" i="48"/>
  <c r="AI76" i="48"/>
  <c r="AI79" i="48"/>
  <c r="AC111" i="60"/>
  <c r="AC103" i="60"/>
  <c r="B26" i="46"/>
  <c r="AL27" i="46" s="1"/>
  <c r="AM27" i="46" s="1"/>
  <c r="L59" i="45"/>
  <c r="AQ115" i="60"/>
  <c r="L28" i="48"/>
  <c r="AO85" i="48"/>
  <c r="H84" i="48"/>
  <c r="I118" i="60"/>
  <c r="B26" i="48"/>
  <c r="AL27" i="48" s="1"/>
  <c r="AM27" i="48" s="1"/>
  <c r="AQ62" i="60"/>
  <c r="AO25" i="45"/>
  <c r="AQ113" i="60"/>
  <c r="H77" i="48"/>
  <c r="AB83" i="48"/>
  <c r="AO78" i="48"/>
  <c r="AQ85" i="48"/>
  <c r="H78" i="48"/>
  <c r="H75" i="48"/>
  <c r="L77" i="48"/>
  <c r="H82" i="48"/>
  <c r="S75" i="48"/>
  <c r="T75" i="48" s="1"/>
  <c r="AC88" i="60"/>
  <c r="AO80" i="48"/>
  <c r="AO84" i="48"/>
  <c r="AS92" i="60"/>
  <c r="AU93" i="60" s="1"/>
  <c r="AB77" i="48"/>
  <c r="AQ77" i="48"/>
  <c r="AS78" i="48" s="1"/>
  <c r="AZ61" i="60"/>
  <c r="M87" i="60"/>
  <c r="AO51" i="46"/>
  <c r="AB78" i="48"/>
  <c r="AB74" i="48"/>
  <c r="I106" i="60"/>
  <c r="H85" i="48"/>
  <c r="AB84" i="48"/>
  <c r="AC108" i="60"/>
  <c r="AO82" i="48"/>
  <c r="M117" i="60"/>
  <c r="S82" i="48"/>
  <c r="T82" i="48" s="1"/>
  <c r="H83" i="48"/>
  <c r="H76" i="48"/>
  <c r="AC109" i="60"/>
  <c r="AC118" i="60"/>
  <c r="I99" i="60"/>
  <c r="I107" i="60"/>
  <c r="AK115" i="60"/>
  <c r="AO75" i="48"/>
  <c r="L34" i="48"/>
  <c r="AQ110" i="60"/>
  <c r="AQ107" i="60"/>
  <c r="M102" i="59"/>
  <c r="M97" i="60"/>
  <c r="I116" i="60"/>
  <c r="M116" i="60"/>
  <c r="AC119" i="60"/>
  <c r="M86" i="60"/>
  <c r="I114" i="60"/>
  <c r="I90" i="60"/>
  <c r="M110" i="60"/>
  <c r="AQ112" i="60"/>
  <c r="AI83" i="46"/>
  <c r="AC121" i="60"/>
  <c r="L68" i="45"/>
  <c r="AC89" i="60"/>
  <c r="M107" i="60"/>
  <c r="M113" i="60"/>
  <c r="M96" i="60"/>
  <c r="I93" i="60"/>
  <c r="I110" i="60"/>
  <c r="M103" i="60"/>
  <c r="I87" i="60"/>
  <c r="M104" i="60"/>
  <c r="M91" i="60"/>
  <c r="M106" i="60"/>
  <c r="I117" i="60"/>
  <c r="AQ98" i="60"/>
  <c r="AC116" i="60"/>
  <c r="AK105" i="60"/>
  <c r="AQ106" i="59"/>
  <c r="M63" i="60"/>
  <c r="M112" i="60"/>
  <c r="AQ86" i="60"/>
  <c r="M115" i="60"/>
  <c r="AC93" i="60"/>
  <c r="AQ119" i="59"/>
  <c r="AK110" i="60"/>
  <c r="AC117" i="60"/>
  <c r="AC120" i="60"/>
  <c r="AQ104" i="60"/>
  <c r="AO38" i="45"/>
  <c r="M64" i="60"/>
  <c r="M111" i="60"/>
  <c r="M88" i="60"/>
  <c r="M98" i="60"/>
  <c r="AI58" i="45"/>
  <c r="L62" i="46"/>
  <c r="AC114" i="60"/>
  <c r="AC113" i="60"/>
  <c r="M121" i="60"/>
  <c r="M94" i="60"/>
  <c r="M92" i="60"/>
  <c r="AC91" i="60"/>
  <c r="AC114" i="59"/>
  <c r="AS98" i="60"/>
  <c r="AU99" i="60" s="1"/>
  <c r="AQ109" i="60"/>
  <c r="AK95" i="60"/>
  <c r="AQ116" i="60"/>
  <c r="AC115" i="59"/>
  <c r="AQ117" i="60"/>
  <c r="M63" i="59"/>
  <c r="M95" i="60"/>
  <c r="AC102" i="60"/>
  <c r="AK92" i="60"/>
  <c r="AC92" i="60"/>
  <c r="AQ90" i="60"/>
  <c r="I104" i="60"/>
  <c r="I111" i="60"/>
  <c r="M62" i="60"/>
  <c r="AB52" i="46"/>
  <c r="AS101" i="59"/>
  <c r="AU102" i="59" s="1"/>
  <c r="AQ88" i="60"/>
  <c r="AQ108" i="60"/>
  <c r="AS94" i="60"/>
  <c r="AU95" i="60" s="1"/>
  <c r="AC87" i="60"/>
  <c r="AQ105" i="60"/>
  <c r="I100" i="60"/>
  <c r="AQ103" i="60"/>
  <c r="T106" i="60"/>
  <c r="U106" i="60" s="1"/>
  <c r="AQ121" i="60"/>
  <c r="AB63" i="46"/>
  <c r="AQ106" i="60"/>
  <c r="I105" i="60"/>
  <c r="AQ101" i="60"/>
  <c r="AK116" i="59"/>
  <c r="AQ93" i="60"/>
  <c r="AQ114" i="60"/>
  <c r="AQ99" i="60"/>
  <c r="AC90" i="60"/>
  <c r="I98" i="60"/>
  <c r="I115" i="60"/>
  <c r="AO76" i="46"/>
  <c r="AB53" i="45"/>
  <c r="M106" i="59"/>
  <c r="H61" i="46"/>
  <c r="L52" i="46"/>
  <c r="M119" i="60"/>
  <c r="M99" i="60"/>
  <c r="M108" i="60"/>
  <c r="I113" i="60"/>
  <c r="I94" i="60"/>
  <c r="I109" i="60"/>
  <c r="I102" i="60"/>
  <c r="I89" i="60"/>
  <c r="I108" i="60"/>
  <c r="AQ87" i="60"/>
  <c r="AC105" i="60"/>
  <c r="L62" i="45"/>
  <c r="L78" i="46"/>
  <c r="I120" i="60"/>
  <c r="M120" i="60"/>
  <c r="L83" i="46"/>
  <c r="M89" i="60"/>
  <c r="M102" i="60"/>
  <c r="I96" i="60"/>
  <c r="M101" i="60"/>
  <c r="AB63" i="45"/>
  <c r="AO64" i="49"/>
  <c r="H54" i="46"/>
  <c r="AQ100" i="60"/>
  <c r="AC99" i="60"/>
  <c r="H39" i="46"/>
  <c r="AC86" i="60"/>
  <c r="AB74" i="46"/>
  <c r="Y122" i="60"/>
  <c r="T102" i="60"/>
  <c r="U102" i="60" s="1"/>
  <c r="AB44" i="46"/>
  <c r="AO63" i="45"/>
  <c r="AO64" i="45"/>
  <c r="AK113" i="60"/>
  <c r="AS112" i="60"/>
  <c r="AU113" i="60" s="1"/>
  <c r="I88" i="60"/>
  <c r="I103" i="60"/>
  <c r="I91" i="60"/>
  <c r="I119" i="60"/>
  <c r="AQ111" i="60"/>
  <c r="AC94" i="60"/>
  <c r="AB64" i="45"/>
  <c r="AQ119" i="60"/>
  <c r="AB76" i="46"/>
  <c r="AB62" i="45"/>
  <c r="AQ91" i="60"/>
  <c r="AC112" i="60"/>
  <c r="AC106" i="60"/>
  <c r="AI52" i="46"/>
  <c r="AK97" i="60"/>
  <c r="I101" i="60"/>
  <c r="AO39" i="46"/>
  <c r="AQ89" i="60"/>
  <c r="AB58" i="46"/>
  <c r="AB53" i="46"/>
  <c r="AQ96" i="60"/>
  <c r="AC111" i="59"/>
  <c r="AQ102" i="60"/>
  <c r="X122" i="60"/>
  <c r="AC97" i="60"/>
  <c r="AQ43" i="46"/>
  <c r="AS44" i="46" s="1"/>
  <c r="I97" i="60"/>
  <c r="AQ97" i="60"/>
  <c r="Z65" i="60"/>
  <c r="AD64" i="60" s="1"/>
  <c r="AC107" i="59"/>
  <c r="AQ120" i="60"/>
  <c r="J122" i="60"/>
  <c r="AC98" i="60"/>
  <c r="AC101" i="60"/>
  <c r="AQ95" i="60"/>
  <c r="AB61" i="45"/>
  <c r="H56" i="46"/>
  <c r="AK108" i="59"/>
  <c r="AQ118" i="60"/>
  <c r="AC100" i="60"/>
  <c r="M109" i="59"/>
  <c r="H45" i="46"/>
  <c r="I109" i="59"/>
  <c r="L55" i="46"/>
  <c r="L26" i="46"/>
  <c r="AO79" i="46"/>
  <c r="L75" i="46"/>
  <c r="H68" i="46"/>
  <c r="H53" i="46"/>
  <c r="AB54" i="46"/>
  <c r="AO57" i="45"/>
  <c r="L28" i="51"/>
  <c r="AN26" i="45"/>
  <c r="AP26" i="45" s="1"/>
  <c r="L40" i="45"/>
  <c r="AO55" i="45"/>
  <c r="L27" i="46"/>
  <c r="AB64" i="46"/>
  <c r="AI39" i="46"/>
  <c r="AL26" i="45"/>
  <c r="AM26" i="45" s="1"/>
  <c r="H57" i="46"/>
  <c r="L28" i="46"/>
  <c r="L56" i="46"/>
  <c r="L81" i="46"/>
  <c r="AO81" i="49"/>
  <c r="AO68" i="46"/>
  <c r="M65" i="59"/>
  <c r="AQ81" i="46"/>
  <c r="AS82" i="46" s="1"/>
  <c r="AO66" i="46"/>
  <c r="AO65" i="46"/>
  <c r="AB75" i="46"/>
  <c r="H72" i="46"/>
  <c r="AB55" i="46"/>
  <c r="H83" i="46"/>
  <c r="L71" i="46"/>
  <c r="L76" i="46"/>
  <c r="AB73" i="46"/>
  <c r="L85" i="46"/>
  <c r="D25" i="46"/>
  <c r="L63" i="49"/>
  <c r="M110" i="59"/>
  <c r="AB80" i="46"/>
  <c r="AI54" i="46"/>
  <c r="AI58" i="46"/>
  <c r="H43" i="46"/>
  <c r="H80" i="46"/>
  <c r="AO84" i="46"/>
  <c r="L43" i="46"/>
  <c r="M122" i="59"/>
  <c r="L61" i="46"/>
  <c r="L45" i="46"/>
  <c r="L74" i="46"/>
  <c r="S25" i="46"/>
  <c r="AO74" i="46"/>
  <c r="L65" i="45"/>
  <c r="AO50" i="46"/>
  <c r="AI42" i="46"/>
  <c r="AB81" i="46"/>
  <c r="AO62" i="45"/>
  <c r="AO52" i="46"/>
  <c r="AX25" i="46"/>
  <c r="H73" i="46"/>
  <c r="H82" i="46"/>
  <c r="AO46" i="46"/>
  <c r="H59" i="46"/>
  <c r="AO82" i="46"/>
  <c r="L74" i="45"/>
  <c r="AB40" i="46"/>
  <c r="H64" i="46"/>
  <c r="H75" i="46"/>
  <c r="H46" i="46"/>
  <c r="H70" i="46"/>
  <c r="L80" i="46"/>
  <c r="H67" i="46"/>
  <c r="AB51" i="46"/>
  <c r="AO73" i="46"/>
  <c r="AO77" i="46"/>
  <c r="L27" i="45"/>
  <c r="AO54" i="46"/>
  <c r="I118" i="59"/>
  <c r="AO40" i="46"/>
  <c r="AB81" i="45"/>
  <c r="AB70" i="46"/>
  <c r="AI77" i="46"/>
  <c r="AO59" i="46"/>
  <c r="H78" i="46"/>
  <c r="AB78" i="45"/>
  <c r="H69" i="46"/>
  <c r="L77" i="45"/>
  <c r="AO55" i="46"/>
  <c r="AB50" i="46"/>
  <c r="AO53" i="46"/>
  <c r="L64" i="46"/>
  <c r="AO58" i="46"/>
  <c r="L50" i="46"/>
  <c r="L54" i="46"/>
  <c r="H51" i="46"/>
  <c r="AO78" i="45"/>
  <c r="AO64" i="46"/>
  <c r="H65" i="46"/>
  <c r="AB79" i="46"/>
  <c r="AQ80" i="46"/>
  <c r="AS81" i="46" s="1"/>
  <c r="L76" i="45"/>
  <c r="H85" i="46"/>
  <c r="H76" i="46"/>
  <c r="AB60" i="46"/>
  <c r="L65" i="47"/>
  <c r="AO71" i="46"/>
  <c r="AO75" i="46"/>
  <c r="AB46" i="46"/>
  <c r="AO67" i="46"/>
  <c r="AO83" i="46"/>
  <c r="AC118" i="59"/>
  <c r="AC122" i="59"/>
  <c r="H85" i="49"/>
  <c r="H81" i="46"/>
  <c r="AI73" i="46"/>
  <c r="AB39" i="45"/>
  <c r="AO38" i="46"/>
  <c r="H63" i="46"/>
  <c r="AB66" i="46"/>
  <c r="L72" i="46"/>
  <c r="AC103" i="59"/>
  <c r="L30" i="46"/>
  <c r="H40" i="45"/>
  <c r="AB56" i="46"/>
  <c r="L38" i="46"/>
  <c r="L29" i="46"/>
  <c r="AO83" i="45"/>
  <c r="H54" i="45"/>
  <c r="I122" i="59"/>
  <c r="L85" i="45"/>
  <c r="I113" i="59"/>
  <c r="AO72" i="46"/>
  <c r="AB82" i="46"/>
  <c r="L82" i="46"/>
  <c r="H86" i="46"/>
  <c r="H80" i="45"/>
  <c r="L65" i="46"/>
  <c r="AO41" i="46"/>
  <c r="L69" i="46"/>
  <c r="L70" i="46"/>
  <c r="H84" i="46"/>
  <c r="AC102" i="59"/>
  <c r="L32" i="46"/>
  <c r="L40" i="46"/>
  <c r="AI65" i="45"/>
  <c r="AO80" i="49"/>
  <c r="AB72" i="46"/>
  <c r="L81" i="45"/>
  <c r="AQ61" i="46"/>
  <c r="AS62" i="46" s="1"/>
  <c r="L58" i="46"/>
  <c r="H58" i="46"/>
  <c r="AQ122" i="59"/>
  <c r="AK101" i="59"/>
  <c r="AC109" i="59"/>
  <c r="AK103" i="59"/>
  <c r="AO46" i="45"/>
  <c r="AO25" i="46"/>
  <c r="AO85" i="46"/>
  <c r="AC110" i="59"/>
  <c r="AI67" i="46"/>
  <c r="L44" i="45"/>
  <c r="M120" i="59"/>
  <c r="AO56" i="46"/>
  <c r="L42" i="46"/>
  <c r="L46" i="46"/>
  <c r="L73" i="46"/>
  <c r="H74" i="46"/>
  <c r="L59" i="46"/>
  <c r="L41" i="46"/>
  <c r="H41" i="46"/>
  <c r="H40" i="46"/>
  <c r="AV25" i="39"/>
  <c r="AW25" i="39" s="1"/>
  <c r="AX25" i="39" s="1"/>
  <c r="D25" i="39" s="1"/>
  <c r="AO47" i="46"/>
  <c r="H77" i="46"/>
  <c r="AB43" i="45"/>
  <c r="AB65" i="46"/>
  <c r="I120" i="59"/>
  <c r="I105" i="59"/>
  <c r="AB71" i="46"/>
  <c r="L44" i="46"/>
  <c r="L60" i="46"/>
  <c r="L67" i="46"/>
  <c r="H66" i="46"/>
  <c r="H42" i="46"/>
  <c r="H79" i="46"/>
  <c r="AQ69" i="46"/>
  <c r="AS70" i="46" s="1"/>
  <c r="AO69" i="46"/>
  <c r="AB77" i="39"/>
  <c r="H65" i="45"/>
  <c r="AQ110" i="59"/>
  <c r="AQ118" i="59"/>
  <c r="H52" i="46"/>
  <c r="AB62" i="46"/>
  <c r="AO78" i="46"/>
  <c r="S84" i="46"/>
  <c r="T84" i="46" s="1"/>
  <c r="H62" i="46"/>
  <c r="AB61" i="46"/>
  <c r="AB39" i="46"/>
  <c r="AP45" i="46"/>
  <c r="AO45" i="46"/>
  <c r="AK117" i="59"/>
  <c r="AS118" i="59"/>
  <c r="AU119" i="59" s="1"/>
  <c r="AC121" i="59"/>
  <c r="AO44" i="45"/>
  <c r="AB46" i="45"/>
  <c r="AI44" i="46"/>
  <c r="L28" i="49"/>
  <c r="AB45" i="46"/>
  <c r="H60" i="46"/>
  <c r="AB59" i="46"/>
  <c r="AO70" i="46"/>
  <c r="L39" i="46"/>
  <c r="Y33" i="46"/>
  <c r="AG33" i="46" s="1"/>
  <c r="AH33" i="46" s="1"/>
  <c r="AI78" i="45"/>
  <c r="AB75" i="45"/>
  <c r="AB43" i="46"/>
  <c r="AO42" i="46"/>
  <c r="H71" i="46"/>
  <c r="L31" i="46"/>
  <c r="AI60" i="46"/>
  <c r="AO63" i="46"/>
  <c r="M100" i="59"/>
  <c r="L27" i="51"/>
  <c r="I110" i="59"/>
  <c r="L84" i="46"/>
  <c r="H47" i="46"/>
  <c r="AG32" i="46"/>
  <c r="AH32" i="46" s="1"/>
  <c r="AQ111" i="59"/>
  <c r="AB42" i="46"/>
  <c r="AB77" i="46"/>
  <c r="AB83" i="45"/>
  <c r="AB78" i="46"/>
  <c r="AS110" i="59"/>
  <c r="AU111" i="59" s="1"/>
  <c r="AO77" i="45"/>
  <c r="AO69" i="49"/>
  <c r="L78" i="45"/>
  <c r="AO60" i="46"/>
  <c r="AO62" i="46"/>
  <c r="AB67" i="46"/>
  <c r="AK113" i="59"/>
  <c r="AQ112" i="59"/>
  <c r="H55" i="46"/>
  <c r="AB68" i="46"/>
  <c r="L68" i="46"/>
  <c r="Z32" i="3"/>
  <c r="AA32" i="3" s="1"/>
  <c r="J32" i="3" s="1"/>
  <c r="L32" i="3" s="1"/>
  <c r="M121" i="59"/>
  <c r="L46" i="45"/>
  <c r="M119" i="59"/>
  <c r="AC105" i="59"/>
  <c r="M118" i="59"/>
  <c r="AO53" i="45"/>
  <c r="H63" i="45"/>
  <c r="AO85" i="45"/>
  <c r="I106" i="59"/>
  <c r="I104" i="59"/>
  <c r="AQ115" i="59"/>
  <c r="AQ104" i="59"/>
  <c r="I115" i="59"/>
  <c r="I116" i="59"/>
  <c r="AK106" i="59"/>
  <c r="AO51" i="45"/>
  <c r="H78" i="45"/>
  <c r="AQ120" i="59"/>
  <c r="L29" i="51"/>
  <c r="AI38" i="45"/>
  <c r="M66" i="59"/>
  <c r="L27" i="3"/>
  <c r="L80" i="3"/>
  <c r="L63" i="45"/>
  <c r="L85" i="49"/>
  <c r="AB84" i="45"/>
  <c r="H86" i="45"/>
  <c r="M113" i="59"/>
  <c r="I119" i="59"/>
  <c r="AC101" i="59"/>
  <c r="Z66" i="60"/>
  <c r="AI66" i="60" s="1"/>
  <c r="AJ66" i="60" s="1"/>
  <c r="AI76" i="45"/>
  <c r="AB51" i="45"/>
  <c r="AB85" i="45"/>
  <c r="S54" i="45"/>
  <c r="T54" i="45" s="1"/>
  <c r="M116" i="59"/>
  <c r="I107" i="59"/>
  <c r="H64" i="45"/>
  <c r="H77" i="45"/>
  <c r="AO59" i="45"/>
  <c r="H76" i="45"/>
  <c r="I114" i="59"/>
  <c r="AB69" i="49"/>
  <c r="AB68" i="49"/>
  <c r="AB85" i="49"/>
  <c r="M105" i="59"/>
  <c r="H59" i="45"/>
  <c r="L75" i="45"/>
  <c r="AC116" i="59"/>
  <c r="AO50" i="45"/>
  <c r="AC104" i="59"/>
  <c r="AB85" i="3"/>
  <c r="AO68" i="45"/>
  <c r="AO70" i="45"/>
  <c r="AO75" i="3"/>
  <c r="AB44" i="45"/>
  <c r="L53" i="45"/>
  <c r="AQ117" i="59"/>
  <c r="AC112" i="59"/>
  <c r="AL27" i="3"/>
  <c r="AM27" i="3" s="1"/>
  <c r="AQ27" i="3" s="1"/>
  <c r="AS28" i="3" s="1"/>
  <c r="AO69" i="45"/>
  <c r="AB52" i="45"/>
  <c r="AO77" i="49"/>
  <c r="AO79" i="49"/>
  <c r="AL27" i="45"/>
  <c r="AM27" i="45" s="1"/>
  <c r="AQ27" i="45" s="1"/>
  <c r="AS28" i="45" s="1"/>
  <c r="AO67" i="49"/>
  <c r="L29" i="39"/>
  <c r="I108" i="59"/>
  <c r="L79" i="45"/>
  <c r="AK104" i="59"/>
  <c r="AQ102" i="59"/>
  <c r="AO65" i="45"/>
  <c r="AB40" i="45"/>
  <c r="L78" i="49"/>
  <c r="L64" i="49"/>
  <c r="L84" i="45"/>
  <c r="H83" i="45"/>
  <c r="H60" i="45"/>
  <c r="H39" i="45"/>
  <c r="AO40" i="45"/>
  <c r="AS103" i="59"/>
  <c r="AU104" i="59" s="1"/>
  <c r="AQ107" i="59"/>
  <c r="I111" i="59"/>
  <c r="AB75" i="39"/>
  <c r="AI79" i="45"/>
  <c r="AO25" i="49"/>
  <c r="AO66" i="49"/>
  <c r="AL26" i="39"/>
  <c r="AM26" i="39" s="1"/>
  <c r="AQ26" i="39" s="1"/>
  <c r="AS27" i="39" s="1"/>
  <c r="L84" i="49"/>
  <c r="L72" i="49"/>
  <c r="L69" i="45"/>
  <c r="L67" i="49"/>
  <c r="M111" i="59"/>
  <c r="AI86" i="1"/>
  <c r="S81" i="49"/>
  <c r="T81" i="49" s="1"/>
  <c r="L61" i="54"/>
  <c r="AB76" i="39"/>
  <c r="H46" i="45"/>
  <c r="H84" i="49"/>
  <c r="AQ108" i="59"/>
  <c r="AQ109" i="59"/>
  <c r="P84" i="1"/>
  <c r="AO47" i="45"/>
  <c r="AO71" i="49"/>
  <c r="AB67" i="49"/>
  <c r="AO85" i="49"/>
  <c r="I100" i="59"/>
  <c r="L75" i="49"/>
  <c r="L80" i="45"/>
  <c r="H67" i="49"/>
  <c r="H63" i="49"/>
  <c r="M107" i="59"/>
  <c r="M99" i="59"/>
  <c r="Y30" i="49"/>
  <c r="Z30" i="49" s="1"/>
  <c r="AA30" i="49" s="1"/>
  <c r="J30" i="49" s="1"/>
  <c r="L30" i="49" s="1"/>
  <c r="AB78" i="3"/>
  <c r="H69" i="49"/>
  <c r="L43" i="45"/>
  <c r="AB82" i="49"/>
  <c r="AB65" i="45"/>
  <c r="L79" i="3"/>
  <c r="H69" i="45"/>
  <c r="AB73" i="45"/>
  <c r="AB68" i="45"/>
  <c r="L28" i="1"/>
  <c r="I117" i="59"/>
  <c r="H81" i="45"/>
  <c r="L55" i="45"/>
  <c r="L71" i="49"/>
  <c r="L58" i="45"/>
  <c r="H85" i="45"/>
  <c r="AQ116" i="59"/>
  <c r="T114" i="59"/>
  <c r="U114" i="59" s="1"/>
  <c r="AQ113" i="59"/>
  <c r="AO75" i="45"/>
  <c r="AQ79" i="45"/>
  <c r="AS80" i="45" s="1"/>
  <c r="AQ55" i="45"/>
  <c r="AS56" i="45" s="1"/>
  <c r="AI73" i="45"/>
  <c r="AB81" i="49"/>
  <c r="L65" i="49"/>
  <c r="AB80" i="45"/>
  <c r="AQ105" i="59"/>
  <c r="T25" i="39"/>
  <c r="I25" i="39" s="1"/>
  <c r="L25" i="39" s="1"/>
  <c r="AO84" i="45"/>
  <c r="L26" i="51"/>
  <c r="L28" i="3"/>
  <c r="AO76" i="49"/>
  <c r="AC106" i="59"/>
  <c r="AQ59" i="45"/>
  <c r="AS60" i="45" s="1"/>
  <c r="L58" i="54"/>
  <c r="L27" i="49"/>
  <c r="H72" i="45"/>
  <c r="AI45" i="45"/>
  <c r="AQ83" i="45"/>
  <c r="AS84" i="45" s="1"/>
  <c r="AO66" i="45"/>
  <c r="AB45" i="45"/>
  <c r="AI83" i="49"/>
  <c r="H72" i="49"/>
  <c r="AB84" i="1"/>
  <c r="H56" i="45"/>
  <c r="AB54" i="45"/>
  <c r="L73" i="45"/>
  <c r="L66" i="49"/>
  <c r="AK107" i="59"/>
  <c r="I112" i="59"/>
  <c r="AO76" i="45"/>
  <c r="L27" i="39"/>
  <c r="AI82" i="49"/>
  <c r="L74" i="39"/>
  <c r="L30" i="3"/>
  <c r="AB84" i="3"/>
  <c r="H70" i="49"/>
  <c r="AO45" i="45"/>
  <c r="H74" i="45"/>
  <c r="AO56" i="45"/>
  <c r="H70" i="45"/>
  <c r="AO67" i="45"/>
  <c r="H55" i="45"/>
  <c r="H84" i="45"/>
  <c r="L61" i="45"/>
  <c r="H86" i="49"/>
  <c r="AQ121" i="59"/>
  <c r="AO43" i="45"/>
  <c r="AO58" i="45"/>
  <c r="H52" i="45"/>
  <c r="L74" i="3"/>
  <c r="H79" i="49"/>
  <c r="L76" i="39"/>
  <c r="AO73" i="45"/>
  <c r="AB76" i="49"/>
  <c r="L77" i="49"/>
  <c r="H42" i="45"/>
  <c r="AB74" i="39"/>
  <c r="H41" i="45"/>
  <c r="L72" i="45"/>
  <c r="H81" i="3"/>
  <c r="AO54" i="45"/>
  <c r="H73" i="45"/>
  <c r="AO80" i="45"/>
  <c r="S55" i="45"/>
  <c r="T55" i="45" s="1"/>
  <c r="AL26" i="49"/>
  <c r="AM26" i="49" s="1"/>
  <c r="AQ26" i="49" s="1"/>
  <c r="AS27" i="49" s="1"/>
  <c r="I102" i="59"/>
  <c r="L81" i="3"/>
  <c r="L41" i="45"/>
  <c r="H43" i="45"/>
  <c r="H61" i="45"/>
  <c r="H79" i="45"/>
  <c r="AB70" i="45"/>
  <c r="AO68" i="49"/>
  <c r="I121" i="59"/>
  <c r="T100" i="59"/>
  <c r="U100" i="59" s="1"/>
  <c r="AC119" i="59"/>
  <c r="AI43" i="45"/>
  <c r="AI39" i="45"/>
  <c r="AI83" i="45"/>
  <c r="AQ73" i="45"/>
  <c r="AS74" i="45" s="1"/>
  <c r="AQ56" i="45"/>
  <c r="AS57" i="45" s="1"/>
  <c r="AO72" i="45"/>
  <c r="H62" i="45"/>
  <c r="H51" i="45"/>
  <c r="AO74" i="45"/>
  <c r="S74" i="45"/>
  <c r="T74" i="45" s="1"/>
  <c r="AB41" i="45"/>
  <c r="AB83" i="3"/>
  <c r="H65" i="49"/>
  <c r="H68" i="49"/>
  <c r="L28" i="39"/>
  <c r="H80" i="3"/>
  <c r="B26" i="49"/>
  <c r="B27" i="49" s="1"/>
  <c r="B28" i="49" s="1"/>
  <c r="B29" i="49" s="1"/>
  <c r="L52" i="45"/>
  <c r="H64" i="49"/>
  <c r="I101" i="59"/>
  <c r="AC120" i="59"/>
  <c r="Q85" i="1"/>
  <c r="AB42" i="45"/>
  <c r="AB58" i="45"/>
  <c r="Q83" i="1"/>
  <c r="AB82" i="45"/>
  <c r="AO41" i="45"/>
  <c r="AO52" i="45"/>
  <c r="AO81" i="45"/>
  <c r="AB83" i="49"/>
  <c r="B26" i="39"/>
  <c r="AL27" i="39" s="1"/>
  <c r="AM27" i="39" s="1"/>
  <c r="AO63" i="49"/>
  <c r="H82" i="49"/>
  <c r="AB74" i="49"/>
  <c r="AB66" i="49"/>
  <c r="AO70" i="49"/>
  <c r="H45" i="45"/>
  <c r="H57" i="45"/>
  <c r="H47" i="45"/>
  <c r="H71" i="45"/>
  <c r="AB60" i="45"/>
  <c r="H44" i="45"/>
  <c r="H75" i="49"/>
  <c r="L68" i="49"/>
  <c r="L83" i="45"/>
  <c r="L67" i="45"/>
  <c r="H78" i="49"/>
  <c r="L83" i="49"/>
  <c r="L60" i="45"/>
  <c r="L57" i="45"/>
  <c r="B27" i="45"/>
  <c r="B28" i="45" s="1"/>
  <c r="L26" i="45"/>
  <c r="AB71" i="45"/>
  <c r="L27" i="1"/>
  <c r="AI54" i="45"/>
  <c r="AI72" i="45"/>
  <c r="AO61" i="45"/>
  <c r="AB59" i="45"/>
  <c r="AO39" i="45"/>
  <c r="AI74" i="45"/>
  <c r="AB72" i="45"/>
  <c r="AO74" i="49"/>
  <c r="AB64" i="49"/>
  <c r="AB65" i="49"/>
  <c r="Z29" i="45"/>
  <c r="AA29" i="45" s="1"/>
  <c r="J29" i="45" s="1"/>
  <c r="L29" i="45" s="1"/>
  <c r="AX62" i="59"/>
  <c r="AY62" i="59" s="1"/>
  <c r="AZ62" i="59" s="1"/>
  <c r="AN63" i="59"/>
  <c r="AO63" i="59" s="1"/>
  <c r="AQ63" i="59" s="1"/>
  <c r="B63" i="59"/>
  <c r="AN64" i="59" s="1"/>
  <c r="AO64" i="59" s="1"/>
  <c r="AI56" i="45"/>
  <c r="H53" i="45"/>
  <c r="AI60" i="45"/>
  <c r="AB79" i="45"/>
  <c r="H66" i="45"/>
  <c r="AO42" i="45"/>
  <c r="H58" i="45"/>
  <c r="H77" i="49"/>
  <c r="L28" i="45"/>
  <c r="Y30" i="45"/>
  <c r="Z30" i="45" s="1"/>
  <c r="AA30" i="45" s="1"/>
  <c r="J30" i="45" s="1"/>
  <c r="L30" i="45" s="1"/>
  <c r="H83" i="49"/>
  <c r="H73" i="49"/>
  <c r="L79" i="49"/>
  <c r="L54" i="45"/>
  <c r="H68" i="45"/>
  <c r="H67" i="45"/>
  <c r="L39" i="45"/>
  <c r="L50" i="45"/>
  <c r="AB78" i="39"/>
  <c r="AB55" i="45"/>
  <c r="AB70" i="49"/>
  <c r="AO80" i="3"/>
  <c r="H76" i="49"/>
  <c r="L75" i="3"/>
  <c r="AG29" i="49"/>
  <c r="AH29" i="49" s="1"/>
  <c r="Z29" i="49"/>
  <c r="AA29" i="49" s="1"/>
  <c r="J29" i="49" s="1"/>
  <c r="L29" i="49" s="1"/>
  <c r="AB38" i="45"/>
  <c r="AB50" i="45"/>
  <c r="AO78" i="49"/>
  <c r="AK99" i="59"/>
  <c r="L81" i="1"/>
  <c r="AQ75" i="39"/>
  <c r="AS76" i="39" s="1"/>
  <c r="AB67" i="45"/>
  <c r="AB66" i="45"/>
  <c r="AB77" i="49"/>
  <c r="AO60" i="45"/>
  <c r="AO83" i="49"/>
  <c r="AB78" i="49"/>
  <c r="AV25" i="3"/>
  <c r="AW25" i="3" s="1"/>
  <c r="AX25" i="3" s="1"/>
  <c r="D25" i="3" s="1"/>
  <c r="L26" i="49"/>
  <c r="L56" i="45"/>
  <c r="L70" i="45"/>
  <c r="L71" i="45"/>
  <c r="H86" i="3"/>
  <c r="H80" i="49"/>
  <c r="L79" i="1"/>
  <c r="L80" i="49"/>
  <c r="L73" i="49"/>
  <c r="H82" i="45"/>
  <c r="L45" i="45"/>
  <c r="M101" i="59"/>
  <c r="AI84" i="1"/>
  <c r="H75" i="45"/>
  <c r="L31" i="3"/>
  <c r="AB75" i="49"/>
  <c r="AI78" i="39"/>
  <c r="AO71" i="45"/>
  <c r="AB69" i="45"/>
  <c r="H74" i="49"/>
  <c r="AE86" i="49"/>
  <c r="AB74" i="3"/>
  <c r="L70" i="54"/>
  <c r="AQ62" i="59"/>
  <c r="AO85" i="1"/>
  <c r="H71" i="49"/>
  <c r="AO81" i="3"/>
  <c r="H76" i="3"/>
  <c r="L82" i="3"/>
  <c r="L85" i="1"/>
  <c r="AB81" i="3"/>
  <c r="L85" i="3"/>
  <c r="H83" i="3"/>
  <c r="H75" i="39"/>
  <c r="X86" i="49"/>
  <c r="I103" i="59"/>
  <c r="H77" i="39"/>
  <c r="AO82" i="49"/>
  <c r="H76" i="39"/>
  <c r="Y33" i="3"/>
  <c r="Z33" i="3" s="1"/>
  <c r="AA33" i="3" s="1"/>
  <c r="J33" i="3" s="1"/>
  <c r="L82" i="49"/>
  <c r="AB72" i="49"/>
  <c r="AF86" i="49"/>
  <c r="L70" i="49"/>
  <c r="AQ100" i="59"/>
  <c r="W86" i="49"/>
  <c r="H83" i="1"/>
  <c r="L60" i="54"/>
  <c r="L77" i="54"/>
  <c r="H66" i="49"/>
  <c r="D25" i="49"/>
  <c r="AB84" i="49"/>
  <c r="L30" i="52"/>
  <c r="AC99" i="59"/>
  <c r="S77" i="39"/>
  <c r="T77" i="39" s="1"/>
  <c r="S80" i="49"/>
  <c r="T80" i="49" s="1"/>
  <c r="AB80" i="49"/>
  <c r="L75" i="54"/>
  <c r="AB73" i="49"/>
  <c r="L29" i="3"/>
  <c r="AO75" i="49"/>
  <c r="AQ75" i="49"/>
  <c r="AS76" i="49" s="1"/>
  <c r="AQ84" i="49"/>
  <c r="AS85" i="49" s="1"/>
  <c r="AO84" i="49"/>
  <c r="AP72" i="49"/>
  <c r="AO72" i="49"/>
  <c r="AB62" i="49"/>
  <c r="AI63" i="49"/>
  <c r="AB71" i="49"/>
  <c r="AI72" i="49"/>
  <c r="AQ65" i="49"/>
  <c r="AS66" i="49" s="1"/>
  <c r="AO65" i="49"/>
  <c r="AO25" i="39"/>
  <c r="AB63" i="49"/>
  <c r="H82" i="3"/>
  <c r="L73" i="54"/>
  <c r="L84" i="54"/>
  <c r="S25" i="49"/>
  <c r="L84" i="3"/>
  <c r="AO73" i="49"/>
  <c r="AQ73" i="49"/>
  <c r="AS74" i="49" s="1"/>
  <c r="AB79" i="49"/>
  <c r="L84" i="1"/>
  <c r="L82" i="1"/>
  <c r="L44" i="54"/>
  <c r="L35" i="54"/>
  <c r="AO77" i="39"/>
  <c r="AO85" i="3"/>
  <c r="H84" i="3"/>
  <c r="L26" i="3"/>
  <c r="H85" i="3"/>
  <c r="AQ99" i="59"/>
  <c r="L75" i="39"/>
  <c r="L83" i="1"/>
  <c r="AB76" i="1"/>
  <c r="H77" i="3"/>
  <c r="AS99" i="59"/>
  <c r="AU100" i="59" s="1"/>
  <c r="L77" i="3"/>
  <c r="AO76" i="39"/>
  <c r="AO74" i="39"/>
  <c r="AO84" i="39"/>
  <c r="AO84" i="1"/>
  <c r="AO84" i="3"/>
  <c r="L83" i="3"/>
  <c r="H75" i="3"/>
  <c r="AQ74" i="3"/>
  <c r="AS75" i="3" s="1"/>
  <c r="AO74" i="3"/>
  <c r="L31" i="1"/>
  <c r="AB84" i="39"/>
  <c r="AO78" i="3"/>
  <c r="AB83" i="1"/>
  <c r="L47" i="54"/>
  <c r="L68" i="54"/>
  <c r="L76" i="54"/>
  <c r="AI83" i="1"/>
  <c r="Q78" i="1"/>
  <c r="H82" i="1"/>
  <c r="AI85" i="39"/>
  <c r="AQ78" i="3"/>
  <c r="AS79" i="3" s="1"/>
  <c r="L86" i="1"/>
  <c r="L79" i="54"/>
  <c r="L38" i="54"/>
  <c r="L51" i="54"/>
  <c r="L45" i="54"/>
  <c r="L65" i="54"/>
  <c r="AB76" i="3"/>
  <c r="AI77" i="3"/>
  <c r="H79" i="3"/>
  <c r="S79" i="3"/>
  <c r="T79" i="3" s="1"/>
  <c r="AI79" i="3"/>
  <c r="AB79" i="3"/>
  <c r="L76" i="3"/>
  <c r="AO83" i="3"/>
  <c r="AQ83" i="3"/>
  <c r="AS84" i="3" s="1"/>
  <c r="AB82" i="1"/>
  <c r="AO79" i="1"/>
  <c r="AO79" i="3"/>
  <c r="AQ77" i="3"/>
  <c r="AS78" i="3" s="1"/>
  <c r="AO77" i="3"/>
  <c r="AO25" i="3"/>
  <c r="AQ25" i="3"/>
  <c r="AS26" i="3" s="1"/>
  <c r="AI82" i="3"/>
  <c r="AB82" i="3"/>
  <c r="L78" i="3"/>
  <c r="AB75" i="3"/>
  <c r="AI76" i="3"/>
  <c r="AO76" i="3"/>
  <c r="AQ76" i="3"/>
  <c r="AS77" i="3" s="1"/>
  <c r="B27" i="3"/>
  <c r="B28" i="3" s="1"/>
  <c r="P75" i="1"/>
  <c r="AO82" i="3"/>
  <c r="AB80" i="3"/>
  <c r="AB77" i="3"/>
  <c r="H78" i="3"/>
  <c r="L66" i="54"/>
  <c r="L85" i="54"/>
  <c r="L55" i="54"/>
  <c r="AN27" i="51"/>
  <c r="AP27" i="51" s="1"/>
  <c r="AQ27" i="51" s="1"/>
  <c r="AS28" i="51" s="1"/>
  <c r="L39" i="54"/>
  <c r="L52" i="54"/>
  <c r="L78" i="54"/>
  <c r="AO85" i="39"/>
  <c r="AO26" i="3"/>
  <c r="L81" i="54"/>
  <c r="L56" i="54"/>
  <c r="L67" i="54"/>
  <c r="S41" i="54"/>
  <c r="T41" i="54" s="1"/>
  <c r="H41" i="54"/>
  <c r="AP44" i="54"/>
  <c r="AR44" i="54"/>
  <c r="AT45" i="54" s="1"/>
  <c r="AB43" i="54"/>
  <c r="AJ44" i="54"/>
  <c r="AR50" i="54"/>
  <c r="AT51" i="54" s="1"/>
  <c r="AP50" i="54"/>
  <c r="AP75" i="54"/>
  <c r="AR75" i="54"/>
  <c r="AT76" i="54" s="1"/>
  <c r="S61" i="54"/>
  <c r="T61" i="54" s="1"/>
  <c r="H61" i="54"/>
  <c r="S52" i="54"/>
  <c r="T52" i="54" s="1"/>
  <c r="H52" i="54"/>
  <c r="AR84" i="54"/>
  <c r="AT85" i="54" s="1"/>
  <c r="AP84" i="54"/>
  <c r="H70" i="54"/>
  <c r="S70" i="54"/>
  <c r="T70" i="54" s="1"/>
  <c r="AJ35" i="54"/>
  <c r="AB34" i="54"/>
  <c r="AP36" i="54"/>
  <c r="AR36" i="54"/>
  <c r="AT37" i="54" s="1"/>
  <c r="AJ36" i="54"/>
  <c r="AB35" i="54"/>
  <c r="H83" i="54"/>
  <c r="S83" i="54"/>
  <c r="T83" i="54" s="1"/>
  <c r="H43" i="54"/>
  <c r="S43" i="54"/>
  <c r="T43" i="54" s="1"/>
  <c r="H33" i="54"/>
  <c r="S33" i="54"/>
  <c r="T33" i="54" s="1"/>
  <c r="AP79" i="54"/>
  <c r="AR79" i="54"/>
  <c r="AT80" i="54" s="1"/>
  <c r="AP48" i="54"/>
  <c r="AR48" i="54"/>
  <c r="AT49" i="54" s="1"/>
  <c r="AB58" i="54"/>
  <c r="AJ59" i="54"/>
  <c r="S81" i="54"/>
  <c r="T81" i="54" s="1"/>
  <c r="H81" i="54"/>
  <c r="AP64" i="54"/>
  <c r="AR64" i="54"/>
  <c r="AT65" i="54" s="1"/>
  <c r="S77" i="54"/>
  <c r="T77" i="54" s="1"/>
  <c r="H77" i="54"/>
  <c r="AR77" i="54"/>
  <c r="AT78" i="54" s="1"/>
  <c r="AP77" i="54"/>
  <c r="AJ49" i="54"/>
  <c r="AB48" i="54"/>
  <c r="AR49" i="54"/>
  <c r="AT50" i="54" s="1"/>
  <c r="AP49" i="54"/>
  <c r="S46" i="54"/>
  <c r="T46" i="54" s="1"/>
  <c r="H46" i="54"/>
  <c r="AJ46" i="54"/>
  <c r="AB45" i="54"/>
  <c r="AP72" i="54"/>
  <c r="AR72" i="54"/>
  <c r="AT73" i="54" s="1"/>
  <c r="AJ45" i="54"/>
  <c r="AB44" i="54"/>
  <c r="AP78" i="54"/>
  <c r="AR78" i="54"/>
  <c r="AT79" i="54" s="1"/>
  <c r="S60" i="54"/>
  <c r="T60" i="54" s="1"/>
  <c r="H60" i="54"/>
  <c r="AR60" i="54"/>
  <c r="AT61" i="54" s="1"/>
  <c r="AP60" i="54"/>
  <c r="L69" i="54"/>
  <c r="AJ69" i="54"/>
  <c r="AB68" i="54"/>
  <c r="H68" i="54"/>
  <c r="S68" i="54"/>
  <c r="T68" i="54" s="1"/>
  <c r="AP25" i="54"/>
  <c r="AR25" i="54"/>
  <c r="AT26" i="54" s="1"/>
  <c r="AB82" i="54"/>
  <c r="AJ82" i="54"/>
  <c r="AB81" i="54"/>
  <c r="H56" i="54"/>
  <c r="S56" i="54"/>
  <c r="T56" i="54" s="1"/>
  <c r="AB55" i="54"/>
  <c r="AJ56" i="54"/>
  <c r="H54" i="54"/>
  <c r="S54" i="54"/>
  <c r="T54" i="54" s="1"/>
  <c r="L37" i="54"/>
  <c r="S53" i="54"/>
  <c r="T53" i="54" s="1"/>
  <c r="H53" i="54"/>
  <c r="AP53" i="54"/>
  <c r="AR53" i="54"/>
  <c r="AT54" i="54" s="1"/>
  <c r="AR55" i="54"/>
  <c r="AT56" i="54" s="1"/>
  <c r="AP55" i="54"/>
  <c r="AJ80" i="54"/>
  <c r="AB79" i="54"/>
  <c r="AB83" i="39"/>
  <c r="AL26" i="51"/>
  <c r="AM26" i="51" s="1"/>
  <c r="AJ41" i="54"/>
  <c r="AB40" i="54"/>
  <c r="L43" i="54"/>
  <c r="L50" i="54"/>
  <c r="AJ50" i="54"/>
  <c r="AB49" i="54"/>
  <c r="H39" i="54"/>
  <c r="S39" i="54"/>
  <c r="T39" i="54" s="1"/>
  <c r="AJ39" i="54"/>
  <c r="AB38" i="54"/>
  <c r="AR73" i="54"/>
  <c r="AT74" i="54" s="1"/>
  <c r="AP73" i="54"/>
  <c r="H75" i="54"/>
  <c r="S75" i="54"/>
  <c r="T75" i="54" s="1"/>
  <c r="AP61" i="54"/>
  <c r="AR61" i="54"/>
  <c r="AT62" i="54" s="1"/>
  <c r="AJ52" i="54"/>
  <c r="AB51" i="54"/>
  <c r="AR52" i="54"/>
  <c r="AT53" i="54" s="1"/>
  <c r="AP52" i="54"/>
  <c r="AJ84" i="54"/>
  <c r="AB83" i="54"/>
  <c r="AJ70" i="54"/>
  <c r="AB69" i="54"/>
  <c r="AP35" i="54"/>
  <c r="AR35" i="54"/>
  <c r="AT36" i="54" s="1"/>
  <c r="L34" i="54"/>
  <c r="S36" i="54"/>
  <c r="T36" i="54" s="1"/>
  <c r="H36" i="54"/>
  <c r="H66" i="54"/>
  <c r="S66" i="54"/>
  <c r="T66" i="54" s="1"/>
  <c r="AB65" i="54"/>
  <c r="AJ66" i="54"/>
  <c r="AJ43" i="54"/>
  <c r="AB42" i="54"/>
  <c r="AR33" i="54"/>
  <c r="AT34" i="54" s="1"/>
  <c r="AP33" i="54"/>
  <c r="L33" i="54"/>
  <c r="AJ57" i="54"/>
  <c r="AB56" i="54"/>
  <c r="S79" i="54"/>
  <c r="T79" i="54" s="1"/>
  <c r="H79" i="54"/>
  <c r="S48" i="54"/>
  <c r="T48" i="54" s="1"/>
  <c r="H48" i="54"/>
  <c r="S59" i="54"/>
  <c r="T59" i="54" s="1"/>
  <c r="H59" i="54"/>
  <c r="AP81" i="54"/>
  <c r="AR81" i="54"/>
  <c r="AT82" i="54" s="1"/>
  <c r="AB63" i="54"/>
  <c r="AJ64" i="54"/>
  <c r="L32" i="54"/>
  <c r="AJ47" i="54"/>
  <c r="AB46" i="54"/>
  <c r="L46" i="54"/>
  <c r="AP74" i="54"/>
  <c r="AR74" i="54"/>
  <c r="AT75" i="54" s="1"/>
  <c r="S74" i="54"/>
  <c r="T74" i="54" s="1"/>
  <c r="H74" i="54"/>
  <c r="S71" i="54"/>
  <c r="T71" i="54" s="1"/>
  <c r="H71" i="54"/>
  <c r="AJ62" i="54"/>
  <c r="AB61" i="54"/>
  <c r="AB67" i="54"/>
  <c r="AJ68" i="54"/>
  <c r="AR63" i="54"/>
  <c r="AT64" i="54" s="1"/>
  <c r="AP63" i="54"/>
  <c r="AJ63" i="54"/>
  <c r="AB62" i="54"/>
  <c r="AR65" i="54"/>
  <c r="AT66" i="54" s="1"/>
  <c r="AP65" i="54"/>
  <c r="L64" i="54"/>
  <c r="S76" i="54"/>
  <c r="T76" i="54" s="1"/>
  <c r="H76" i="54"/>
  <c r="AY25" i="54"/>
  <c r="T25" i="54" s="1"/>
  <c r="I25" i="54" s="1"/>
  <c r="L25" i="54" s="1"/>
  <c r="S82" i="54"/>
  <c r="T82" i="54" s="1"/>
  <c r="H82" i="54"/>
  <c r="S85" i="54"/>
  <c r="T85" i="54" s="1"/>
  <c r="H85" i="54"/>
  <c r="L42" i="54"/>
  <c r="H37" i="54"/>
  <c r="S37" i="54"/>
  <c r="T37" i="54" s="1"/>
  <c r="AR58" i="54"/>
  <c r="AT59" i="54" s="1"/>
  <c r="AP58" i="54"/>
  <c r="L53" i="54"/>
  <c r="L40" i="54"/>
  <c r="H55" i="54"/>
  <c r="AJ67" i="54"/>
  <c r="AB66" i="54"/>
  <c r="AR67" i="54"/>
  <c r="AT68" i="54" s="1"/>
  <c r="AP67" i="54"/>
  <c r="AP80" i="54"/>
  <c r="AR80" i="54"/>
  <c r="AT81" i="54" s="1"/>
  <c r="L63" i="47"/>
  <c r="AR41" i="54"/>
  <c r="AT42" i="54" s="1"/>
  <c r="AP41" i="54"/>
  <c r="S44" i="54"/>
  <c r="T44" i="54" s="1"/>
  <c r="H44" i="54"/>
  <c r="S50" i="54"/>
  <c r="T50" i="54" s="1"/>
  <c r="H50" i="54"/>
  <c r="AJ75" i="54"/>
  <c r="AB74" i="54"/>
  <c r="H84" i="54"/>
  <c r="AP70" i="54"/>
  <c r="AR70" i="54"/>
  <c r="AT71" i="54" s="1"/>
  <c r="S35" i="54"/>
  <c r="T35" i="54" s="1"/>
  <c r="H35" i="54"/>
  <c r="L36" i="54"/>
  <c r="AR83" i="54"/>
  <c r="AT84" i="54" s="1"/>
  <c r="AP83" i="54"/>
  <c r="L83" i="54"/>
  <c r="S57" i="54"/>
  <c r="T57" i="54" s="1"/>
  <c r="H57" i="54"/>
  <c r="AR57" i="54"/>
  <c r="AT58" i="54" s="1"/>
  <c r="AP57" i="54"/>
  <c r="L48" i="54"/>
  <c r="AJ38" i="54"/>
  <c r="AB37" i="54"/>
  <c r="L59" i="54"/>
  <c r="AB80" i="54"/>
  <c r="AJ81" i="54"/>
  <c r="S64" i="54"/>
  <c r="T64" i="54" s="1"/>
  <c r="H64" i="54"/>
  <c r="AR51" i="54"/>
  <c r="AT52" i="54" s="1"/>
  <c r="AP51" i="54"/>
  <c r="AP32" i="54"/>
  <c r="AR32" i="54"/>
  <c r="AT33" i="54" s="1"/>
  <c r="L49" i="54"/>
  <c r="L72" i="54"/>
  <c r="L74" i="54"/>
  <c r="AR45" i="54"/>
  <c r="AT46" i="54" s="1"/>
  <c r="AP45" i="54"/>
  <c r="H45" i="54"/>
  <c r="S45" i="54"/>
  <c r="T45" i="54" s="1"/>
  <c r="H78" i="54"/>
  <c r="S78" i="54"/>
  <c r="T78" i="54" s="1"/>
  <c r="AP71" i="54"/>
  <c r="AR71" i="54"/>
  <c r="AT72" i="54" s="1"/>
  <c r="H69" i="54"/>
  <c r="S69" i="54"/>
  <c r="T69" i="54" s="1"/>
  <c r="AR62" i="54"/>
  <c r="AT63" i="54" s="1"/>
  <c r="AP62" i="54"/>
  <c r="L63" i="54"/>
  <c r="S63" i="54"/>
  <c r="T63" i="54" s="1"/>
  <c r="H63" i="54"/>
  <c r="AJ65" i="54"/>
  <c r="AB64" i="54"/>
  <c r="H65" i="54"/>
  <c r="S65" i="54"/>
  <c r="T65" i="54" s="1"/>
  <c r="AB76" i="54"/>
  <c r="AB75" i="54"/>
  <c r="AJ76" i="54"/>
  <c r="AO26" i="54"/>
  <c r="AQ26" i="54" s="1"/>
  <c r="B26" i="54"/>
  <c r="AM26" i="54"/>
  <c r="AN26" i="54" s="1"/>
  <c r="AR82" i="54"/>
  <c r="AT83" i="54" s="1"/>
  <c r="AP82" i="54"/>
  <c r="AP56" i="54"/>
  <c r="AR56" i="54"/>
  <c r="AT57" i="54" s="1"/>
  <c r="AB85" i="54"/>
  <c r="AJ85" i="54"/>
  <c r="AB84" i="54"/>
  <c r="AR85" i="54"/>
  <c r="AP85" i="54"/>
  <c r="H86" i="54"/>
  <c r="S34" i="54"/>
  <c r="T34" i="54" s="1"/>
  <c r="H34" i="54"/>
  <c r="AJ54" i="54"/>
  <c r="AB53" i="54"/>
  <c r="S42" i="54"/>
  <c r="T42" i="54" s="1"/>
  <c r="H42" i="54"/>
  <c r="AJ37" i="54"/>
  <c r="AB36" i="54"/>
  <c r="AJ53" i="54"/>
  <c r="AB52" i="54"/>
  <c r="L80" i="54"/>
  <c r="AB81" i="1"/>
  <c r="AP39" i="54"/>
  <c r="AR39" i="54"/>
  <c r="AT40" i="54" s="1"/>
  <c r="H73" i="54"/>
  <c r="AJ73" i="54"/>
  <c r="AB72" i="54"/>
  <c r="AJ61" i="54"/>
  <c r="AB60" i="54"/>
  <c r="AR66" i="54"/>
  <c r="AT67" i="54" s="1"/>
  <c r="AP66" i="54"/>
  <c r="AR43" i="54"/>
  <c r="AT44" i="54" s="1"/>
  <c r="AP43" i="54"/>
  <c r="AB33" i="54"/>
  <c r="AB32" i="54"/>
  <c r="AJ33" i="54"/>
  <c r="L57" i="54"/>
  <c r="AJ79" i="54"/>
  <c r="AB78" i="54"/>
  <c r="AJ48" i="54"/>
  <c r="AB47" i="54"/>
  <c r="AP38" i="54"/>
  <c r="AR38" i="54"/>
  <c r="AT39" i="54" s="1"/>
  <c r="S38" i="54"/>
  <c r="T38" i="54" s="1"/>
  <c r="H38" i="54"/>
  <c r="AR59" i="54"/>
  <c r="AT60" i="54" s="1"/>
  <c r="AP59" i="54"/>
  <c r="AJ51" i="54"/>
  <c r="AB50" i="54"/>
  <c r="H51" i="54"/>
  <c r="S51" i="54"/>
  <c r="T51" i="54" s="1"/>
  <c r="AJ32" i="54"/>
  <c r="S49" i="54"/>
  <c r="T49" i="54" s="1"/>
  <c r="H49" i="54"/>
  <c r="S47" i="54"/>
  <c r="T47" i="54" s="1"/>
  <c r="H47" i="54"/>
  <c r="AR47" i="54"/>
  <c r="AT48" i="54" s="1"/>
  <c r="AP47" i="54"/>
  <c r="AP46" i="54"/>
  <c r="AR46" i="54"/>
  <c r="AT47" i="54" s="1"/>
  <c r="S72" i="54"/>
  <c r="T72" i="54" s="1"/>
  <c r="H72" i="54"/>
  <c r="AJ72" i="54"/>
  <c r="AB71" i="54"/>
  <c r="AJ74" i="54"/>
  <c r="AB73" i="54"/>
  <c r="AJ78" i="54"/>
  <c r="AB77" i="54"/>
  <c r="AJ60" i="54"/>
  <c r="AB59" i="54"/>
  <c r="L71" i="54"/>
  <c r="AJ71" i="54"/>
  <c r="AB70" i="54"/>
  <c r="AP69" i="54"/>
  <c r="AR69" i="54"/>
  <c r="AT70" i="54" s="1"/>
  <c r="H62" i="54"/>
  <c r="AR68" i="54"/>
  <c r="AT69" i="54" s="1"/>
  <c r="AP68" i="54"/>
  <c r="AP76" i="54"/>
  <c r="AR76" i="54"/>
  <c r="AT77" i="54" s="1"/>
  <c r="AG26" i="54"/>
  <c r="AG86" i="54" s="1"/>
  <c r="AF86" i="54"/>
  <c r="X26" i="54"/>
  <c r="X86" i="54" s="1"/>
  <c r="W86" i="54"/>
  <c r="L26" i="54"/>
  <c r="Y27" i="54"/>
  <c r="L82" i="54"/>
  <c r="AR34" i="54"/>
  <c r="AT35" i="54" s="1"/>
  <c r="AP34" i="54"/>
  <c r="AR54" i="54"/>
  <c r="AT55" i="54" s="1"/>
  <c r="AP54" i="54"/>
  <c r="AR42" i="54"/>
  <c r="AT43" i="54" s="1"/>
  <c r="AP42" i="54"/>
  <c r="AJ42" i="54"/>
  <c r="AB41" i="54"/>
  <c r="L41" i="54"/>
  <c r="AP37" i="54"/>
  <c r="AR37" i="54"/>
  <c r="AT38" i="54" s="1"/>
  <c r="AB57" i="54"/>
  <c r="AJ58" i="54"/>
  <c r="H58" i="54"/>
  <c r="S58" i="54"/>
  <c r="T58" i="54" s="1"/>
  <c r="AP40" i="54"/>
  <c r="AR40" i="54"/>
  <c r="AT41" i="54" s="1"/>
  <c r="AJ40" i="54"/>
  <c r="AB39" i="54"/>
  <c r="H40" i="54"/>
  <c r="S40" i="54"/>
  <c r="T40" i="54" s="1"/>
  <c r="AJ55" i="54"/>
  <c r="AB54" i="54"/>
  <c r="L54" i="54"/>
  <c r="S67" i="54"/>
  <c r="T67" i="54" s="1"/>
  <c r="H67" i="54"/>
  <c r="AO86" i="1"/>
  <c r="Q86" i="1"/>
  <c r="S25" i="53"/>
  <c r="S82" i="1"/>
  <c r="T82" i="1" s="1"/>
  <c r="L83" i="39"/>
  <c r="L32" i="1"/>
  <c r="T25" i="53"/>
  <c r="I25" i="53" s="1"/>
  <c r="L25" i="53" s="1"/>
  <c r="Y33" i="1"/>
  <c r="Y34" i="1" s="1"/>
  <c r="AG34" i="1" s="1"/>
  <c r="AH34" i="1" s="1"/>
  <c r="AQ81" i="1"/>
  <c r="AS82" i="1" s="1"/>
  <c r="H84" i="1"/>
  <c r="AB85" i="1"/>
  <c r="H80" i="1"/>
  <c r="H78" i="39"/>
  <c r="L82" i="39"/>
  <c r="H86" i="1"/>
  <c r="AB82" i="39"/>
  <c r="L29" i="1"/>
  <c r="D29" i="53"/>
  <c r="S29" i="53" s="1"/>
  <c r="T29" i="53" s="1"/>
  <c r="D27" i="53"/>
  <c r="S27" i="53" s="1"/>
  <c r="T27" i="53" s="1"/>
  <c r="D28" i="53"/>
  <c r="S28" i="53" s="1"/>
  <c r="T28" i="53" s="1"/>
  <c r="R26" i="53"/>
  <c r="D30" i="53"/>
  <c r="S30" i="53" s="1"/>
  <c r="T30" i="53" s="1"/>
  <c r="D26" i="53"/>
  <c r="H25" i="53"/>
  <c r="AO27" i="53"/>
  <c r="AQ27" i="53" s="1"/>
  <c r="AM27" i="53"/>
  <c r="AN27" i="53" s="1"/>
  <c r="B27" i="53"/>
  <c r="L76" i="1"/>
  <c r="L84" i="39"/>
  <c r="AP26" i="53"/>
  <c r="L29" i="52"/>
  <c r="AB79" i="39"/>
  <c r="L77" i="39"/>
  <c r="H85" i="1"/>
  <c r="AB80" i="39"/>
  <c r="H79" i="39"/>
  <c r="L80" i="39"/>
  <c r="H79" i="1"/>
  <c r="Z27" i="53"/>
  <c r="AA27" i="53" s="1"/>
  <c r="J27" i="53" s="1"/>
  <c r="L27" i="53" s="1"/>
  <c r="Y28" i="53"/>
  <c r="AH27" i="53"/>
  <c r="AI27" i="53" s="1"/>
  <c r="AC26" i="53"/>
  <c r="P80" i="1"/>
  <c r="AI82" i="39"/>
  <c r="AO82" i="39"/>
  <c r="H86" i="39"/>
  <c r="AQ83" i="1"/>
  <c r="AS84" i="1" s="1"/>
  <c r="AO77" i="1"/>
  <c r="AB81" i="39"/>
  <c r="H83" i="39"/>
  <c r="Z32" i="39"/>
  <c r="AA32" i="39" s="1"/>
  <c r="J32" i="39" s="1"/>
  <c r="AG32" i="39"/>
  <c r="AH32" i="39" s="1"/>
  <c r="K32" i="39" s="1"/>
  <c r="AO76" i="1"/>
  <c r="AI81" i="1"/>
  <c r="AI79" i="39"/>
  <c r="AB80" i="1"/>
  <c r="H81" i="1"/>
  <c r="L26" i="52"/>
  <c r="AN26" i="51"/>
  <c r="AP26" i="51" s="1"/>
  <c r="L78" i="1"/>
  <c r="S85" i="1"/>
  <c r="T85" i="1" s="1"/>
  <c r="S79" i="1"/>
  <c r="T79" i="1" s="1"/>
  <c r="AO25" i="51"/>
  <c r="B27" i="51"/>
  <c r="AL28" i="51" s="1"/>
  <c r="AM28" i="51" s="1"/>
  <c r="AI76" i="1"/>
  <c r="AI81" i="39"/>
  <c r="H82" i="39"/>
  <c r="AB75" i="1"/>
  <c r="L81" i="39"/>
  <c r="L31" i="39"/>
  <c r="H80" i="39"/>
  <c r="AO79" i="39"/>
  <c r="AQ80" i="1"/>
  <c r="AS81" i="1" s="1"/>
  <c r="D82" i="51"/>
  <c r="S82" i="51" s="1"/>
  <c r="T82" i="51" s="1"/>
  <c r="L78" i="39"/>
  <c r="H84" i="39"/>
  <c r="L26" i="39"/>
  <c r="AO81" i="39"/>
  <c r="L79" i="39"/>
  <c r="L30" i="51"/>
  <c r="Q81" i="1"/>
  <c r="AO83" i="39"/>
  <c r="AO80" i="39"/>
  <c r="H85" i="39"/>
  <c r="H76" i="1"/>
  <c r="L80" i="1"/>
  <c r="L85" i="39"/>
  <c r="AO78" i="39"/>
  <c r="D63" i="51"/>
  <c r="S63" i="51" s="1"/>
  <c r="T63" i="51" s="1"/>
  <c r="AQ78" i="39"/>
  <c r="AS79" i="39" s="1"/>
  <c r="AL26" i="50"/>
  <c r="AM26" i="50" s="1"/>
  <c r="AQ26" i="50" s="1"/>
  <c r="AS27" i="50" s="1"/>
  <c r="H81" i="39"/>
  <c r="L30" i="39"/>
  <c r="AO75" i="1"/>
  <c r="B26" i="50"/>
  <c r="B27" i="50" s="1"/>
  <c r="AL28" i="50" s="1"/>
  <c r="AM28" i="50" s="1"/>
  <c r="D54" i="51"/>
  <c r="S54" i="51" s="1"/>
  <c r="T54" i="51" s="1"/>
  <c r="D25" i="45"/>
  <c r="L75" i="1"/>
  <c r="S25" i="45"/>
  <c r="AI75" i="1"/>
  <c r="L77" i="1"/>
  <c r="P76" i="1"/>
  <c r="D43" i="51"/>
  <c r="D72" i="51"/>
  <c r="S72" i="51" s="1"/>
  <c r="T72" i="51" s="1"/>
  <c r="D66" i="51"/>
  <c r="S66" i="51" s="1"/>
  <c r="T66" i="51" s="1"/>
  <c r="AI80" i="1"/>
  <c r="D44" i="51"/>
  <c r="D62" i="51"/>
  <c r="S62" i="51" s="1"/>
  <c r="T62" i="51" s="1"/>
  <c r="AO63" i="47"/>
  <c r="AQ63" i="47" s="1"/>
  <c r="AO26" i="55"/>
  <c r="H25" i="51"/>
  <c r="AB79" i="1"/>
  <c r="D51" i="51"/>
  <c r="S51" i="51" s="1"/>
  <c r="T51" i="51" s="1"/>
  <c r="AO64" i="47"/>
  <c r="AQ64" i="47" s="1"/>
  <c r="B64" i="47"/>
  <c r="AO65" i="47" s="1"/>
  <c r="AQ65" i="47" s="1"/>
  <c r="AM63" i="47"/>
  <c r="AN63" i="47" s="1"/>
  <c r="D25" i="52"/>
  <c r="R26" i="52" s="1"/>
  <c r="B27" i="1"/>
  <c r="AL28" i="1" s="1"/>
  <c r="AM28" i="1" s="1"/>
  <c r="B28" i="26"/>
  <c r="AQ28" i="26"/>
  <c r="AR28" i="26" s="1"/>
  <c r="AS28" i="26"/>
  <c r="AU28" i="26" s="1"/>
  <c r="AQ27" i="26"/>
  <c r="AR27" i="26" s="1"/>
  <c r="L27" i="52"/>
  <c r="D25" i="50"/>
  <c r="D59" i="50" s="1"/>
  <c r="S59" i="50" s="1"/>
  <c r="T59" i="50" s="1"/>
  <c r="AT26" i="26"/>
  <c r="AV26" i="26"/>
  <c r="AX27" i="26" s="1"/>
  <c r="AS27" i="26"/>
  <c r="AU27" i="26" s="1"/>
  <c r="AQ25" i="52"/>
  <c r="AS26" i="52" s="1"/>
  <c r="AO25" i="52"/>
  <c r="R27" i="26"/>
  <c r="L28" i="52"/>
  <c r="AL26" i="52"/>
  <c r="AM26" i="52" s="1"/>
  <c r="AN26" i="52"/>
  <c r="AP26" i="52" s="1"/>
  <c r="B26" i="52"/>
  <c r="T25" i="52"/>
  <c r="I25" i="52" s="1"/>
  <c r="L25" i="52" s="1"/>
  <c r="BH61" i="60"/>
  <c r="D76" i="60"/>
  <c r="T76" i="60" s="1"/>
  <c r="U76" i="60" s="1"/>
  <c r="D62" i="60"/>
  <c r="D66" i="60"/>
  <c r="T66" i="60" s="1"/>
  <c r="U66" i="60" s="1"/>
  <c r="D73" i="60"/>
  <c r="T73" i="60" s="1"/>
  <c r="U73" i="60" s="1"/>
  <c r="D68" i="60"/>
  <c r="T68" i="60" s="1"/>
  <c r="U68" i="60" s="1"/>
  <c r="D75" i="60"/>
  <c r="T75" i="60" s="1"/>
  <c r="U75" i="60" s="1"/>
  <c r="S62" i="60"/>
  <c r="D81" i="60"/>
  <c r="T81" i="60" s="1"/>
  <c r="U81" i="60" s="1"/>
  <c r="D72" i="60"/>
  <c r="T72" i="60" s="1"/>
  <c r="U72" i="60" s="1"/>
  <c r="D69" i="60"/>
  <c r="T69" i="60" s="1"/>
  <c r="U69" i="60" s="1"/>
  <c r="D67" i="60"/>
  <c r="T67" i="60" s="1"/>
  <c r="U67" i="60" s="1"/>
  <c r="D70" i="60"/>
  <c r="T70" i="60" s="1"/>
  <c r="U70" i="60" s="1"/>
  <c r="D78" i="60"/>
  <c r="T78" i="60" s="1"/>
  <c r="U78" i="60" s="1"/>
  <c r="D83" i="60"/>
  <c r="T83" i="60" s="1"/>
  <c r="U83" i="60" s="1"/>
  <c r="D65" i="60"/>
  <c r="T65" i="60" s="1"/>
  <c r="U65" i="60" s="1"/>
  <c r="D80" i="60"/>
  <c r="T80" i="60" s="1"/>
  <c r="U80" i="60" s="1"/>
  <c r="D64" i="60"/>
  <c r="T64" i="60" s="1"/>
  <c r="U64" i="60" s="1"/>
  <c r="D71" i="60"/>
  <c r="T71" i="60" s="1"/>
  <c r="U71" i="60" s="1"/>
  <c r="D77" i="60"/>
  <c r="T77" i="60" s="1"/>
  <c r="U77" i="60" s="1"/>
  <c r="D63" i="60"/>
  <c r="D79" i="60"/>
  <c r="T79" i="60" s="1"/>
  <c r="U79" i="60" s="1"/>
  <c r="D84" i="60"/>
  <c r="T84" i="60" s="1"/>
  <c r="U84" i="60" s="1"/>
  <c r="D82" i="60"/>
  <c r="T82" i="60" s="1"/>
  <c r="U82" i="60" s="1"/>
  <c r="I61" i="60"/>
  <c r="D74" i="60"/>
  <c r="T74" i="60" s="1"/>
  <c r="U74" i="60" s="1"/>
  <c r="AL27" i="1"/>
  <c r="AM27" i="1" s="1"/>
  <c r="AO27" i="1" s="1"/>
  <c r="Q79" i="1"/>
  <c r="Q82" i="1"/>
  <c r="H77" i="1"/>
  <c r="L26" i="50"/>
  <c r="AO82" i="1"/>
  <c r="AN27" i="55"/>
  <c r="AP27" i="55" s="1"/>
  <c r="AQ27" i="55" s="1"/>
  <c r="AS28" i="55" s="1"/>
  <c r="B27" i="55"/>
  <c r="AN28" i="55" s="1"/>
  <c r="AP28" i="55" s="1"/>
  <c r="D43" i="1"/>
  <c r="D72" i="1"/>
  <c r="S72" i="1" s="1"/>
  <c r="T72" i="1" s="1"/>
  <c r="D39" i="1"/>
  <c r="D61" i="1"/>
  <c r="S61" i="1" s="1"/>
  <c r="T61" i="1" s="1"/>
  <c r="D36" i="1"/>
  <c r="D27" i="1"/>
  <c r="D55" i="1"/>
  <c r="S55" i="1" s="1"/>
  <c r="T55" i="1" s="1"/>
  <c r="D38" i="1"/>
  <c r="D71" i="1"/>
  <c r="S71" i="1" s="1"/>
  <c r="T71" i="1" s="1"/>
  <c r="R27" i="1"/>
  <c r="AI27" i="1" s="1"/>
  <c r="T25" i="50"/>
  <c r="I25" i="50" s="1"/>
  <c r="L25" i="50" s="1"/>
  <c r="AO25" i="50"/>
  <c r="AQ25" i="50"/>
  <c r="AS26" i="50" s="1"/>
  <c r="Y29" i="50"/>
  <c r="L28" i="50"/>
  <c r="I70" i="67"/>
  <c r="BH70" i="67"/>
  <c r="S71" i="67"/>
  <c r="V71" i="67" s="1"/>
  <c r="AM64" i="47"/>
  <c r="AN64" i="47" s="1"/>
  <c r="T62" i="47"/>
  <c r="I62" i="47" s="1"/>
  <c r="L62" i="47" s="1"/>
  <c r="AW62" i="47"/>
  <c r="AX62" i="47" s="1"/>
  <c r="D56" i="51"/>
  <c r="S56" i="51" s="1"/>
  <c r="T56" i="51" s="1"/>
  <c r="D55" i="51"/>
  <c r="S55" i="51" s="1"/>
  <c r="T55" i="51" s="1"/>
  <c r="D67" i="51"/>
  <c r="S67" i="51" s="1"/>
  <c r="T67" i="51" s="1"/>
  <c r="D83" i="51"/>
  <c r="S83" i="51" s="1"/>
  <c r="T83" i="51" s="1"/>
  <c r="D81" i="51"/>
  <c r="S81" i="51" s="1"/>
  <c r="T81" i="51" s="1"/>
  <c r="D39" i="51"/>
  <c r="D36" i="51"/>
  <c r="D75" i="51"/>
  <c r="S75" i="51" s="1"/>
  <c r="T75" i="51" s="1"/>
  <c r="D32" i="51"/>
  <c r="D79" i="51"/>
  <c r="S79" i="51" s="1"/>
  <c r="T79" i="51" s="1"/>
  <c r="D41" i="51"/>
  <c r="D68" i="51"/>
  <c r="S68" i="51" s="1"/>
  <c r="T68" i="51" s="1"/>
  <c r="D28" i="51"/>
  <c r="D69" i="51"/>
  <c r="S69" i="51" s="1"/>
  <c r="T69" i="51" s="1"/>
  <c r="D45" i="51"/>
  <c r="D53" i="51"/>
  <c r="S53" i="51" s="1"/>
  <c r="T53" i="51" s="1"/>
  <c r="D35" i="51"/>
  <c r="D76" i="51"/>
  <c r="S76" i="51" s="1"/>
  <c r="T76" i="51" s="1"/>
  <c r="D29" i="51"/>
  <c r="D40" i="51"/>
  <c r="D73" i="51"/>
  <c r="S73" i="51" s="1"/>
  <c r="T73" i="51" s="1"/>
  <c r="D74" i="51"/>
  <c r="S74" i="51" s="1"/>
  <c r="T74" i="51" s="1"/>
  <c r="D42" i="51"/>
  <c r="D37" i="51"/>
  <c r="D84" i="51"/>
  <c r="S84" i="51" s="1"/>
  <c r="T84" i="51" s="1"/>
  <c r="D38" i="51"/>
  <c r="D26" i="51"/>
  <c r="D46" i="51"/>
  <c r="D71" i="51"/>
  <c r="S71" i="51" s="1"/>
  <c r="T71" i="51" s="1"/>
  <c r="D70" i="51"/>
  <c r="S70" i="51" s="1"/>
  <c r="T70" i="51" s="1"/>
  <c r="D34" i="51"/>
  <c r="D60" i="51"/>
  <c r="S60" i="51" s="1"/>
  <c r="T60" i="51" s="1"/>
  <c r="D27" i="51"/>
  <c r="D33" i="51"/>
  <c r="D30" i="51"/>
  <c r="D31" i="51"/>
  <c r="S31" i="51" s="1"/>
  <c r="T31" i="51" s="1"/>
  <c r="D64" i="51"/>
  <c r="D58" i="51"/>
  <c r="S58" i="51" s="1"/>
  <c r="T58" i="51" s="1"/>
  <c r="D77" i="51"/>
  <c r="S77" i="51" s="1"/>
  <c r="T77" i="51" s="1"/>
  <c r="D78" i="51"/>
  <c r="S78" i="51" s="1"/>
  <c r="T78" i="51" s="1"/>
  <c r="D80" i="51"/>
  <c r="S80" i="51" s="1"/>
  <c r="T80" i="51" s="1"/>
  <c r="D59" i="51"/>
  <c r="S59" i="51" s="1"/>
  <c r="T59" i="51" s="1"/>
  <c r="R26" i="51"/>
  <c r="D50" i="51"/>
  <c r="S50" i="51" s="1"/>
  <c r="T50" i="51" s="1"/>
  <c r="D65" i="51"/>
  <c r="S65" i="51" s="1"/>
  <c r="T65" i="51" s="1"/>
  <c r="D52" i="51"/>
  <c r="S52" i="51" s="1"/>
  <c r="T52" i="51" s="1"/>
  <c r="D57" i="51"/>
  <c r="S57" i="51" s="1"/>
  <c r="T57" i="51" s="1"/>
  <c r="L27" i="50"/>
  <c r="D28" i="55"/>
  <c r="R26" i="55"/>
  <c r="D26" i="55"/>
  <c r="D31" i="55"/>
  <c r="S31" i="55" s="1"/>
  <c r="T31" i="55" s="1"/>
  <c r="D27" i="55"/>
  <c r="D35" i="55"/>
  <c r="H25" i="55"/>
  <c r="D32" i="55"/>
  <c r="S32" i="55" s="1"/>
  <c r="T32" i="55" s="1"/>
  <c r="D34" i="55"/>
  <c r="D33" i="55"/>
  <c r="D30" i="55"/>
  <c r="D29" i="55"/>
  <c r="D36" i="55"/>
  <c r="AR62" i="47"/>
  <c r="AT63" i="47" s="1"/>
  <c r="AP62" i="47"/>
  <c r="S25" i="50"/>
  <c r="L66" i="47"/>
  <c r="M32" i="50"/>
  <c r="O31" i="50"/>
  <c r="I31" i="50"/>
  <c r="AD77" i="68"/>
  <c r="AA79" i="68"/>
  <c r="AB79" i="68" s="1"/>
  <c r="K79" i="68" s="1"/>
  <c r="M79" i="68" s="1"/>
  <c r="Z79" i="68"/>
  <c r="AI79" i="68" s="1"/>
  <c r="AJ79" i="68" s="1"/>
  <c r="AK27" i="57"/>
  <c r="AD27" i="57" s="1"/>
  <c r="AC26" i="57"/>
  <c r="AI28" i="57"/>
  <c r="R29" i="57"/>
  <c r="U29" i="57" s="1"/>
  <c r="P29" i="57" s="1"/>
  <c r="AB27" i="57"/>
  <c r="V29" i="57"/>
  <c r="Q29" i="57" s="1"/>
  <c r="F29" i="57" s="1"/>
  <c r="H29" i="57" s="1"/>
  <c r="L31" i="55"/>
  <c r="S78" i="1"/>
  <c r="T78" i="1" s="1"/>
  <c r="H78" i="1"/>
  <c r="AI78" i="1"/>
  <c r="AB77" i="1"/>
  <c r="AO78" i="1"/>
  <c r="AQ78" i="1"/>
  <c r="AS79" i="1" s="1"/>
  <c r="AD66" i="59"/>
  <c r="F26" i="57"/>
  <c r="T103" i="68"/>
  <c r="U103" i="68" s="1"/>
  <c r="T79" i="68"/>
  <c r="U79" i="68" s="1"/>
  <c r="T105" i="68"/>
  <c r="U105" i="68" s="1"/>
  <c r="H26" i="1"/>
  <c r="BG26" i="1"/>
  <c r="D42" i="1"/>
  <c r="D47" i="1"/>
  <c r="D31" i="1"/>
  <c r="D32" i="1"/>
  <c r="D59" i="1"/>
  <c r="D51" i="1"/>
  <c r="D66" i="1"/>
  <c r="D67" i="1"/>
  <c r="D54" i="1"/>
  <c r="D53" i="1"/>
  <c r="D33" i="1"/>
  <c r="D35" i="1"/>
  <c r="D64" i="1"/>
  <c r="D63" i="1"/>
  <c r="D52" i="1"/>
  <c r="D70" i="1"/>
  <c r="D62" i="1"/>
  <c r="D40" i="1"/>
  <c r="D60" i="1"/>
  <c r="D37" i="1"/>
  <c r="D65" i="1"/>
  <c r="D58" i="1"/>
  <c r="D73" i="1"/>
  <c r="D44" i="1"/>
  <c r="D28" i="1"/>
  <c r="D57" i="1"/>
  <c r="D68" i="1"/>
  <c r="D41" i="1"/>
  <c r="D30" i="1"/>
  <c r="D46" i="1"/>
  <c r="D45" i="1"/>
  <c r="D34" i="1"/>
  <c r="S34" i="1" s="1"/>
  <c r="T34" i="1" s="1"/>
  <c r="D69" i="1"/>
  <c r="D29" i="1"/>
  <c r="D56" i="1"/>
  <c r="AI32" i="26"/>
  <c r="AL32" i="26" s="1"/>
  <c r="K32" i="26" s="1"/>
  <c r="AG36" i="48"/>
  <c r="AH36" i="48" s="1"/>
  <c r="AG35" i="48"/>
  <c r="AH35" i="48" s="1"/>
  <c r="Z35" i="48"/>
  <c r="AA35" i="48" s="1"/>
  <c r="J35" i="48" s="1"/>
  <c r="L35" i="48" s="1"/>
  <c r="B44" i="61"/>
  <c r="S36" i="48"/>
  <c r="T36" i="48" s="1"/>
  <c r="Y36" i="48"/>
  <c r="Z36" i="48" s="1"/>
  <c r="AA36" i="48" s="1"/>
  <c r="J36" i="48" s="1"/>
  <c r="M37" i="48"/>
  <c r="O36" i="48"/>
  <c r="I36" i="48"/>
  <c r="AI78" i="68"/>
  <c r="AJ78" i="68" s="1"/>
  <c r="U28" i="57"/>
  <c r="O32" i="55"/>
  <c r="M33" i="55"/>
  <c r="I32" i="55"/>
  <c r="Y32" i="55"/>
  <c r="AG32" i="55" s="1"/>
  <c r="AH32" i="55" s="1"/>
  <c r="T68" i="59"/>
  <c r="U68" i="59" s="1"/>
  <c r="N69" i="59"/>
  <c r="Z68" i="59"/>
  <c r="P68" i="59"/>
  <c r="J68" i="59"/>
  <c r="M35" i="46"/>
  <c r="I34" i="46"/>
  <c r="O34" i="46"/>
  <c r="Y31" i="51"/>
  <c r="M32" i="51"/>
  <c r="O31" i="51"/>
  <c r="I31" i="51"/>
  <c r="S67" i="47"/>
  <c r="T67" i="47" s="1"/>
  <c r="M68" i="47"/>
  <c r="Y67" i="47"/>
  <c r="Z67" i="47" s="1"/>
  <c r="AA67" i="47" s="1"/>
  <c r="J67" i="47" s="1"/>
  <c r="O67" i="47"/>
  <c r="I67" i="47"/>
  <c r="T97" i="68"/>
  <c r="U97" i="68" s="1"/>
  <c r="T100" i="68"/>
  <c r="U100" i="68" s="1"/>
  <c r="T81" i="68"/>
  <c r="U81" i="68" s="1"/>
  <c r="T76" i="68"/>
  <c r="U76" i="68" s="1"/>
  <c r="T106" i="68"/>
  <c r="U106" i="68" s="1"/>
  <c r="S74" i="68"/>
  <c r="W74" i="68" s="1"/>
  <c r="R74" i="68" s="1"/>
  <c r="G74" i="68" s="1"/>
  <c r="I74" i="68" s="1"/>
  <c r="W73" i="68"/>
  <c r="V73" i="68"/>
  <c r="V74" i="68"/>
  <c r="Q74" i="68" s="1"/>
  <c r="AK73" i="68"/>
  <c r="AQ26" i="1"/>
  <c r="AS27" i="1" s="1"/>
  <c r="AO26" i="1"/>
  <c r="T26" i="1"/>
  <c r="I26" i="1" s="1"/>
  <c r="L26" i="1" s="1"/>
  <c r="S26" i="1"/>
  <c r="AV26" i="1"/>
  <c r="AW26" i="1" s="1"/>
  <c r="AX26" i="1" s="1"/>
  <c r="L29" i="41"/>
  <c r="Y30" i="41"/>
  <c r="K30" i="41"/>
  <c r="S30" i="41"/>
  <c r="T30" i="41" s="1"/>
  <c r="J30" i="41"/>
  <c r="O30" i="41"/>
  <c r="B30" i="41" s="1"/>
  <c r="M31" i="41"/>
  <c r="G27" i="41"/>
  <c r="AB32" i="26"/>
  <c r="AC32" i="26" s="1"/>
  <c r="J32" i="26" s="1"/>
  <c r="AG30" i="51"/>
  <c r="AH30" i="51" s="1"/>
  <c r="D40" i="61"/>
  <c r="N84" i="68"/>
  <c r="P83" i="68"/>
  <c r="T83" i="68"/>
  <c r="U83" i="68" s="1"/>
  <c r="J83" i="68"/>
  <c r="AK28" i="57"/>
  <c r="AD28" i="57" s="1"/>
  <c r="AJ28" i="57"/>
  <c r="AC28" i="57" s="1"/>
  <c r="Q77" i="1"/>
  <c r="P77" i="1"/>
  <c r="M34" i="39"/>
  <c r="I33" i="39"/>
  <c r="O33" i="39"/>
  <c r="Y33" i="39"/>
  <c r="AG33" i="39" s="1"/>
  <c r="AH33" i="39" s="1"/>
  <c r="K33" i="39" s="1"/>
  <c r="L33" i="57"/>
  <c r="AQ29" i="41"/>
  <c r="AS30" i="41" s="1"/>
  <c r="AO29" i="41"/>
  <c r="S61" i="51"/>
  <c r="T61" i="51" s="1"/>
  <c r="B70" i="61"/>
  <c r="A71" i="61"/>
  <c r="L27" i="41"/>
  <c r="Q31" i="41"/>
  <c r="AI31" i="41"/>
  <c r="AJ31" i="41" s="1"/>
  <c r="AB30" i="41"/>
  <c r="U32" i="41"/>
  <c r="P32" i="41" s="1"/>
  <c r="R32" i="41"/>
  <c r="T108" i="68"/>
  <c r="U108" i="68" s="1"/>
  <c r="T104" i="68"/>
  <c r="U104" i="68" s="1"/>
  <c r="T102" i="68"/>
  <c r="U102" i="68" s="1"/>
  <c r="T98" i="68"/>
  <c r="U98" i="68" s="1"/>
  <c r="T75" i="68"/>
  <c r="U75" i="68" s="1"/>
  <c r="T99" i="68"/>
  <c r="U99" i="68" s="1"/>
  <c r="T80" i="68"/>
  <c r="U80" i="68" s="1"/>
  <c r="T77" i="68"/>
  <c r="U77" i="68" s="1"/>
  <c r="Z31" i="52"/>
  <c r="AA31" i="52" s="1"/>
  <c r="J31" i="52" s="1"/>
  <c r="L31" i="52" s="1"/>
  <c r="AB78" i="1"/>
  <c r="M35" i="1"/>
  <c r="O34" i="1"/>
  <c r="I34" i="1"/>
  <c r="BF33" i="26"/>
  <c r="AA33" i="26"/>
  <c r="AB33" i="26" s="1"/>
  <c r="AC33" i="26" s="1"/>
  <c r="J33" i="26" s="1"/>
  <c r="M34" i="26"/>
  <c r="S33" i="26"/>
  <c r="T33" i="26" s="1"/>
  <c r="U33" i="26" s="1"/>
  <c r="I33" i="26" s="1"/>
  <c r="O33" i="26"/>
  <c r="M33" i="52"/>
  <c r="O32" i="52"/>
  <c r="I32" i="52"/>
  <c r="Y32" i="52"/>
  <c r="AD26" i="57"/>
  <c r="V28" i="57"/>
  <c r="M33" i="45"/>
  <c r="I32" i="45"/>
  <c r="O32" i="45"/>
  <c r="M67" i="59"/>
  <c r="S34" i="57"/>
  <c r="T34" i="57" s="1"/>
  <c r="I34" i="57" s="1"/>
  <c r="O34" i="57"/>
  <c r="M35" i="57"/>
  <c r="Y34" i="57"/>
  <c r="Z34" i="57" s="1"/>
  <c r="AA34" i="57" s="1"/>
  <c r="J34" i="57" s="1"/>
  <c r="M62" i="59"/>
  <c r="E69" i="61"/>
  <c r="C69" i="61"/>
  <c r="D69" i="61"/>
  <c r="AC65" i="47"/>
  <c r="AG31" i="55"/>
  <c r="AH31" i="55" s="1"/>
  <c r="M40" i="3"/>
  <c r="O39" i="3"/>
  <c r="I39" i="3"/>
  <c r="AG33" i="57"/>
  <c r="AH33" i="57" s="1"/>
  <c r="U31" i="41"/>
  <c r="T101" i="68"/>
  <c r="U101" i="68" s="1"/>
  <c r="T107" i="68"/>
  <c r="U107" i="68" s="1"/>
  <c r="T78" i="68"/>
  <c r="U78" i="68" s="1"/>
  <c r="AL30" i="41"/>
  <c r="AM30" i="41" s="1"/>
  <c r="AN30" i="41"/>
  <c r="AP30" i="41" s="1"/>
  <c r="AG31" i="52"/>
  <c r="AH31" i="52" s="1"/>
  <c r="AP77" i="68" l="1"/>
  <c r="AR77" i="68" s="1"/>
  <c r="AN77" i="68"/>
  <c r="AO77" i="68" s="1"/>
  <c r="B77" i="68"/>
  <c r="AQ76" i="68"/>
  <c r="AS76" i="68"/>
  <c r="AU77" i="68" s="1"/>
  <c r="AH67" i="47"/>
  <c r="AI67" i="47" s="1"/>
  <c r="AL31" i="57"/>
  <c r="AM31" i="57" s="1"/>
  <c r="B31" i="57"/>
  <c r="AN31" i="57"/>
  <c r="AP31" i="57" s="1"/>
  <c r="P76" i="67"/>
  <c r="T76" i="67"/>
  <c r="U76" i="67" s="1"/>
  <c r="N77" i="67"/>
  <c r="Z76" i="67"/>
  <c r="AI76" i="67" s="1"/>
  <c r="AJ76" i="67" s="1"/>
  <c r="J76" i="67"/>
  <c r="M76" i="67" s="1"/>
  <c r="AD74" i="67"/>
  <c r="AA75" i="67"/>
  <c r="AB75" i="67" s="1"/>
  <c r="K75" i="67" s="1"/>
  <c r="AQ30" i="57"/>
  <c r="AS31" i="57" s="1"/>
  <c r="AO30" i="57"/>
  <c r="AQ26" i="45"/>
  <c r="AS27" i="45" s="1"/>
  <c r="AQ26" i="51"/>
  <c r="AS27" i="51" s="1"/>
  <c r="AR63" i="47"/>
  <c r="AT64" i="47" s="1"/>
  <c r="AP73" i="67"/>
  <c r="AR73" i="67" s="1"/>
  <c r="AS73" i="67" s="1"/>
  <c r="AU74" i="67" s="1"/>
  <c r="B73" i="67"/>
  <c r="B74" i="67" s="1"/>
  <c r="AQ72" i="67"/>
  <c r="AI65" i="60"/>
  <c r="AJ65" i="60" s="1"/>
  <c r="D26" i="49"/>
  <c r="D42" i="3"/>
  <c r="H25" i="39"/>
  <c r="H25" i="48"/>
  <c r="D31" i="45"/>
  <c r="S31" i="45" s="1"/>
  <c r="T31" i="45" s="1"/>
  <c r="S64" i="51"/>
  <c r="T64" i="51" s="1"/>
  <c r="D31" i="46"/>
  <c r="S31" i="46" s="1"/>
  <c r="T31" i="46" s="1"/>
  <c r="AS63" i="60"/>
  <c r="AU64" i="60" s="1"/>
  <c r="AO26" i="46"/>
  <c r="D59" i="48"/>
  <c r="S59" i="48" s="1"/>
  <c r="T59" i="48" s="1"/>
  <c r="D59" i="39"/>
  <c r="S59" i="39" s="1"/>
  <c r="T59" i="39" s="1"/>
  <c r="AN64" i="60"/>
  <c r="AO64" i="60" s="1"/>
  <c r="AQ64" i="60" s="1"/>
  <c r="B64" i="60"/>
  <c r="B65" i="60" s="1"/>
  <c r="AN27" i="48"/>
  <c r="AP27" i="48" s="1"/>
  <c r="AQ27" i="48" s="1"/>
  <c r="AS28" i="48" s="1"/>
  <c r="B27" i="48"/>
  <c r="AL28" i="48" s="1"/>
  <c r="AM28" i="48" s="1"/>
  <c r="D52" i="48"/>
  <c r="S52" i="48" s="1"/>
  <c r="T52" i="48" s="1"/>
  <c r="D62" i="48"/>
  <c r="S62" i="48" s="1"/>
  <c r="T62" i="48" s="1"/>
  <c r="B27" i="46"/>
  <c r="AL28" i="46" s="1"/>
  <c r="AM28" i="46" s="1"/>
  <c r="D71" i="48"/>
  <c r="S71" i="48" s="1"/>
  <c r="T71" i="48" s="1"/>
  <c r="R26" i="48"/>
  <c r="V26" i="48" s="1"/>
  <c r="D63" i="48"/>
  <c r="S63" i="48" s="1"/>
  <c r="T63" i="48" s="1"/>
  <c r="D54" i="48"/>
  <c r="S54" i="48" s="1"/>
  <c r="T54" i="48" s="1"/>
  <c r="D42" i="39"/>
  <c r="D55" i="48"/>
  <c r="S55" i="48" s="1"/>
  <c r="T55" i="48" s="1"/>
  <c r="D30" i="48"/>
  <c r="D46" i="48"/>
  <c r="D39" i="48"/>
  <c r="D45" i="39"/>
  <c r="AN27" i="46"/>
  <c r="AP27" i="46" s="1"/>
  <c r="AQ27" i="46" s="1"/>
  <c r="AS28" i="46" s="1"/>
  <c r="AO26" i="48"/>
  <c r="D58" i="48"/>
  <c r="S58" i="48" s="1"/>
  <c r="T58" i="48" s="1"/>
  <c r="D51" i="48"/>
  <c r="S51" i="48" s="1"/>
  <c r="T51" i="48" s="1"/>
  <c r="D29" i="48"/>
  <c r="D66" i="48"/>
  <c r="S66" i="48" s="1"/>
  <c r="T66" i="48" s="1"/>
  <c r="D50" i="48"/>
  <c r="S50" i="48" s="1"/>
  <c r="T50" i="48" s="1"/>
  <c r="D57" i="48"/>
  <c r="S57" i="48" s="1"/>
  <c r="T57" i="48" s="1"/>
  <c r="D64" i="48"/>
  <c r="S64" i="48" s="1"/>
  <c r="T64" i="48" s="1"/>
  <c r="D27" i="48"/>
  <c r="D33" i="48"/>
  <c r="D28" i="48"/>
  <c r="D43" i="48"/>
  <c r="D29" i="39"/>
  <c r="D33" i="39"/>
  <c r="S33" i="39" s="1"/>
  <c r="T33" i="39" s="1"/>
  <c r="D36" i="39"/>
  <c r="AS63" i="59"/>
  <c r="AU64" i="59" s="1"/>
  <c r="D36" i="48"/>
  <c r="D60" i="48"/>
  <c r="S60" i="48" s="1"/>
  <c r="T60" i="48" s="1"/>
  <c r="D31" i="48"/>
  <c r="D42" i="48"/>
  <c r="D53" i="48"/>
  <c r="S53" i="48" s="1"/>
  <c r="T53" i="48" s="1"/>
  <c r="D72" i="48"/>
  <c r="S72" i="48" s="1"/>
  <c r="T72" i="48" s="1"/>
  <c r="D32" i="48"/>
  <c r="D56" i="48"/>
  <c r="S56" i="48" s="1"/>
  <c r="T56" i="48" s="1"/>
  <c r="D44" i="48"/>
  <c r="D70" i="48"/>
  <c r="S70" i="48" s="1"/>
  <c r="T70" i="48" s="1"/>
  <c r="D40" i="48"/>
  <c r="D61" i="48"/>
  <c r="S61" i="48" s="1"/>
  <c r="T61" i="48" s="1"/>
  <c r="D65" i="39"/>
  <c r="S65" i="39" s="1"/>
  <c r="T65" i="39" s="1"/>
  <c r="D35" i="39"/>
  <c r="D34" i="48"/>
  <c r="D68" i="48"/>
  <c r="S68" i="48" s="1"/>
  <c r="T68" i="48" s="1"/>
  <c r="D37" i="48"/>
  <c r="S37" i="48" s="1"/>
  <c r="T37" i="48" s="1"/>
  <c r="D45" i="48"/>
  <c r="D35" i="48"/>
  <c r="D65" i="48"/>
  <c r="S65" i="48" s="1"/>
  <c r="T65" i="48" s="1"/>
  <c r="D26" i="48"/>
  <c r="D69" i="48"/>
  <c r="S69" i="48" s="1"/>
  <c r="T69" i="48" s="1"/>
  <c r="D41" i="48"/>
  <c r="D67" i="48"/>
  <c r="S67" i="48" s="1"/>
  <c r="T67" i="48" s="1"/>
  <c r="D38" i="48"/>
  <c r="D67" i="39"/>
  <c r="S67" i="39" s="1"/>
  <c r="T67" i="39" s="1"/>
  <c r="D64" i="39"/>
  <c r="S64" i="39" s="1"/>
  <c r="T64" i="39" s="1"/>
  <c r="D57" i="39"/>
  <c r="S57" i="39" s="1"/>
  <c r="T57" i="39" s="1"/>
  <c r="AL28" i="3"/>
  <c r="AM28" i="3" s="1"/>
  <c r="AA65" i="60"/>
  <c r="AB65" i="60" s="1"/>
  <c r="K65" i="60" s="1"/>
  <c r="M65" i="60" s="1"/>
  <c r="H25" i="46"/>
  <c r="D28" i="46"/>
  <c r="D29" i="46"/>
  <c r="AO26" i="45"/>
  <c r="Q71" i="67"/>
  <c r="D26" i="46"/>
  <c r="D32" i="46"/>
  <c r="S32" i="46" s="1"/>
  <c r="T32" i="46" s="1"/>
  <c r="D33" i="46"/>
  <c r="S33" i="46" s="1"/>
  <c r="T33" i="46" s="1"/>
  <c r="R26" i="46"/>
  <c r="V26" i="46" s="1"/>
  <c r="Q26" i="46" s="1"/>
  <c r="F26" i="46" s="1"/>
  <c r="D30" i="46"/>
  <c r="D27" i="46"/>
  <c r="D36" i="46"/>
  <c r="D35" i="46"/>
  <c r="S35" i="46" s="1"/>
  <c r="T35" i="46" s="1"/>
  <c r="D34" i="46"/>
  <c r="S34" i="46" s="1"/>
  <c r="T34" i="46" s="1"/>
  <c r="Z33" i="46"/>
  <c r="AA33" i="46" s="1"/>
  <c r="J33" i="46" s="1"/>
  <c r="L33" i="46" s="1"/>
  <c r="Y34" i="46"/>
  <c r="Z34" i="46" s="1"/>
  <c r="AA34" i="46" s="1"/>
  <c r="J34" i="46" s="1"/>
  <c r="L34" i="46" s="1"/>
  <c r="AA66" i="60"/>
  <c r="AB66" i="60" s="1"/>
  <c r="K66" i="60" s="1"/>
  <c r="M66" i="60" s="1"/>
  <c r="Y31" i="45"/>
  <c r="AG31" i="45" s="1"/>
  <c r="AH31" i="45" s="1"/>
  <c r="AG30" i="45"/>
  <c r="AH30" i="45" s="1"/>
  <c r="R26" i="39"/>
  <c r="U26" i="39" s="1"/>
  <c r="P26" i="39" s="1"/>
  <c r="D63" i="39"/>
  <c r="S63" i="39" s="1"/>
  <c r="T63" i="39" s="1"/>
  <c r="D37" i="39"/>
  <c r="D62" i="59"/>
  <c r="D68" i="39"/>
  <c r="S68" i="39" s="1"/>
  <c r="T68" i="39" s="1"/>
  <c r="D72" i="39"/>
  <c r="S72" i="39" s="1"/>
  <c r="T72" i="39" s="1"/>
  <c r="D32" i="39"/>
  <c r="S32" i="39" s="1"/>
  <c r="T32" i="39" s="1"/>
  <c r="D71" i="39"/>
  <c r="S71" i="39" s="1"/>
  <c r="T71" i="39" s="1"/>
  <c r="D43" i="39"/>
  <c r="D51" i="39"/>
  <c r="S51" i="39" s="1"/>
  <c r="T51" i="39" s="1"/>
  <c r="D27" i="39"/>
  <c r="D28" i="39"/>
  <c r="D53" i="39"/>
  <c r="S53" i="39" s="1"/>
  <c r="T53" i="39" s="1"/>
  <c r="D56" i="39"/>
  <c r="S56" i="39" s="1"/>
  <c r="T56" i="39" s="1"/>
  <c r="D26" i="39"/>
  <c r="D34" i="39"/>
  <c r="S34" i="39" s="1"/>
  <c r="T34" i="39" s="1"/>
  <c r="D55" i="39"/>
  <c r="S55" i="39" s="1"/>
  <c r="T55" i="39" s="1"/>
  <c r="D60" i="39"/>
  <c r="S60" i="39" s="1"/>
  <c r="T60" i="39" s="1"/>
  <c r="D38" i="39"/>
  <c r="D41" i="39"/>
  <c r="D40" i="39"/>
  <c r="BG25" i="39"/>
  <c r="D41" i="52"/>
  <c r="D58" i="39"/>
  <c r="S58" i="39" s="1"/>
  <c r="T58" i="39" s="1"/>
  <c r="D52" i="39"/>
  <c r="S52" i="39" s="1"/>
  <c r="T52" i="39" s="1"/>
  <c r="D50" i="39"/>
  <c r="S50" i="39" s="1"/>
  <c r="T50" i="39" s="1"/>
  <c r="D62" i="39"/>
  <c r="S62" i="39" s="1"/>
  <c r="T62" i="39" s="1"/>
  <c r="D61" i="39"/>
  <c r="S61" i="39" s="1"/>
  <c r="T61" i="39" s="1"/>
  <c r="D46" i="39"/>
  <c r="D69" i="39"/>
  <c r="S69" i="39" s="1"/>
  <c r="T69" i="39" s="1"/>
  <c r="D70" i="39"/>
  <c r="S70" i="39" s="1"/>
  <c r="T70" i="39" s="1"/>
  <c r="D39" i="39"/>
  <c r="D54" i="39"/>
  <c r="S54" i="39" s="1"/>
  <c r="T54" i="39" s="1"/>
  <c r="D66" i="39"/>
  <c r="S66" i="39" s="1"/>
  <c r="T66" i="39" s="1"/>
  <c r="D30" i="39"/>
  <c r="D31" i="39"/>
  <c r="S31" i="39" s="1"/>
  <c r="T31" i="39" s="1"/>
  <c r="D44" i="39"/>
  <c r="AG33" i="1"/>
  <c r="AH33" i="1" s="1"/>
  <c r="AO27" i="45"/>
  <c r="Z33" i="1"/>
  <c r="AA33" i="1" s="1"/>
  <c r="J33" i="1" s="1"/>
  <c r="L33" i="1" s="1"/>
  <c r="AD65" i="60"/>
  <c r="Z67" i="60"/>
  <c r="AA67" i="60" s="1"/>
  <c r="AB67" i="60" s="1"/>
  <c r="K67" i="60" s="1"/>
  <c r="M67" i="60" s="1"/>
  <c r="D56" i="49"/>
  <c r="S56" i="49" s="1"/>
  <c r="T56" i="49" s="1"/>
  <c r="AO26" i="49"/>
  <c r="Y31" i="49"/>
  <c r="AG30" i="49"/>
  <c r="AH30" i="49" s="1"/>
  <c r="AO27" i="3"/>
  <c r="D40" i="3"/>
  <c r="S40" i="3" s="1"/>
  <c r="T40" i="3" s="1"/>
  <c r="AO26" i="39"/>
  <c r="AG33" i="3"/>
  <c r="AH33" i="3" s="1"/>
  <c r="K33" i="3" s="1"/>
  <c r="L33" i="3" s="1"/>
  <c r="AN28" i="3"/>
  <c r="AP28" i="3" s="1"/>
  <c r="D30" i="3"/>
  <c r="D28" i="3"/>
  <c r="D51" i="3"/>
  <c r="S51" i="3" s="1"/>
  <c r="T51" i="3" s="1"/>
  <c r="AP64" i="59"/>
  <c r="AR64" i="59" s="1"/>
  <c r="AS64" i="59" s="1"/>
  <c r="AU65" i="59" s="1"/>
  <c r="D31" i="3"/>
  <c r="S31" i="3" s="1"/>
  <c r="T31" i="3" s="1"/>
  <c r="D68" i="3"/>
  <c r="S68" i="3" s="1"/>
  <c r="T68" i="3" s="1"/>
  <c r="AN27" i="39"/>
  <c r="AP27" i="39" s="1"/>
  <c r="AQ27" i="39" s="1"/>
  <c r="AS28" i="39" s="1"/>
  <c r="B27" i="39"/>
  <c r="AL29" i="45"/>
  <c r="AM29" i="45" s="1"/>
  <c r="AN29" i="45"/>
  <c r="AP29" i="45" s="1"/>
  <c r="B29" i="45"/>
  <c r="AL30" i="45" s="1"/>
  <c r="AM30" i="45" s="1"/>
  <c r="D38" i="49"/>
  <c r="S38" i="49" s="1"/>
  <c r="T38" i="49" s="1"/>
  <c r="D37" i="3"/>
  <c r="S37" i="3" s="1"/>
  <c r="T37" i="3" s="1"/>
  <c r="AL27" i="49"/>
  <c r="AM27" i="49" s="1"/>
  <c r="D44" i="49"/>
  <c r="S44" i="49" s="1"/>
  <c r="T44" i="49" s="1"/>
  <c r="AN27" i="49"/>
  <c r="AP27" i="49" s="1"/>
  <c r="D39" i="3"/>
  <c r="S39" i="3" s="1"/>
  <c r="T39" i="3" s="1"/>
  <c r="D57" i="49"/>
  <c r="S57" i="49" s="1"/>
  <c r="T57" i="49" s="1"/>
  <c r="D26" i="3"/>
  <c r="AN28" i="45"/>
  <c r="AP28" i="45" s="1"/>
  <c r="AL28" i="45"/>
  <c r="AM28" i="45" s="1"/>
  <c r="AN28" i="49"/>
  <c r="AP28" i="49" s="1"/>
  <c r="AL28" i="49"/>
  <c r="AM28" i="49" s="1"/>
  <c r="D50" i="3"/>
  <c r="S50" i="3" s="1"/>
  <c r="T50" i="3" s="1"/>
  <c r="D53" i="3"/>
  <c r="S53" i="3" s="1"/>
  <c r="T53" i="3" s="1"/>
  <c r="D41" i="3"/>
  <c r="D43" i="3"/>
  <c r="D70" i="3"/>
  <c r="S70" i="3" s="1"/>
  <c r="T70" i="3" s="1"/>
  <c r="D61" i="3"/>
  <c r="S61" i="3" s="1"/>
  <c r="T61" i="3" s="1"/>
  <c r="D59" i="3"/>
  <c r="S59" i="3" s="1"/>
  <c r="T59" i="3" s="1"/>
  <c r="D55" i="3"/>
  <c r="S55" i="3" s="1"/>
  <c r="T55" i="3" s="1"/>
  <c r="B28" i="51"/>
  <c r="AL29" i="51" s="1"/>
  <c r="AM29" i="51" s="1"/>
  <c r="B64" i="59"/>
  <c r="B65" i="59" s="1"/>
  <c r="D44" i="3"/>
  <c r="D45" i="3"/>
  <c r="D69" i="3"/>
  <c r="S69" i="3" s="1"/>
  <c r="T69" i="3" s="1"/>
  <c r="D29" i="3"/>
  <c r="D58" i="3"/>
  <c r="S58" i="3" s="1"/>
  <c r="T58" i="3" s="1"/>
  <c r="D45" i="49"/>
  <c r="S45" i="49" s="1"/>
  <c r="T45" i="49" s="1"/>
  <c r="D67" i="3"/>
  <c r="S67" i="3" s="1"/>
  <c r="T67" i="3" s="1"/>
  <c r="D33" i="3"/>
  <c r="S33" i="3" s="1"/>
  <c r="T33" i="3" s="1"/>
  <c r="D56" i="3"/>
  <c r="S56" i="3" s="1"/>
  <c r="T56" i="3" s="1"/>
  <c r="D60" i="3"/>
  <c r="S60" i="3" s="1"/>
  <c r="T60" i="3" s="1"/>
  <c r="D63" i="3"/>
  <c r="S63" i="3" s="1"/>
  <c r="T63" i="3" s="1"/>
  <c r="D54" i="3"/>
  <c r="S54" i="3" s="1"/>
  <c r="T54" i="3" s="1"/>
  <c r="D36" i="3"/>
  <c r="S36" i="3" s="1"/>
  <c r="T36" i="3" s="1"/>
  <c r="D72" i="3"/>
  <c r="S72" i="3" s="1"/>
  <c r="T72" i="3" s="1"/>
  <c r="D46" i="3"/>
  <c r="D42" i="49"/>
  <c r="S42" i="49" s="1"/>
  <c r="T42" i="49" s="1"/>
  <c r="D46" i="49"/>
  <c r="S46" i="49" s="1"/>
  <c r="T46" i="49" s="1"/>
  <c r="D35" i="3"/>
  <c r="S35" i="3" s="1"/>
  <c r="T35" i="3" s="1"/>
  <c r="D57" i="3"/>
  <c r="S57" i="3" s="1"/>
  <c r="T57" i="3" s="1"/>
  <c r="D32" i="3"/>
  <c r="S32" i="3" s="1"/>
  <c r="T32" i="3" s="1"/>
  <c r="D71" i="3"/>
  <c r="S71" i="3" s="1"/>
  <c r="T71" i="3" s="1"/>
  <c r="D51" i="49"/>
  <c r="S51" i="49" s="1"/>
  <c r="T51" i="49" s="1"/>
  <c r="D28" i="49"/>
  <c r="S28" i="49" s="1"/>
  <c r="T28" i="49" s="1"/>
  <c r="D62" i="3"/>
  <c r="S62" i="3" s="1"/>
  <c r="T62" i="3" s="1"/>
  <c r="R26" i="3"/>
  <c r="D64" i="3"/>
  <c r="S64" i="3" s="1"/>
  <c r="T64" i="3" s="1"/>
  <c r="AL29" i="49"/>
  <c r="AM29" i="49" s="1"/>
  <c r="AO27" i="51"/>
  <c r="Y34" i="3"/>
  <c r="AG34" i="3" s="1"/>
  <c r="AH34" i="3" s="1"/>
  <c r="K34" i="3" s="1"/>
  <c r="AN29" i="49"/>
  <c r="AP29" i="49" s="1"/>
  <c r="D27" i="3"/>
  <c r="D52" i="3"/>
  <c r="S52" i="3" s="1"/>
  <c r="T52" i="3" s="1"/>
  <c r="D34" i="3"/>
  <c r="S34" i="3" s="1"/>
  <c r="T34" i="3" s="1"/>
  <c r="D65" i="3"/>
  <c r="S65" i="3" s="1"/>
  <c r="T65" i="3" s="1"/>
  <c r="D66" i="3"/>
  <c r="S66" i="3" s="1"/>
  <c r="T66" i="3" s="1"/>
  <c r="D38" i="3"/>
  <c r="S38" i="3" s="1"/>
  <c r="T38" i="3" s="1"/>
  <c r="H25" i="3"/>
  <c r="AO27" i="55"/>
  <c r="D84" i="50"/>
  <c r="S84" i="50" s="1"/>
  <c r="T84" i="50" s="1"/>
  <c r="D34" i="49"/>
  <c r="S34" i="49" s="1"/>
  <c r="T34" i="49" s="1"/>
  <c r="D29" i="49"/>
  <c r="S29" i="49" s="1"/>
  <c r="T29" i="49" s="1"/>
  <c r="D36" i="49"/>
  <c r="S36" i="49" s="1"/>
  <c r="T36" i="49" s="1"/>
  <c r="D41" i="49"/>
  <c r="S41" i="49" s="1"/>
  <c r="T41" i="49" s="1"/>
  <c r="D54" i="49"/>
  <c r="S54" i="49" s="1"/>
  <c r="T54" i="49" s="1"/>
  <c r="D30" i="49"/>
  <c r="S30" i="49" s="1"/>
  <c r="T30" i="49" s="1"/>
  <c r="D58" i="49"/>
  <c r="S58" i="49" s="1"/>
  <c r="T58" i="49" s="1"/>
  <c r="D47" i="49"/>
  <c r="S47" i="49" s="1"/>
  <c r="T47" i="49" s="1"/>
  <c r="D27" i="49"/>
  <c r="D31" i="49"/>
  <c r="S31" i="49" s="1"/>
  <c r="T31" i="49" s="1"/>
  <c r="D59" i="49"/>
  <c r="S59" i="49" s="1"/>
  <c r="T59" i="49" s="1"/>
  <c r="D35" i="49"/>
  <c r="S35" i="49" s="1"/>
  <c r="T35" i="49" s="1"/>
  <c r="D49" i="49"/>
  <c r="S49" i="49" s="1"/>
  <c r="T49" i="49" s="1"/>
  <c r="D48" i="49"/>
  <c r="S48" i="49" s="1"/>
  <c r="T48" i="49" s="1"/>
  <c r="D60" i="49"/>
  <c r="S60" i="49" s="1"/>
  <c r="T60" i="49" s="1"/>
  <c r="D50" i="49"/>
  <c r="S50" i="49" s="1"/>
  <c r="T50" i="49" s="1"/>
  <c r="D40" i="49"/>
  <c r="S40" i="49" s="1"/>
  <c r="T40" i="49" s="1"/>
  <c r="D39" i="49"/>
  <c r="S39" i="49" s="1"/>
  <c r="T39" i="49" s="1"/>
  <c r="D43" i="49"/>
  <c r="S43" i="49" s="1"/>
  <c r="T43" i="49" s="1"/>
  <c r="D37" i="49"/>
  <c r="S37" i="49" s="1"/>
  <c r="T37" i="49" s="1"/>
  <c r="D55" i="49"/>
  <c r="S55" i="49" s="1"/>
  <c r="T55" i="49" s="1"/>
  <c r="D53" i="49"/>
  <c r="S53" i="49" s="1"/>
  <c r="T53" i="49" s="1"/>
  <c r="R26" i="49"/>
  <c r="D52" i="49"/>
  <c r="S52" i="49" s="1"/>
  <c r="T52" i="49" s="1"/>
  <c r="H25" i="49"/>
  <c r="D32" i="49"/>
  <c r="S32" i="49" s="1"/>
  <c r="T32" i="49" s="1"/>
  <c r="D33" i="49"/>
  <c r="S33" i="49" s="1"/>
  <c r="T33" i="49" s="1"/>
  <c r="AN28" i="51"/>
  <c r="AP28" i="51" s="1"/>
  <c r="B28" i="1"/>
  <c r="AN29" i="1" s="1"/>
  <c r="AP29" i="1" s="1"/>
  <c r="AN28" i="1"/>
  <c r="AP28" i="1" s="1"/>
  <c r="AQ28" i="1" s="1"/>
  <c r="AS29" i="1" s="1"/>
  <c r="D32" i="52"/>
  <c r="S32" i="52" s="1"/>
  <c r="T32" i="52" s="1"/>
  <c r="AP26" i="54"/>
  <c r="AR26" i="54"/>
  <c r="AT27" i="54" s="1"/>
  <c r="S25" i="54"/>
  <c r="Y28" i="54"/>
  <c r="Z28" i="54" s="1"/>
  <c r="AA28" i="54" s="1"/>
  <c r="J28" i="54" s="1"/>
  <c r="L28" i="54" s="1"/>
  <c r="AH27" i="54"/>
  <c r="AI27" i="54" s="1"/>
  <c r="AC26" i="54"/>
  <c r="Z27" i="54"/>
  <c r="AA27" i="54" s="1"/>
  <c r="J27" i="54" s="1"/>
  <c r="L27" i="54" s="1"/>
  <c r="AM27" i="54"/>
  <c r="AN27" i="54" s="1"/>
  <c r="B27" i="54"/>
  <c r="AO27" i="54"/>
  <c r="AQ27" i="54" s="1"/>
  <c r="D79" i="52"/>
  <c r="S79" i="52" s="1"/>
  <c r="T79" i="52" s="1"/>
  <c r="D25" i="54"/>
  <c r="D66" i="52"/>
  <c r="S66" i="52" s="1"/>
  <c r="T66" i="52" s="1"/>
  <c r="D31" i="53"/>
  <c r="S31" i="53" s="1"/>
  <c r="T31" i="53" s="1"/>
  <c r="AJ26" i="53"/>
  <c r="V26" i="53"/>
  <c r="Q26" i="53" s="1"/>
  <c r="F26" i="53" s="1"/>
  <c r="U26" i="53"/>
  <c r="P26" i="53" s="1"/>
  <c r="R27" i="53"/>
  <c r="U27" i="53" s="1"/>
  <c r="P27" i="53" s="1"/>
  <c r="L32" i="39"/>
  <c r="AM28" i="53"/>
  <c r="AN28" i="53" s="1"/>
  <c r="AO28" i="53"/>
  <c r="AQ28" i="53" s="1"/>
  <c r="B28" i="53"/>
  <c r="D81" i="52"/>
  <c r="S81" i="52" s="1"/>
  <c r="T81" i="52" s="1"/>
  <c r="D70" i="52"/>
  <c r="S70" i="52" s="1"/>
  <c r="T70" i="52" s="1"/>
  <c r="H25" i="52"/>
  <c r="AH28" i="53"/>
  <c r="AI28" i="53" s="1"/>
  <c r="Z28" i="53"/>
  <c r="AA28" i="53" s="1"/>
  <c r="J28" i="53" s="1"/>
  <c r="L28" i="53" s="1"/>
  <c r="AC27" i="53"/>
  <c r="Y29" i="53"/>
  <c r="AR27" i="53"/>
  <c r="AT28" i="53" s="1"/>
  <c r="AP27" i="53"/>
  <c r="S26" i="53"/>
  <c r="T26" i="53" s="1"/>
  <c r="AO26" i="50"/>
  <c r="D68" i="52"/>
  <c r="S68" i="52" s="1"/>
  <c r="T68" i="52" s="1"/>
  <c r="D35" i="52"/>
  <c r="D74" i="50"/>
  <c r="S74" i="50" s="1"/>
  <c r="T74" i="50" s="1"/>
  <c r="D33" i="52"/>
  <c r="S33" i="52" s="1"/>
  <c r="T33" i="52" s="1"/>
  <c r="D38" i="52"/>
  <c r="D55" i="52"/>
  <c r="S55" i="52" s="1"/>
  <c r="T55" i="52" s="1"/>
  <c r="D60" i="52"/>
  <c r="S60" i="52" s="1"/>
  <c r="T60" i="52" s="1"/>
  <c r="D72" i="50"/>
  <c r="S72" i="50" s="1"/>
  <c r="T72" i="50" s="1"/>
  <c r="AO26" i="51"/>
  <c r="V27" i="1"/>
  <c r="D51" i="50"/>
  <c r="S51" i="50" s="1"/>
  <c r="T51" i="50" s="1"/>
  <c r="D26" i="50"/>
  <c r="D57" i="52"/>
  <c r="S57" i="52" s="1"/>
  <c r="T57" i="52" s="1"/>
  <c r="D76" i="52"/>
  <c r="S76" i="52" s="1"/>
  <c r="T76" i="52" s="1"/>
  <c r="D42" i="52"/>
  <c r="D53" i="52"/>
  <c r="S53" i="52" s="1"/>
  <c r="T53" i="52" s="1"/>
  <c r="D83" i="52"/>
  <c r="S83" i="52" s="1"/>
  <c r="T83" i="52" s="1"/>
  <c r="D29" i="45"/>
  <c r="S29" i="45" s="1"/>
  <c r="T29" i="45" s="1"/>
  <c r="D30" i="50"/>
  <c r="S30" i="50" s="1"/>
  <c r="T30" i="50" s="1"/>
  <c r="D36" i="50"/>
  <c r="D32" i="45"/>
  <c r="S32" i="45" s="1"/>
  <c r="T32" i="45" s="1"/>
  <c r="AQ27" i="1"/>
  <c r="AS28" i="1" s="1"/>
  <c r="L36" i="48"/>
  <c r="D35" i="45"/>
  <c r="R28" i="1"/>
  <c r="U28" i="1" s="1"/>
  <c r="D28" i="50"/>
  <c r="S28" i="50" s="1"/>
  <c r="T28" i="50" s="1"/>
  <c r="AL27" i="50"/>
  <c r="AM27" i="50" s="1"/>
  <c r="D50" i="50"/>
  <c r="S50" i="50" s="1"/>
  <c r="T50" i="50" s="1"/>
  <c r="D46" i="50"/>
  <c r="AN28" i="50"/>
  <c r="AP28" i="50" s="1"/>
  <c r="AQ28" i="50" s="1"/>
  <c r="AS29" i="50" s="1"/>
  <c r="D57" i="50"/>
  <c r="S57" i="50" s="1"/>
  <c r="T57" i="50" s="1"/>
  <c r="D78" i="50"/>
  <c r="S78" i="50" s="1"/>
  <c r="T78" i="50" s="1"/>
  <c r="D80" i="50"/>
  <c r="S80" i="50" s="1"/>
  <c r="T80" i="50" s="1"/>
  <c r="D33" i="50"/>
  <c r="D54" i="50"/>
  <c r="S54" i="50" s="1"/>
  <c r="T54" i="50" s="1"/>
  <c r="D43" i="50"/>
  <c r="D65" i="50"/>
  <c r="S65" i="50" s="1"/>
  <c r="T65" i="50" s="1"/>
  <c r="D67" i="52"/>
  <c r="S67" i="52" s="1"/>
  <c r="T67" i="52" s="1"/>
  <c r="D52" i="52"/>
  <c r="S52" i="52" s="1"/>
  <c r="T52" i="52" s="1"/>
  <c r="D29" i="52"/>
  <c r="D28" i="52"/>
  <c r="D69" i="52"/>
  <c r="S69" i="52" s="1"/>
  <c r="T69" i="52" s="1"/>
  <c r="D56" i="52"/>
  <c r="S56" i="52" s="1"/>
  <c r="T56" i="52" s="1"/>
  <c r="D26" i="45"/>
  <c r="D33" i="45"/>
  <c r="S33" i="45" s="1"/>
  <c r="T33" i="45" s="1"/>
  <c r="U27" i="1"/>
  <c r="P27" i="1" s="1"/>
  <c r="AP63" i="47"/>
  <c r="D79" i="50"/>
  <c r="S79" i="50" s="1"/>
  <c r="T79" i="50" s="1"/>
  <c r="H25" i="50"/>
  <c r="D56" i="50"/>
  <c r="S56" i="50" s="1"/>
  <c r="T56" i="50" s="1"/>
  <c r="D39" i="50"/>
  <c r="AN27" i="50"/>
  <c r="AP27" i="50" s="1"/>
  <c r="B28" i="50"/>
  <c r="B29" i="50" s="1"/>
  <c r="D29" i="50"/>
  <c r="S29" i="50" s="1"/>
  <c r="T29" i="50" s="1"/>
  <c r="D31" i="50"/>
  <c r="S31" i="50" s="1"/>
  <c r="T31" i="50" s="1"/>
  <c r="D35" i="50"/>
  <c r="D68" i="50"/>
  <c r="S68" i="50" s="1"/>
  <c r="T68" i="50" s="1"/>
  <c r="D52" i="50"/>
  <c r="S52" i="50" s="1"/>
  <c r="T52" i="50" s="1"/>
  <c r="D83" i="50"/>
  <c r="S83" i="50" s="1"/>
  <c r="T83" i="50" s="1"/>
  <c r="D45" i="50"/>
  <c r="D73" i="50"/>
  <c r="S73" i="50" s="1"/>
  <c r="T73" i="50" s="1"/>
  <c r="D64" i="50"/>
  <c r="S64" i="50" s="1"/>
  <c r="T64" i="50" s="1"/>
  <c r="D82" i="50"/>
  <c r="S82" i="50" s="1"/>
  <c r="T82" i="50" s="1"/>
  <c r="D75" i="50"/>
  <c r="S75" i="50" s="1"/>
  <c r="T75" i="50" s="1"/>
  <c r="D38" i="50"/>
  <c r="R26" i="45"/>
  <c r="D36" i="45"/>
  <c r="D27" i="45"/>
  <c r="D28" i="45"/>
  <c r="S28" i="45" s="1"/>
  <c r="T28" i="45" s="1"/>
  <c r="H25" i="45"/>
  <c r="D58" i="50"/>
  <c r="S58" i="50" s="1"/>
  <c r="T58" i="50" s="1"/>
  <c r="D44" i="50"/>
  <c r="D62" i="50"/>
  <c r="S62" i="50" s="1"/>
  <c r="T62" i="50" s="1"/>
  <c r="D76" i="50"/>
  <c r="S76" i="50" s="1"/>
  <c r="T76" i="50" s="1"/>
  <c r="D55" i="50"/>
  <c r="S55" i="50" s="1"/>
  <c r="T55" i="50" s="1"/>
  <c r="D37" i="50"/>
  <c r="D34" i="50"/>
  <c r="R26" i="50"/>
  <c r="V26" i="50" s="1"/>
  <c r="Q26" i="50" s="1"/>
  <c r="F26" i="50" s="1"/>
  <c r="D69" i="50"/>
  <c r="S69" i="50" s="1"/>
  <c r="T69" i="50" s="1"/>
  <c r="D71" i="52"/>
  <c r="S71" i="52" s="1"/>
  <c r="T71" i="52" s="1"/>
  <c r="D63" i="52"/>
  <c r="S63" i="52" s="1"/>
  <c r="T63" i="52" s="1"/>
  <c r="D39" i="52"/>
  <c r="D43" i="52"/>
  <c r="D27" i="52"/>
  <c r="D54" i="52"/>
  <c r="S54" i="52" s="1"/>
  <c r="T54" i="52" s="1"/>
  <c r="D82" i="52"/>
  <c r="S82" i="52" s="1"/>
  <c r="T82" i="52" s="1"/>
  <c r="D84" i="52"/>
  <c r="S84" i="52" s="1"/>
  <c r="T84" i="52" s="1"/>
  <c r="D63" i="50"/>
  <c r="S63" i="50" s="1"/>
  <c r="T63" i="50" s="1"/>
  <c r="D40" i="50"/>
  <c r="D71" i="50"/>
  <c r="S71" i="50" s="1"/>
  <c r="T71" i="50" s="1"/>
  <c r="D70" i="50"/>
  <c r="S70" i="50" s="1"/>
  <c r="T70" i="50" s="1"/>
  <c r="D42" i="50"/>
  <c r="D27" i="50"/>
  <c r="D30" i="45"/>
  <c r="S30" i="45" s="1"/>
  <c r="T30" i="45" s="1"/>
  <c r="D34" i="45"/>
  <c r="AL28" i="55"/>
  <c r="AM28" i="55" s="1"/>
  <c r="AQ28" i="55" s="1"/>
  <c r="AS29" i="55" s="1"/>
  <c r="B65" i="47"/>
  <c r="B66" i="47" s="1"/>
  <c r="AM67" i="47" s="1"/>
  <c r="AN67" i="47" s="1"/>
  <c r="B28" i="55"/>
  <c r="AL29" i="55" s="1"/>
  <c r="AM29" i="55" s="1"/>
  <c r="AM65" i="47"/>
  <c r="AN65" i="47" s="1"/>
  <c r="AP65" i="47" s="1"/>
  <c r="D72" i="52"/>
  <c r="S72" i="52" s="1"/>
  <c r="T72" i="52" s="1"/>
  <c r="D77" i="52"/>
  <c r="S77" i="52" s="1"/>
  <c r="T77" i="52" s="1"/>
  <c r="D73" i="52"/>
  <c r="S73" i="52" s="1"/>
  <c r="T73" i="52" s="1"/>
  <c r="D59" i="52"/>
  <c r="S59" i="52" s="1"/>
  <c r="T59" i="52" s="1"/>
  <c r="D37" i="52"/>
  <c r="D40" i="52"/>
  <c r="D51" i="52"/>
  <c r="S51" i="52" s="1"/>
  <c r="T51" i="52" s="1"/>
  <c r="D46" i="52"/>
  <c r="D61" i="52"/>
  <c r="S61" i="52" s="1"/>
  <c r="T61" i="52" s="1"/>
  <c r="D34" i="52"/>
  <c r="D31" i="52"/>
  <c r="S31" i="52" s="1"/>
  <c r="T31" i="52" s="1"/>
  <c r="D85" i="60"/>
  <c r="D74" i="52"/>
  <c r="S74" i="52" s="1"/>
  <c r="T74" i="52" s="1"/>
  <c r="D26" i="52"/>
  <c r="R27" i="52" s="1"/>
  <c r="D78" i="52"/>
  <c r="S78" i="52" s="1"/>
  <c r="T78" i="52" s="1"/>
  <c r="D45" i="52"/>
  <c r="D44" i="52"/>
  <c r="D64" i="52"/>
  <c r="D50" i="52"/>
  <c r="S50" i="52" s="1"/>
  <c r="T50" i="52" s="1"/>
  <c r="D30" i="52"/>
  <c r="D58" i="52"/>
  <c r="S58" i="52" s="1"/>
  <c r="T58" i="52" s="1"/>
  <c r="D80" i="52"/>
  <c r="S80" i="52" s="1"/>
  <c r="T80" i="52" s="1"/>
  <c r="D62" i="52"/>
  <c r="S62" i="52" s="1"/>
  <c r="T62" i="52" s="1"/>
  <c r="D36" i="52"/>
  <c r="D65" i="52"/>
  <c r="S65" i="52" s="1"/>
  <c r="T65" i="52" s="1"/>
  <c r="D75" i="52"/>
  <c r="S75" i="52" s="1"/>
  <c r="T75" i="52" s="1"/>
  <c r="W62" i="60"/>
  <c r="R62" i="60" s="1"/>
  <c r="G62" i="60" s="1"/>
  <c r="S63" i="60"/>
  <c r="V63" i="60" s="1"/>
  <c r="Q63" i="60" s="1"/>
  <c r="AK62" i="60"/>
  <c r="V62" i="60"/>
  <c r="Q62" i="60" s="1"/>
  <c r="D66" i="50"/>
  <c r="S66" i="50" s="1"/>
  <c r="T66" i="50" s="1"/>
  <c r="D41" i="50"/>
  <c r="D81" i="50"/>
  <c r="S81" i="50" s="1"/>
  <c r="T81" i="50" s="1"/>
  <c r="D60" i="50"/>
  <c r="S60" i="50" s="1"/>
  <c r="T60" i="50" s="1"/>
  <c r="D53" i="50"/>
  <c r="S53" i="50" s="1"/>
  <c r="T53" i="50" s="1"/>
  <c r="D77" i="50"/>
  <c r="S77" i="50" s="1"/>
  <c r="T77" i="50" s="1"/>
  <c r="D61" i="50"/>
  <c r="S61" i="50" s="1"/>
  <c r="T61" i="50" s="1"/>
  <c r="D67" i="50"/>
  <c r="S67" i="50" s="1"/>
  <c r="T67" i="50" s="1"/>
  <c r="D32" i="50"/>
  <c r="S32" i="50" s="1"/>
  <c r="T32" i="50" s="1"/>
  <c r="B27" i="52"/>
  <c r="AL27" i="52"/>
  <c r="AM27" i="52" s="1"/>
  <c r="AN27" i="52"/>
  <c r="AP27" i="52" s="1"/>
  <c r="V27" i="26"/>
  <c r="P27" i="26" s="1"/>
  <c r="AY27" i="26"/>
  <c r="D27" i="26" s="1"/>
  <c r="R28" i="26" s="1"/>
  <c r="W28" i="26" s="1"/>
  <c r="Q28" i="26" s="1"/>
  <c r="F28" i="26" s="1"/>
  <c r="AN27" i="26"/>
  <c r="W27" i="26"/>
  <c r="Q27" i="26" s="1"/>
  <c r="F27" i="26" s="1"/>
  <c r="U26" i="52"/>
  <c r="P26" i="52" s="1"/>
  <c r="V26" i="52"/>
  <c r="Q26" i="52" s="1"/>
  <c r="F26" i="52" s="1"/>
  <c r="AI26" i="52"/>
  <c r="AT27" i="26"/>
  <c r="AV27" i="26"/>
  <c r="AX28" i="26" s="1"/>
  <c r="AV28" i="26"/>
  <c r="AX29" i="26" s="1"/>
  <c r="AT28" i="26"/>
  <c r="AQ26" i="52"/>
  <c r="AS27" i="52" s="1"/>
  <c r="AO26" i="52"/>
  <c r="B29" i="26"/>
  <c r="AS29" i="26"/>
  <c r="AU29" i="26" s="1"/>
  <c r="AQ29" i="26"/>
  <c r="AR29" i="26" s="1"/>
  <c r="B30" i="49"/>
  <c r="AN30" i="49"/>
  <c r="AP30" i="49" s="1"/>
  <c r="AL30" i="49"/>
  <c r="AM30" i="49" s="1"/>
  <c r="D37" i="55"/>
  <c r="D38" i="55" s="1"/>
  <c r="Z32" i="55"/>
  <c r="AA32" i="55" s="1"/>
  <c r="J32" i="55" s="1"/>
  <c r="L32" i="55" s="1"/>
  <c r="W71" i="67"/>
  <c r="R71" i="67" s="1"/>
  <c r="AK71" i="67"/>
  <c r="S72" i="67"/>
  <c r="V26" i="51"/>
  <c r="Q26" i="51" s="1"/>
  <c r="F26" i="51" s="1"/>
  <c r="AI26" i="51"/>
  <c r="U26" i="51"/>
  <c r="P26" i="51" s="1"/>
  <c r="R27" i="51"/>
  <c r="AG29" i="50"/>
  <c r="AH29" i="50" s="1"/>
  <c r="Z29" i="50"/>
  <c r="AA29" i="50" s="1"/>
  <c r="J29" i="50" s="1"/>
  <c r="L29" i="50" s="1"/>
  <c r="Y30" i="50"/>
  <c r="D62" i="47"/>
  <c r="AY62" i="47"/>
  <c r="AP64" i="47"/>
  <c r="AR64" i="47"/>
  <c r="AT65" i="47" s="1"/>
  <c r="AI26" i="55"/>
  <c r="U26" i="55"/>
  <c r="P26" i="55" s="1"/>
  <c r="R27" i="55"/>
  <c r="V26" i="55"/>
  <c r="Q26" i="55" s="1"/>
  <c r="F26" i="55" s="1"/>
  <c r="AC31" i="41"/>
  <c r="AN31" i="41"/>
  <c r="AP31" i="41" s="1"/>
  <c r="AL31" i="41"/>
  <c r="AM31" i="41" s="1"/>
  <c r="AK27" i="1"/>
  <c r="AJ27" i="1"/>
  <c r="Q28" i="57"/>
  <c r="L34" i="57"/>
  <c r="M36" i="1"/>
  <c r="O35" i="1"/>
  <c r="S35" i="1"/>
  <c r="T35" i="1" s="1"/>
  <c r="Y35" i="1"/>
  <c r="AG35" i="1" s="1"/>
  <c r="AH35" i="1" s="1"/>
  <c r="I35" i="1"/>
  <c r="F31" i="41"/>
  <c r="P84" i="68"/>
  <c r="T84" i="68"/>
  <c r="U84" i="68" s="1"/>
  <c r="N85" i="68"/>
  <c r="J84" i="68"/>
  <c r="AM73" i="68"/>
  <c r="AL73" i="68"/>
  <c r="AD67" i="59"/>
  <c r="M38" i="48"/>
  <c r="Y37" i="48"/>
  <c r="Z37" i="48" s="1"/>
  <c r="AA37" i="48" s="1"/>
  <c r="J37" i="48" s="1"/>
  <c r="O37" i="48"/>
  <c r="I37" i="48"/>
  <c r="S56" i="1"/>
  <c r="T56" i="1" s="1"/>
  <c r="S68" i="1"/>
  <c r="T68" i="1" s="1"/>
  <c r="S73" i="1"/>
  <c r="T73" i="1" s="1"/>
  <c r="S60" i="1"/>
  <c r="T60" i="1" s="1"/>
  <c r="S52" i="1"/>
  <c r="T52" i="1" s="1"/>
  <c r="S33" i="1"/>
  <c r="T33" i="1" s="1"/>
  <c r="S66" i="1"/>
  <c r="T66" i="1" s="1"/>
  <c r="AI33" i="26"/>
  <c r="AL33" i="26" s="1"/>
  <c r="K33" i="26" s="1"/>
  <c r="Z34" i="1"/>
  <c r="AA34" i="1" s="1"/>
  <c r="J34" i="1" s="1"/>
  <c r="L34" i="1" s="1"/>
  <c r="AQ30" i="41"/>
  <c r="AS31" i="41" s="1"/>
  <c r="AO30" i="41"/>
  <c r="M34" i="45"/>
  <c r="O33" i="45"/>
  <c r="I33" i="45"/>
  <c r="M41" i="3"/>
  <c r="O40" i="3"/>
  <c r="I40" i="3"/>
  <c r="BF34" i="26"/>
  <c r="S34" i="26"/>
  <c r="T34" i="26" s="1"/>
  <c r="U34" i="26" s="1"/>
  <c r="I34" i="26" s="1"/>
  <c r="M35" i="26"/>
  <c r="AA34" i="26"/>
  <c r="AB34" i="26" s="1"/>
  <c r="AC34" i="26" s="1"/>
  <c r="J34" i="26" s="1"/>
  <c r="O34" i="26"/>
  <c r="V32" i="41"/>
  <c r="M35" i="39"/>
  <c r="I34" i="39"/>
  <c r="O34" i="39"/>
  <c r="Y34" i="39"/>
  <c r="AG34" i="39" s="1"/>
  <c r="AH34" i="39" s="1"/>
  <c r="K34" i="39" s="1"/>
  <c r="C40" i="61"/>
  <c r="H27" i="41"/>
  <c r="L30" i="41"/>
  <c r="AC73" i="68"/>
  <c r="S75" i="68"/>
  <c r="W75" i="68" s="1"/>
  <c r="AK74" i="68"/>
  <c r="AL74" i="68" s="1"/>
  <c r="AE74" i="68" s="1"/>
  <c r="AC66" i="47"/>
  <c r="AG34" i="57"/>
  <c r="AH34" i="57" s="1"/>
  <c r="N70" i="59"/>
  <c r="T69" i="59"/>
  <c r="U69" i="59" s="1"/>
  <c r="Z69" i="59"/>
  <c r="P69" i="59"/>
  <c r="J69" i="59"/>
  <c r="M34" i="55"/>
  <c r="O33" i="55"/>
  <c r="S33" i="55"/>
  <c r="T33" i="55" s="1"/>
  <c r="Y33" i="55"/>
  <c r="AG33" i="55" s="1"/>
  <c r="AH33" i="55" s="1"/>
  <c r="I33" i="55"/>
  <c r="P28" i="57"/>
  <c r="B45" i="61"/>
  <c r="S57" i="1"/>
  <c r="T57" i="1" s="1"/>
  <c r="S58" i="1"/>
  <c r="T58" i="1" s="1"/>
  <c r="S63" i="1"/>
  <c r="T63" i="1" s="1"/>
  <c r="S53" i="1"/>
  <c r="T53" i="1" s="1"/>
  <c r="S51" i="1"/>
  <c r="T51" i="1" s="1"/>
  <c r="P31" i="41"/>
  <c r="S35" i="57"/>
  <c r="T35" i="57" s="1"/>
  <c r="I35" i="57" s="1"/>
  <c r="O35" i="57"/>
  <c r="M36" i="57"/>
  <c r="Y35" i="57"/>
  <c r="AG35" i="57" s="1"/>
  <c r="AH35" i="57" s="1"/>
  <c r="M34" i="52"/>
  <c r="O33" i="52"/>
  <c r="I33" i="52"/>
  <c r="Y33" i="52"/>
  <c r="AG33" i="52" s="1"/>
  <c r="AH33" i="52" s="1"/>
  <c r="AI34" i="26"/>
  <c r="AL34" i="26" s="1"/>
  <c r="K34" i="26" s="1"/>
  <c r="AB31" i="41"/>
  <c r="AI32" i="41"/>
  <c r="AJ32" i="41" s="1"/>
  <c r="AC32" i="41" s="1"/>
  <c r="R33" i="41"/>
  <c r="V33" i="41" s="1"/>
  <c r="Q33" i="41" s="1"/>
  <c r="F33" i="41" s="1"/>
  <c r="U33" i="41"/>
  <c r="P33" i="41" s="1"/>
  <c r="A72" i="61"/>
  <c r="B71" i="61"/>
  <c r="Z33" i="39"/>
  <c r="AA33" i="39" s="1"/>
  <c r="J33" i="39" s="1"/>
  <c r="L33" i="39" s="1"/>
  <c r="Z32" i="52"/>
  <c r="AA32" i="52" s="1"/>
  <c r="J32" i="52" s="1"/>
  <c r="L32" i="52" s="1"/>
  <c r="Y31" i="41"/>
  <c r="AG31" i="41" s="1"/>
  <c r="AH31" i="41" s="1"/>
  <c r="M32" i="41"/>
  <c r="O31" i="41"/>
  <c r="B31" i="41" s="1"/>
  <c r="J31" i="41"/>
  <c r="S31" i="41"/>
  <c r="T31" i="41" s="1"/>
  <c r="K31" i="41"/>
  <c r="Q73" i="68"/>
  <c r="AK31" i="41"/>
  <c r="M69" i="47"/>
  <c r="Y68" i="47"/>
  <c r="AH68" i="47" s="1"/>
  <c r="AI68" i="47" s="1"/>
  <c r="S68" i="47"/>
  <c r="T68" i="47" s="1"/>
  <c r="I68" i="47" s="1"/>
  <c r="O68" i="47"/>
  <c r="M36" i="46"/>
  <c r="I36" i="46" s="1"/>
  <c r="O35" i="46"/>
  <c r="I35" i="46"/>
  <c r="Z30" i="41"/>
  <c r="AA30" i="41" s="1"/>
  <c r="S69" i="1"/>
  <c r="T69" i="1" s="1"/>
  <c r="S65" i="1"/>
  <c r="T65" i="1" s="1"/>
  <c r="S62" i="1"/>
  <c r="T62" i="1" s="1"/>
  <c r="S64" i="1"/>
  <c r="T64" i="1" s="1"/>
  <c r="S54" i="1"/>
  <c r="T54" i="1" s="1"/>
  <c r="S59" i="1"/>
  <c r="T59" i="1" s="1"/>
  <c r="B29" i="3"/>
  <c r="AN29" i="3"/>
  <c r="AP29" i="3" s="1"/>
  <c r="AL29" i="3"/>
  <c r="AM29" i="3" s="1"/>
  <c r="Z31" i="51"/>
  <c r="AA31" i="51" s="1"/>
  <c r="J31" i="51" s="1"/>
  <c r="L31" i="51" s="1"/>
  <c r="H26" i="57"/>
  <c r="AI68" i="59"/>
  <c r="AJ68" i="59" s="1"/>
  <c r="AB28" i="57"/>
  <c r="AI29" i="57"/>
  <c r="R30" i="57"/>
  <c r="V30" i="57" s="1"/>
  <c r="Q30" i="57" s="1"/>
  <c r="F30" i="57" s="1"/>
  <c r="H30" i="57" s="1"/>
  <c r="AD78" i="68"/>
  <c r="Z80" i="68"/>
  <c r="AA80" i="68" s="1"/>
  <c r="AB80" i="68" s="1"/>
  <c r="K80" i="68" s="1"/>
  <c r="AQ28" i="51"/>
  <c r="AS29" i="51" s="1"/>
  <c r="C70" i="61"/>
  <c r="E70" i="61"/>
  <c r="D70" i="61"/>
  <c r="AG32" i="52"/>
  <c r="AH32" i="52" s="1"/>
  <c r="R73" i="68"/>
  <c r="G73" i="68" s="1"/>
  <c r="L67" i="47"/>
  <c r="M33" i="51"/>
  <c r="Y32" i="51"/>
  <c r="S32" i="51"/>
  <c r="T32" i="51" s="1"/>
  <c r="O32" i="51"/>
  <c r="I32" i="51"/>
  <c r="AG30" i="41"/>
  <c r="AH30" i="41" s="1"/>
  <c r="S70" i="1"/>
  <c r="T70" i="1" s="1"/>
  <c r="S67" i="1"/>
  <c r="T67" i="1" s="1"/>
  <c r="S32" i="1"/>
  <c r="T32" i="1" s="1"/>
  <c r="AG31" i="51"/>
  <c r="AH31" i="51" s="1"/>
  <c r="AA68" i="59"/>
  <c r="AB68" i="59" s="1"/>
  <c r="K68" i="59" s="1"/>
  <c r="M68" i="59" s="1"/>
  <c r="AK29" i="57"/>
  <c r="AJ29" i="57"/>
  <c r="AC29" i="57" s="1"/>
  <c r="M33" i="50"/>
  <c r="O32" i="50"/>
  <c r="I32" i="50"/>
  <c r="L31" i="41" l="1"/>
  <c r="AK32" i="41"/>
  <c r="AD32" i="41" s="1"/>
  <c r="G32" i="41" s="1"/>
  <c r="AG37" i="48"/>
  <c r="AH37" i="48" s="1"/>
  <c r="AQ77" i="68"/>
  <c r="AS77" i="68"/>
  <c r="AU78" i="68" s="1"/>
  <c r="U30" i="57"/>
  <c r="P30" i="57" s="1"/>
  <c r="AP78" i="68"/>
  <c r="AR78" i="68" s="1"/>
  <c r="B78" i="68"/>
  <c r="AN78" i="68"/>
  <c r="AO78" i="68" s="1"/>
  <c r="AD75" i="67"/>
  <c r="AA76" i="67"/>
  <c r="AB76" i="67" s="1"/>
  <c r="K76" i="67" s="1"/>
  <c r="N78" i="67"/>
  <c r="Z77" i="67"/>
  <c r="AI77" i="67" s="1"/>
  <c r="AJ77" i="67" s="1"/>
  <c r="P77" i="67"/>
  <c r="J77" i="67"/>
  <c r="M77" i="67" s="1"/>
  <c r="T77" i="67"/>
  <c r="U77" i="67" s="1"/>
  <c r="AL32" i="57"/>
  <c r="AM32" i="57" s="1"/>
  <c r="AN32" i="57"/>
  <c r="AP32" i="57" s="1"/>
  <c r="B32" i="57"/>
  <c r="AO31" i="57"/>
  <c r="AQ31" i="57"/>
  <c r="AS32" i="57" s="1"/>
  <c r="AP65" i="60"/>
  <c r="AR65" i="60" s="1"/>
  <c r="AN74" i="67"/>
  <c r="AO74" i="67" s="1"/>
  <c r="AS74" i="67" s="1"/>
  <c r="AU75" i="67" s="1"/>
  <c r="AQ27" i="49"/>
  <c r="AS28" i="49" s="1"/>
  <c r="AP74" i="67"/>
  <c r="AR74" i="67" s="1"/>
  <c r="AQ28" i="3"/>
  <c r="AS29" i="3" s="1"/>
  <c r="AQ73" i="67"/>
  <c r="AQ29" i="49"/>
  <c r="AS30" i="49" s="1"/>
  <c r="R27" i="49"/>
  <c r="U27" i="49" s="1"/>
  <c r="P27" i="49" s="1"/>
  <c r="AN28" i="46"/>
  <c r="AP28" i="46" s="1"/>
  <c r="AQ28" i="46" s="1"/>
  <c r="AS29" i="46" s="1"/>
  <c r="B28" i="46"/>
  <c r="AN29" i="46" s="1"/>
  <c r="AP29" i="46" s="1"/>
  <c r="AO27" i="48"/>
  <c r="S64" i="52"/>
  <c r="T64" i="52" s="1"/>
  <c r="H26" i="51"/>
  <c r="H26" i="55"/>
  <c r="H26" i="53"/>
  <c r="BH62" i="59"/>
  <c r="D32" i="53"/>
  <c r="D22" i="53" s="1"/>
  <c r="I62" i="60"/>
  <c r="D86" i="60"/>
  <c r="D58" i="60" s="1"/>
  <c r="Z31" i="45"/>
  <c r="AA31" i="45" s="1"/>
  <c r="J31" i="45" s="1"/>
  <c r="L31" i="45" s="1"/>
  <c r="AS64" i="60"/>
  <c r="AU65" i="60" s="1"/>
  <c r="AI67" i="60"/>
  <c r="AJ67" i="60" s="1"/>
  <c r="U26" i="48"/>
  <c r="P26" i="48" s="1"/>
  <c r="AI26" i="48"/>
  <c r="AJ26" i="48" s="1"/>
  <c r="AN65" i="60"/>
  <c r="AO65" i="60" s="1"/>
  <c r="AS65" i="60" s="1"/>
  <c r="AU66" i="60" s="1"/>
  <c r="B28" i="48"/>
  <c r="AL29" i="48" s="1"/>
  <c r="AM29" i="48" s="1"/>
  <c r="AN28" i="48"/>
  <c r="AP28" i="48" s="1"/>
  <c r="AQ28" i="48" s="1"/>
  <c r="AS29" i="48" s="1"/>
  <c r="R27" i="48"/>
  <c r="R28" i="48" s="1"/>
  <c r="V26" i="39"/>
  <c r="Q26" i="39" s="1"/>
  <c r="F26" i="39" s="1"/>
  <c r="D69" i="59"/>
  <c r="AO27" i="46"/>
  <c r="V72" i="67"/>
  <c r="Q72" i="67" s="1"/>
  <c r="R27" i="46"/>
  <c r="R28" i="46" s="1"/>
  <c r="V28" i="46" s="1"/>
  <c r="Q28" i="46" s="1"/>
  <c r="F28" i="46" s="1"/>
  <c r="H28" i="46" s="1"/>
  <c r="H26" i="46"/>
  <c r="AD66" i="60"/>
  <c r="AI26" i="46"/>
  <c r="AK26" i="46" s="1"/>
  <c r="AD26" i="46" s="1"/>
  <c r="Z68" i="60"/>
  <c r="AA68" i="60" s="1"/>
  <c r="AB68" i="60" s="1"/>
  <c r="K68" i="60" s="1"/>
  <c r="M68" i="60" s="1"/>
  <c r="U26" i="46"/>
  <c r="P26" i="46" s="1"/>
  <c r="D72" i="59"/>
  <c r="D97" i="59"/>
  <c r="T97" i="59" s="1"/>
  <c r="U97" i="59" s="1"/>
  <c r="AN75" i="67"/>
  <c r="AO75" i="67" s="1"/>
  <c r="AP75" i="67"/>
  <c r="AR75" i="67" s="1"/>
  <c r="B75" i="67"/>
  <c r="D67" i="59"/>
  <c r="D63" i="59"/>
  <c r="D93" i="59"/>
  <c r="T93" i="59" s="1"/>
  <c r="U93" i="59" s="1"/>
  <c r="Y35" i="46"/>
  <c r="AG35" i="46" s="1"/>
  <c r="AH35" i="46" s="1"/>
  <c r="AI26" i="39"/>
  <c r="AK26" i="39" s="1"/>
  <c r="AD26" i="39" s="1"/>
  <c r="G26" i="39" s="1"/>
  <c r="AG34" i="46"/>
  <c r="AH34" i="46" s="1"/>
  <c r="R27" i="39"/>
  <c r="AB26" i="39" s="1"/>
  <c r="D37" i="46"/>
  <c r="D38" i="46" s="1"/>
  <c r="D88" i="59"/>
  <c r="T88" i="59" s="1"/>
  <c r="U88" i="59" s="1"/>
  <c r="D92" i="59"/>
  <c r="T92" i="59" s="1"/>
  <c r="U92" i="59" s="1"/>
  <c r="Y32" i="45"/>
  <c r="AO28" i="51"/>
  <c r="D87" i="59"/>
  <c r="T87" i="59" s="1"/>
  <c r="U87" i="59" s="1"/>
  <c r="D74" i="59"/>
  <c r="D75" i="59"/>
  <c r="D82" i="59"/>
  <c r="D73" i="59"/>
  <c r="D77" i="59"/>
  <c r="S63" i="59"/>
  <c r="W63" i="59" s="1"/>
  <c r="D80" i="59"/>
  <c r="D90" i="59"/>
  <c r="T90" i="59" s="1"/>
  <c r="U90" i="59" s="1"/>
  <c r="D83" i="59"/>
  <c r="D96" i="59"/>
  <c r="T96" i="59" s="1"/>
  <c r="U96" i="59" s="1"/>
  <c r="D68" i="59"/>
  <c r="D64" i="59"/>
  <c r="D95" i="59"/>
  <c r="T95" i="59" s="1"/>
  <c r="U95" i="59" s="1"/>
  <c r="D79" i="59"/>
  <c r="I62" i="59"/>
  <c r="D81" i="59"/>
  <c r="D71" i="59"/>
  <c r="D94" i="59"/>
  <c r="T94" i="59" s="1"/>
  <c r="U94" i="59" s="1"/>
  <c r="D78" i="59"/>
  <c r="D76" i="59"/>
  <c r="D70" i="59"/>
  <c r="D65" i="59"/>
  <c r="D91" i="59"/>
  <c r="T91" i="59" s="1"/>
  <c r="U91" i="59" s="1"/>
  <c r="D66" i="59"/>
  <c r="D89" i="59"/>
  <c r="T89" i="59" s="1"/>
  <c r="U89" i="59" s="1"/>
  <c r="AO28" i="3"/>
  <c r="AO28" i="1"/>
  <c r="B29" i="51"/>
  <c r="B30" i="51" s="1"/>
  <c r="AN29" i="51"/>
  <c r="AP29" i="51" s="1"/>
  <c r="AQ29" i="51" s="1"/>
  <c r="AS30" i="51" s="1"/>
  <c r="Y32" i="49"/>
  <c r="AG31" i="49"/>
  <c r="AH31" i="49" s="1"/>
  <c r="Z31" i="49"/>
  <c r="AA31" i="49" s="1"/>
  <c r="J31" i="49" s="1"/>
  <c r="L31" i="49" s="1"/>
  <c r="B30" i="45"/>
  <c r="B31" i="45" s="1"/>
  <c r="AN30" i="45"/>
  <c r="AP30" i="45" s="1"/>
  <c r="AQ30" i="45" s="1"/>
  <c r="AS31" i="45" s="1"/>
  <c r="AO29" i="45"/>
  <c r="AP65" i="59"/>
  <c r="AR65" i="59" s="1"/>
  <c r="AQ29" i="45"/>
  <c r="AS30" i="45" s="1"/>
  <c r="AN65" i="59"/>
  <c r="AO65" i="59" s="1"/>
  <c r="AQ64" i="59"/>
  <c r="AO29" i="49"/>
  <c r="AR65" i="47"/>
  <c r="AT66" i="47" s="1"/>
  <c r="U26" i="49"/>
  <c r="P26" i="49" s="1"/>
  <c r="AO27" i="39"/>
  <c r="AO27" i="49"/>
  <c r="B28" i="39"/>
  <c r="AN28" i="39"/>
  <c r="AP28" i="39" s="1"/>
  <c r="AL28" i="39"/>
  <c r="AM28" i="39" s="1"/>
  <c r="AQ28" i="49"/>
  <c r="AS29" i="49" s="1"/>
  <c r="AO28" i="49"/>
  <c r="AQ28" i="45"/>
  <c r="AS29" i="45" s="1"/>
  <c r="AO28" i="45"/>
  <c r="Y35" i="3"/>
  <c r="Z35" i="3" s="1"/>
  <c r="AA35" i="3" s="1"/>
  <c r="J35" i="3" s="1"/>
  <c r="B29" i="1"/>
  <c r="B30" i="1" s="1"/>
  <c r="AL29" i="1"/>
  <c r="AM29" i="1" s="1"/>
  <c r="AO29" i="1" s="1"/>
  <c r="Z34" i="3"/>
  <c r="AA34" i="3" s="1"/>
  <c r="J34" i="3" s="1"/>
  <c r="L34" i="3" s="1"/>
  <c r="AI26" i="3"/>
  <c r="U26" i="3"/>
  <c r="P26" i="3" s="1"/>
  <c r="R27" i="3"/>
  <c r="V26" i="3"/>
  <c r="Q26" i="3" s="1"/>
  <c r="F26" i="3" s="1"/>
  <c r="G71" i="67"/>
  <c r="V26" i="49"/>
  <c r="Q26" i="49" s="1"/>
  <c r="F26" i="49" s="1"/>
  <c r="Q27" i="1"/>
  <c r="F27" i="1" s="1"/>
  <c r="AB27" i="1"/>
  <c r="AI26" i="49"/>
  <c r="AK26" i="49" s="1"/>
  <c r="AD26" i="49" s="1"/>
  <c r="D61" i="49"/>
  <c r="S61" i="49" s="1"/>
  <c r="T61" i="49" s="1"/>
  <c r="R29" i="1"/>
  <c r="V29" i="1" s="1"/>
  <c r="R27" i="45"/>
  <c r="V27" i="45" s="1"/>
  <c r="Q27" i="45" s="1"/>
  <c r="F27" i="45" s="1"/>
  <c r="H27" i="45" s="1"/>
  <c r="AI28" i="1"/>
  <c r="AJ28" i="1" s="1"/>
  <c r="AC28" i="1" s="1"/>
  <c r="AO28" i="55"/>
  <c r="V28" i="1"/>
  <c r="AN29" i="55"/>
  <c r="AP29" i="55" s="1"/>
  <c r="AQ29" i="55" s="1"/>
  <c r="AS30" i="55" s="1"/>
  <c r="AO28" i="54"/>
  <c r="AQ28" i="54" s="1"/>
  <c r="AM28" i="54"/>
  <c r="AN28" i="54" s="1"/>
  <c r="B28" i="54"/>
  <c r="D28" i="54"/>
  <c r="S28" i="54" s="1"/>
  <c r="T28" i="54" s="1"/>
  <c r="R26" i="54"/>
  <c r="D27" i="54"/>
  <c r="S27" i="54" s="1"/>
  <c r="T27" i="54" s="1"/>
  <c r="H25" i="54"/>
  <c r="D30" i="54"/>
  <c r="S30" i="54" s="1"/>
  <c r="T30" i="54" s="1"/>
  <c r="D26" i="54"/>
  <c r="D29" i="54"/>
  <c r="S29" i="54" s="1"/>
  <c r="T29" i="54" s="1"/>
  <c r="AR27" i="54"/>
  <c r="AT28" i="54" s="1"/>
  <c r="AP27" i="54"/>
  <c r="AH28" i="54"/>
  <c r="AI28" i="54" s="1"/>
  <c r="Y29" i="54"/>
  <c r="AC27" i="54"/>
  <c r="AM66" i="47"/>
  <c r="AN66" i="47" s="1"/>
  <c r="B67" i="47"/>
  <c r="AM68" i="47" s="1"/>
  <c r="AN68" i="47" s="1"/>
  <c r="Z29" i="53"/>
  <c r="AA29" i="53" s="1"/>
  <c r="J29" i="53" s="1"/>
  <c r="L29" i="53" s="1"/>
  <c r="AC28" i="53"/>
  <c r="Y30" i="53"/>
  <c r="AH29" i="53"/>
  <c r="AI29" i="53" s="1"/>
  <c r="V27" i="53"/>
  <c r="Q27" i="53" s="1"/>
  <c r="F27" i="53" s="1"/>
  <c r="H27" i="53" s="1"/>
  <c r="AB26" i="53"/>
  <c r="R28" i="53"/>
  <c r="U28" i="53" s="1"/>
  <c r="P28" i="53" s="1"/>
  <c r="AJ27" i="53"/>
  <c r="AL27" i="53" s="1"/>
  <c r="AE27" i="53" s="1"/>
  <c r="R27" i="50"/>
  <c r="AB26" i="50" s="1"/>
  <c r="AR28" i="53"/>
  <c r="AT29" i="53" s="1"/>
  <c r="AP28" i="53"/>
  <c r="AO67" i="47"/>
  <c r="AQ67" i="47" s="1"/>
  <c r="AR67" i="47" s="1"/>
  <c r="AT68" i="47" s="1"/>
  <c r="AM29" i="53"/>
  <c r="AN29" i="53" s="1"/>
  <c r="B29" i="53"/>
  <c r="AO29" i="53"/>
  <c r="AQ29" i="53" s="1"/>
  <c r="AK26" i="53"/>
  <c r="AD26" i="53" s="1"/>
  <c r="AL26" i="53"/>
  <c r="AE26" i="53" s="1"/>
  <c r="B29" i="55"/>
  <c r="AL30" i="55" s="1"/>
  <c r="AM30" i="55" s="1"/>
  <c r="AO28" i="50"/>
  <c r="AL29" i="50"/>
  <c r="AM29" i="50" s="1"/>
  <c r="H26" i="50"/>
  <c r="AO27" i="50"/>
  <c r="AN29" i="50"/>
  <c r="AP29" i="50" s="1"/>
  <c r="AQ27" i="50"/>
  <c r="AS28" i="50" s="1"/>
  <c r="V26" i="45"/>
  <c r="Q26" i="45" s="1"/>
  <c r="F26" i="45" s="1"/>
  <c r="AI26" i="45"/>
  <c r="AK26" i="45" s="1"/>
  <c r="AD26" i="45" s="1"/>
  <c r="U26" i="45"/>
  <c r="P26" i="45" s="1"/>
  <c r="AO66" i="47"/>
  <c r="AQ66" i="47" s="1"/>
  <c r="D37" i="45"/>
  <c r="D38" i="45" s="1"/>
  <c r="T85" i="60"/>
  <c r="U85" i="60" s="1"/>
  <c r="AI26" i="50"/>
  <c r="U26" i="50"/>
  <c r="P26" i="50" s="1"/>
  <c r="V28" i="26"/>
  <c r="P28" i="26" s="1"/>
  <c r="Z35" i="1"/>
  <c r="AA35" i="1" s="1"/>
  <c r="J35" i="1" s="1"/>
  <c r="L35" i="1" s="1"/>
  <c r="W63" i="60"/>
  <c r="R63" i="60" s="1"/>
  <c r="G63" i="60" s="1"/>
  <c r="I63" i="60" s="1"/>
  <c r="Z33" i="55"/>
  <c r="AA33" i="55" s="1"/>
  <c r="J33" i="55" s="1"/>
  <c r="L33" i="55" s="1"/>
  <c r="AQ30" i="26"/>
  <c r="AR30" i="26" s="1"/>
  <c r="B30" i="26"/>
  <c r="AS30" i="26"/>
  <c r="AU30" i="26" s="1"/>
  <c r="AO27" i="26"/>
  <c r="AF27" i="26" s="1"/>
  <c r="AP27" i="26"/>
  <c r="AG27" i="26" s="1"/>
  <c r="G27" i="26" s="1"/>
  <c r="AQ27" i="52"/>
  <c r="AS28" i="52" s="1"/>
  <c r="AO27" i="52"/>
  <c r="AV29" i="26"/>
  <c r="AX30" i="26" s="1"/>
  <c r="AT29" i="26"/>
  <c r="AJ26" i="52"/>
  <c r="AC26" i="52" s="1"/>
  <c r="AK26" i="52"/>
  <c r="AD26" i="52" s="1"/>
  <c r="AN28" i="26"/>
  <c r="AP28" i="26" s="1"/>
  <c r="AG28" i="26" s="1"/>
  <c r="G28" i="26" s="1"/>
  <c r="AY28" i="26"/>
  <c r="D28" i="26" s="1"/>
  <c r="R29" i="26" s="1"/>
  <c r="AE27" i="26"/>
  <c r="AL28" i="52"/>
  <c r="AM28" i="52" s="1"/>
  <c r="B28" i="52"/>
  <c r="AN28" i="52"/>
  <c r="AP28" i="52" s="1"/>
  <c r="B66" i="60"/>
  <c r="AN66" i="60"/>
  <c r="AO66" i="60" s="1"/>
  <c r="AP66" i="60"/>
  <c r="AR66" i="60" s="1"/>
  <c r="AM62" i="60"/>
  <c r="AF62" i="60" s="1"/>
  <c r="AL62" i="60"/>
  <c r="AE62" i="60" s="1"/>
  <c r="V27" i="52"/>
  <c r="Q27" i="52" s="1"/>
  <c r="F27" i="52" s="1"/>
  <c r="H27" i="52" s="1"/>
  <c r="R28" i="52"/>
  <c r="AI27" i="52"/>
  <c r="U27" i="52"/>
  <c r="P27" i="52" s="1"/>
  <c r="AB26" i="52"/>
  <c r="AK63" i="60"/>
  <c r="S64" i="60"/>
  <c r="W64" i="60" s="1"/>
  <c r="R64" i="60" s="1"/>
  <c r="G64" i="60" s="1"/>
  <c r="I64" i="60" s="1"/>
  <c r="AC62" i="60"/>
  <c r="Z34" i="39"/>
  <c r="AA34" i="39" s="1"/>
  <c r="J34" i="39" s="1"/>
  <c r="L34" i="39" s="1"/>
  <c r="AL31" i="49"/>
  <c r="AM31" i="49" s="1"/>
  <c r="AN31" i="49"/>
  <c r="AP31" i="49" s="1"/>
  <c r="B31" i="49"/>
  <c r="AO30" i="49"/>
  <c r="AQ30" i="49"/>
  <c r="AS31" i="49" s="1"/>
  <c r="B66" i="59"/>
  <c r="AN66" i="59"/>
  <c r="AO66" i="59" s="1"/>
  <c r="AP66" i="59"/>
  <c r="AR66" i="59" s="1"/>
  <c r="W72" i="67"/>
  <c r="R72" i="67" s="1"/>
  <c r="U27" i="51"/>
  <c r="P27" i="51" s="1"/>
  <c r="V27" i="51"/>
  <c r="Q27" i="51" s="1"/>
  <c r="F27" i="51" s="1"/>
  <c r="AB26" i="51"/>
  <c r="AI27" i="51"/>
  <c r="AJ27" i="51" s="1"/>
  <c r="AC27" i="51" s="1"/>
  <c r="R28" i="51"/>
  <c r="U28" i="51" s="1"/>
  <c r="P28" i="51" s="1"/>
  <c r="R28" i="55"/>
  <c r="V28" i="55" s="1"/>
  <c r="Q28" i="55" s="1"/>
  <c r="F28" i="55" s="1"/>
  <c r="H28" i="55" s="1"/>
  <c r="AB26" i="55"/>
  <c r="AI27" i="55"/>
  <c r="AK27" i="55" s="1"/>
  <c r="AD27" i="55" s="1"/>
  <c r="Z30" i="50"/>
  <c r="AA30" i="50" s="1"/>
  <c r="J30" i="50" s="1"/>
  <c r="L30" i="50" s="1"/>
  <c r="AG30" i="50"/>
  <c r="AH30" i="50" s="1"/>
  <c r="Y31" i="50"/>
  <c r="AG31" i="50" s="1"/>
  <c r="AH31" i="50" s="1"/>
  <c r="B30" i="50"/>
  <c r="AN30" i="50"/>
  <c r="AP30" i="50" s="1"/>
  <c r="AL30" i="50"/>
  <c r="AM30" i="50" s="1"/>
  <c r="AM71" i="67"/>
  <c r="AF71" i="67" s="1"/>
  <c r="AL71" i="67"/>
  <c r="AE71" i="67" s="1"/>
  <c r="V27" i="55"/>
  <c r="Q27" i="55" s="1"/>
  <c r="F27" i="55" s="1"/>
  <c r="H27" i="55" s="1"/>
  <c r="BG62" i="47"/>
  <c r="H62" i="47"/>
  <c r="D88" i="47"/>
  <c r="S88" i="47" s="1"/>
  <c r="T88" i="47" s="1"/>
  <c r="D109" i="47"/>
  <c r="S109" i="47" s="1"/>
  <c r="T109" i="47" s="1"/>
  <c r="D75" i="47"/>
  <c r="D98" i="47"/>
  <c r="S98" i="47" s="1"/>
  <c r="T98" i="47" s="1"/>
  <c r="D105" i="47"/>
  <c r="S105" i="47" s="1"/>
  <c r="T105" i="47" s="1"/>
  <c r="D116" i="47"/>
  <c r="S116" i="47" s="1"/>
  <c r="T116" i="47" s="1"/>
  <c r="D92" i="47"/>
  <c r="S92" i="47" s="1"/>
  <c r="T92" i="47" s="1"/>
  <c r="D97" i="47"/>
  <c r="S97" i="47" s="1"/>
  <c r="T97" i="47" s="1"/>
  <c r="D119" i="47"/>
  <c r="S119" i="47" s="1"/>
  <c r="T119" i="47" s="1"/>
  <c r="D120" i="47"/>
  <c r="S120" i="47" s="1"/>
  <c r="T120" i="47" s="1"/>
  <c r="D69" i="47"/>
  <c r="R63" i="47"/>
  <c r="D99" i="47"/>
  <c r="S99" i="47" s="1"/>
  <c r="T99" i="47" s="1"/>
  <c r="D76" i="47"/>
  <c r="D74" i="47"/>
  <c r="D102" i="47"/>
  <c r="S102" i="47" s="1"/>
  <c r="T102" i="47" s="1"/>
  <c r="D82" i="47"/>
  <c r="D66" i="47"/>
  <c r="D106" i="47"/>
  <c r="S106" i="47" s="1"/>
  <c r="T106" i="47" s="1"/>
  <c r="D83" i="47"/>
  <c r="D73" i="47"/>
  <c r="D103" i="47"/>
  <c r="S103" i="47" s="1"/>
  <c r="T103" i="47" s="1"/>
  <c r="D108" i="47"/>
  <c r="S108" i="47" s="1"/>
  <c r="T108" i="47" s="1"/>
  <c r="D80" i="47"/>
  <c r="D65" i="47"/>
  <c r="D87" i="47"/>
  <c r="S87" i="47" s="1"/>
  <c r="T87" i="47" s="1"/>
  <c r="D91" i="47"/>
  <c r="S91" i="47" s="1"/>
  <c r="T91" i="47" s="1"/>
  <c r="D100" i="47"/>
  <c r="S100" i="47" s="1"/>
  <c r="T100" i="47" s="1"/>
  <c r="D68" i="47"/>
  <c r="D110" i="47"/>
  <c r="S110" i="47" s="1"/>
  <c r="T110" i="47" s="1"/>
  <c r="D121" i="47"/>
  <c r="S121" i="47" s="1"/>
  <c r="T121" i="47" s="1"/>
  <c r="D93" i="47"/>
  <c r="S93" i="47" s="1"/>
  <c r="T93" i="47" s="1"/>
  <c r="D117" i="47"/>
  <c r="S117" i="47" s="1"/>
  <c r="T117" i="47" s="1"/>
  <c r="D81" i="47"/>
  <c r="D94" i="47"/>
  <c r="S94" i="47" s="1"/>
  <c r="T94" i="47" s="1"/>
  <c r="D78" i="47"/>
  <c r="D70" i="47"/>
  <c r="D104" i="47"/>
  <c r="S104" i="47" s="1"/>
  <c r="T104" i="47" s="1"/>
  <c r="D90" i="47"/>
  <c r="S90" i="47" s="1"/>
  <c r="T90" i="47" s="1"/>
  <c r="D95" i="47"/>
  <c r="S95" i="47" s="1"/>
  <c r="T95" i="47" s="1"/>
  <c r="D79" i="47"/>
  <c r="D107" i="47"/>
  <c r="S107" i="47" s="1"/>
  <c r="T107" i="47" s="1"/>
  <c r="D101" i="47"/>
  <c r="S101" i="47" s="1"/>
  <c r="T101" i="47" s="1"/>
  <c r="D111" i="47"/>
  <c r="S111" i="47" s="1"/>
  <c r="T111" i="47" s="1"/>
  <c r="D64" i="47"/>
  <c r="D89" i="47"/>
  <c r="S89" i="47" s="1"/>
  <c r="T89" i="47" s="1"/>
  <c r="D96" i="47"/>
  <c r="S96" i="47" s="1"/>
  <c r="T96" i="47" s="1"/>
  <c r="D72" i="47"/>
  <c r="D67" i="47"/>
  <c r="D77" i="47"/>
  <c r="D114" i="47"/>
  <c r="S114" i="47" s="1"/>
  <c r="T114" i="47" s="1"/>
  <c r="D71" i="47"/>
  <c r="D112" i="47"/>
  <c r="S112" i="47" s="1"/>
  <c r="T112" i="47" s="1"/>
  <c r="D115" i="47"/>
  <c r="S115" i="47" s="1"/>
  <c r="T115" i="47" s="1"/>
  <c r="D63" i="47"/>
  <c r="D113" i="47"/>
  <c r="S113" i="47" s="1"/>
  <c r="T113" i="47" s="1"/>
  <c r="D118" i="47"/>
  <c r="S118" i="47" s="1"/>
  <c r="T118" i="47" s="1"/>
  <c r="AJ26" i="51"/>
  <c r="AC26" i="51" s="1"/>
  <c r="AK26" i="51"/>
  <c r="AD26" i="51" s="1"/>
  <c r="U27" i="55"/>
  <c r="P27" i="55" s="1"/>
  <c r="AJ26" i="55"/>
  <c r="AC26" i="55" s="1"/>
  <c r="AK26" i="55"/>
  <c r="AD26" i="55" s="1"/>
  <c r="AK72" i="67"/>
  <c r="AM72" i="67" s="1"/>
  <c r="AF72" i="67" s="1"/>
  <c r="AC71" i="67"/>
  <c r="S73" i="67"/>
  <c r="M80" i="68"/>
  <c r="R75" i="68"/>
  <c r="G75" i="68" s="1"/>
  <c r="I75" i="68" s="1"/>
  <c r="AD29" i="57"/>
  <c r="I73" i="68"/>
  <c r="AI80" i="68"/>
  <c r="AJ80" i="68" s="1"/>
  <c r="AI30" i="57"/>
  <c r="R31" i="57"/>
  <c r="U31" i="57" s="1"/>
  <c r="P31" i="57" s="1"/>
  <c r="AB29" i="57"/>
  <c r="AN30" i="3"/>
  <c r="AP30" i="3" s="1"/>
  <c r="B30" i="3"/>
  <c r="AL30" i="3"/>
  <c r="AM30" i="3" s="1"/>
  <c r="M37" i="46"/>
  <c r="O36" i="46"/>
  <c r="S36" i="46"/>
  <c r="T36" i="46" s="1"/>
  <c r="R34" i="41"/>
  <c r="V34" i="41" s="1"/>
  <c r="AI33" i="41"/>
  <c r="AK33" i="41" s="1"/>
  <c r="AD33" i="41" s="1"/>
  <c r="G33" i="41" s="1"/>
  <c r="H33" i="41" s="1"/>
  <c r="AB32" i="41"/>
  <c r="S36" i="57"/>
  <c r="T36" i="57" s="1"/>
  <c r="I36" i="57" s="1"/>
  <c r="O36" i="57"/>
  <c r="M37" i="57"/>
  <c r="Y36" i="57"/>
  <c r="M35" i="55"/>
  <c r="O34" i="55"/>
  <c r="S34" i="55"/>
  <c r="T34" i="55" s="1"/>
  <c r="Y34" i="55"/>
  <c r="Z34" i="55" s="1"/>
  <c r="AA34" i="55" s="1"/>
  <c r="J34" i="55" s="1"/>
  <c r="I34" i="55"/>
  <c r="AD68" i="59"/>
  <c r="V75" i="68"/>
  <c r="AF73" i="68"/>
  <c r="M37" i="1"/>
  <c r="O36" i="1"/>
  <c r="S36" i="1"/>
  <c r="T36" i="1" s="1"/>
  <c r="Y36" i="1"/>
  <c r="AG36" i="1" s="1"/>
  <c r="AH36" i="1" s="1"/>
  <c r="I36" i="1"/>
  <c r="F28" i="57"/>
  <c r="A73" i="61"/>
  <c r="B72" i="61"/>
  <c r="M34" i="50"/>
  <c r="O33" i="50"/>
  <c r="S33" i="50"/>
  <c r="T33" i="50" s="1"/>
  <c r="I33" i="50"/>
  <c r="AJ30" i="57"/>
  <c r="AC30" i="57" s="1"/>
  <c r="AK30" i="57"/>
  <c r="AD30" i="57" s="1"/>
  <c r="AC67" i="47"/>
  <c r="AD31" i="41"/>
  <c r="AJ33" i="41"/>
  <c r="AC33" i="41" s="1"/>
  <c r="H26" i="52"/>
  <c r="B46" i="61"/>
  <c r="Z68" i="47"/>
  <c r="AA68" i="47" s="1"/>
  <c r="J68" i="47" s="1"/>
  <c r="L68" i="47" s="1"/>
  <c r="P28" i="1"/>
  <c r="Q28" i="1"/>
  <c r="F28" i="1" s="1"/>
  <c r="H28" i="1" s="1"/>
  <c r="M35" i="45"/>
  <c r="I34" i="45"/>
  <c r="S34" i="45"/>
  <c r="T34" i="45" s="1"/>
  <c r="O34" i="45"/>
  <c r="Q26" i="48"/>
  <c r="L37" i="48"/>
  <c r="M39" i="48"/>
  <c r="Y38" i="48"/>
  <c r="AG38" i="48" s="1"/>
  <c r="AH38" i="48" s="1"/>
  <c r="S38" i="48"/>
  <c r="T38" i="48" s="1"/>
  <c r="O38" i="48"/>
  <c r="I38" i="48"/>
  <c r="AI69" i="59"/>
  <c r="AJ69" i="59" s="1"/>
  <c r="Z32" i="51"/>
  <c r="AA32" i="51" s="1"/>
  <c r="J32" i="51" s="1"/>
  <c r="L32" i="51" s="1"/>
  <c r="Z31" i="41"/>
  <c r="AA31" i="41" s="1"/>
  <c r="N86" i="68"/>
  <c r="T85" i="68"/>
  <c r="U85" i="68" s="1"/>
  <c r="P85" i="68"/>
  <c r="J85" i="68"/>
  <c r="AC27" i="1"/>
  <c r="M34" i="51"/>
  <c r="Y33" i="51"/>
  <c r="Z33" i="51" s="1"/>
  <c r="AA33" i="51" s="1"/>
  <c r="J33" i="51" s="1"/>
  <c r="S33" i="51"/>
  <c r="T33" i="51" s="1"/>
  <c r="O33" i="51"/>
  <c r="I33" i="51"/>
  <c r="AO29" i="3"/>
  <c r="AQ29" i="3"/>
  <c r="AS30" i="3" s="1"/>
  <c r="M70" i="47"/>
  <c r="Y69" i="47"/>
  <c r="S69" i="47"/>
  <c r="T69" i="47" s="1"/>
  <c r="I69" i="47" s="1"/>
  <c r="O69" i="47"/>
  <c r="AN32" i="41"/>
  <c r="AP32" i="41" s="1"/>
  <c r="AL32" i="41"/>
  <c r="AM32" i="41" s="1"/>
  <c r="K32" i="41"/>
  <c r="M33" i="41"/>
  <c r="Y32" i="41"/>
  <c r="AG32" i="41" s="1"/>
  <c r="AH32" i="41" s="1"/>
  <c r="O32" i="41"/>
  <c r="B32" i="41" s="1"/>
  <c r="S32" i="41"/>
  <c r="T32" i="41" s="1"/>
  <c r="J32" i="41"/>
  <c r="E71" i="61"/>
  <c r="C71" i="61"/>
  <c r="D71" i="61"/>
  <c r="M35" i="52"/>
  <c r="O34" i="52"/>
  <c r="I34" i="52"/>
  <c r="Y34" i="52"/>
  <c r="AG34" i="52" s="1"/>
  <c r="AH34" i="52" s="1"/>
  <c r="S34" i="52"/>
  <c r="T34" i="52" s="1"/>
  <c r="Z70" i="59"/>
  <c r="T70" i="59"/>
  <c r="U70" i="59" s="1"/>
  <c r="J70" i="59" s="1"/>
  <c r="N71" i="59"/>
  <c r="P70" i="59"/>
  <c r="AC74" i="68"/>
  <c r="V76" i="68"/>
  <c r="Q76" i="68" s="1"/>
  <c r="S76" i="68"/>
  <c r="W76" i="68" s="1"/>
  <c r="R76" i="68" s="1"/>
  <c r="G76" i="68" s="1"/>
  <c r="I76" i="68" s="1"/>
  <c r="AK75" i="68"/>
  <c r="AM75" i="68" s="1"/>
  <c r="AF75" i="68" s="1"/>
  <c r="M36" i="39"/>
  <c r="I35" i="39"/>
  <c r="O35" i="39"/>
  <c r="S35" i="39"/>
  <c r="T35" i="39" s="1"/>
  <c r="Y35" i="39"/>
  <c r="Z35" i="39" s="1"/>
  <c r="AA35" i="39" s="1"/>
  <c r="J35" i="39" s="1"/>
  <c r="AA69" i="59"/>
  <c r="AB69" i="59" s="1"/>
  <c r="K69" i="59" s="1"/>
  <c r="M69" i="59" s="1"/>
  <c r="AG32" i="51"/>
  <c r="AH32" i="51" s="1"/>
  <c r="AE73" i="68"/>
  <c r="Z33" i="52"/>
  <c r="AA33" i="52" s="1"/>
  <c r="J33" i="52" s="1"/>
  <c r="L33" i="52" s="1"/>
  <c r="AD27" i="1"/>
  <c r="AD79" i="68"/>
  <c r="Z81" i="68"/>
  <c r="AI81" i="68" s="1"/>
  <c r="AJ81" i="68" s="1"/>
  <c r="Z32" i="41"/>
  <c r="AA32" i="41" s="1"/>
  <c r="AG36" i="57"/>
  <c r="AH36" i="57" s="1"/>
  <c r="Z36" i="57"/>
  <c r="AA36" i="57" s="1"/>
  <c r="J36" i="57" s="1"/>
  <c r="AL75" i="68"/>
  <c r="AE75" i="68" s="1"/>
  <c r="E40" i="61"/>
  <c r="L40" i="61"/>
  <c r="Q32" i="41"/>
  <c r="M36" i="26"/>
  <c r="S35" i="26"/>
  <c r="T35" i="26" s="1"/>
  <c r="U35" i="26" s="1"/>
  <c r="I35" i="26" s="1"/>
  <c r="BF35" i="26"/>
  <c r="AA35" i="26"/>
  <c r="O35" i="26"/>
  <c r="O41" i="3"/>
  <c r="M42" i="3"/>
  <c r="S41" i="3"/>
  <c r="T41" i="3" s="1"/>
  <c r="I41" i="3"/>
  <c r="Z35" i="57"/>
  <c r="AA35" i="57" s="1"/>
  <c r="J35" i="57" s="1"/>
  <c r="L35" i="57" s="1"/>
  <c r="AM74" i="68"/>
  <c r="AF74" i="68" s="1"/>
  <c r="AQ31" i="41"/>
  <c r="AS32" i="41" s="1"/>
  <c r="AO31" i="41"/>
  <c r="AN79" i="68" l="1"/>
  <c r="AO79" i="68" s="1"/>
  <c r="B79" i="68"/>
  <c r="AP79" i="68"/>
  <c r="AR79" i="68" s="1"/>
  <c r="AS78" i="68"/>
  <c r="AU79" i="68" s="1"/>
  <c r="AQ78" i="68"/>
  <c r="T78" i="67"/>
  <c r="U78" i="67" s="1"/>
  <c r="P78" i="67"/>
  <c r="Z78" i="67"/>
  <c r="N79" i="67"/>
  <c r="J78" i="67"/>
  <c r="M78" i="67" s="1"/>
  <c r="B33" i="57"/>
  <c r="AL33" i="57"/>
  <c r="AM33" i="57" s="1"/>
  <c r="AN33" i="57"/>
  <c r="AP33" i="57" s="1"/>
  <c r="AA81" i="68"/>
  <c r="AB81" i="68" s="1"/>
  <c r="K81" i="68" s="1"/>
  <c r="M81" i="68" s="1"/>
  <c r="L36" i="57"/>
  <c r="AO32" i="57"/>
  <c r="AQ32" i="57"/>
  <c r="AS33" i="57" s="1"/>
  <c r="AA77" i="67"/>
  <c r="AB77" i="67" s="1"/>
  <c r="K77" i="67" s="1"/>
  <c r="AD76" i="67"/>
  <c r="AI78" i="67"/>
  <c r="AJ78" i="67" s="1"/>
  <c r="V27" i="49"/>
  <c r="Q27" i="49" s="1"/>
  <c r="F27" i="49" s="1"/>
  <c r="H27" i="49" s="1"/>
  <c r="AQ74" i="67"/>
  <c r="AS65" i="59"/>
  <c r="AU66" i="59" s="1"/>
  <c r="AI27" i="49"/>
  <c r="AK27" i="49" s="1"/>
  <c r="AD27" i="49" s="1"/>
  <c r="R28" i="49"/>
  <c r="V28" i="49" s="1"/>
  <c r="Q28" i="49" s="1"/>
  <c r="F28" i="49" s="1"/>
  <c r="H28" i="49" s="1"/>
  <c r="B29" i="46"/>
  <c r="AL30" i="46" s="1"/>
  <c r="AM30" i="46" s="1"/>
  <c r="AB26" i="49"/>
  <c r="AQ29" i="50"/>
  <c r="AS30" i="50" s="1"/>
  <c r="AO28" i="46"/>
  <c r="AR66" i="47"/>
  <c r="AT67" i="47" s="1"/>
  <c r="AQ65" i="60"/>
  <c r="AL29" i="46"/>
  <c r="AM29" i="46" s="1"/>
  <c r="AQ29" i="46" s="1"/>
  <c r="AS30" i="46" s="1"/>
  <c r="AL30" i="51"/>
  <c r="AM30" i="51" s="1"/>
  <c r="H26" i="49"/>
  <c r="T86" i="60"/>
  <c r="U86" i="60" s="1"/>
  <c r="S32" i="53"/>
  <c r="T32" i="53" s="1"/>
  <c r="H26" i="45"/>
  <c r="D62" i="49"/>
  <c r="D22" i="49" s="1"/>
  <c r="D122" i="60"/>
  <c r="AI27" i="48"/>
  <c r="AJ27" i="48" s="1"/>
  <c r="AC27" i="48" s="1"/>
  <c r="AB26" i="48"/>
  <c r="AN30" i="51"/>
  <c r="AP30" i="51" s="1"/>
  <c r="AK26" i="48"/>
  <c r="AD26" i="48" s="1"/>
  <c r="I71" i="67"/>
  <c r="U27" i="48"/>
  <c r="P27" i="48" s="1"/>
  <c r="B29" i="48"/>
  <c r="AN30" i="48" s="1"/>
  <c r="AP30" i="48" s="1"/>
  <c r="AO28" i="48"/>
  <c r="V27" i="48"/>
  <c r="Q27" i="48" s="1"/>
  <c r="F27" i="48" s="1"/>
  <c r="H27" i="48" s="1"/>
  <c r="AK63" i="59"/>
  <c r="AM63" i="59" s="1"/>
  <c r="Z69" i="60"/>
  <c r="AI69" i="60" s="1"/>
  <c r="AJ69" i="60" s="1"/>
  <c r="AN29" i="48"/>
  <c r="AP29" i="48" s="1"/>
  <c r="AQ29" i="48" s="1"/>
  <c r="AS30" i="48" s="1"/>
  <c r="H26" i="39"/>
  <c r="AI68" i="60"/>
  <c r="AJ68" i="60" s="1"/>
  <c r="AB26" i="46"/>
  <c r="U27" i="46"/>
  <c r="P27" i="46" s="1"/>
  <c r="V27" i="46"/>
  <c r="Q27" i="46" s="1"/>
  <c r="F27" i="46" s="1"/>
  <c r="AD67" i="60"/>
  <c r="AI27" i="46"/>
  <c r="AK27" i="46" s="1"/>
  <c r="AD27" i="46" s="1"/>
  <c r="AJ26" i="49"/>
  <c r="AC26" i="49" s="1"/>
  <c r="V73" i="67"/>
  <c r="Q73" i="67" s="1"/>
  <c r="AI27" i="39"/>
  <c r="AK27" i="39" s="1"/>
  <c r="AD27" i="39" s="1"/>
  <c r="G27" i="39" s="1"/>
  <c r="AJ26" i="46"/>
  <c r="AC26" i="46" s="1"/>
  <c r="G72" i="67"/>
  <c r="I72" i="67" s="1"/>
  <c r="AN30" i="1"/>
  <c r="AP30" i="1" s="1"/>
  <c r="AJ26" i="39"/>
  <c r="AC26" i="39" s="1"/>
  <c r="AP76" i="67"/>
  <c r="AR76" i="67" s="1"/>
  <c r="B76" i="67"/>
  <c r="AN76" i="67"/>
  <c r="AO76" i="67" s="1"/>
  <c r="AS75" i="67"/>
  <c r="AU76" i="67" s="1"/>
  <c r="AQ75" i="67"/>
  <c r="V63" i="59"/>
  <c r="Q63" i="59" s="1"/>
  <c r="AO30" i="45"/>
  <c r="S64" i="59"/>
  <c r="V64" i="59" s="1"/>
  <c r="Q64" i="59" s="1"/>
  <c r="Z35" i="46"/>
  <c r="AA35" i="46" s="1"/>
  <c r="J35" i="46" s="1"/>
  <c r="L35" i="46" s="1"/>
  <c r="Y36" i="46"/>
  <c r="AI29" i="1"/>
  <c r="AJ29" i="1" s="1"/>
  <c r="AC29" i="1" s="1"/>
  <c r="AG35" i="3"/>
  <c r="AH35" i="3" s="1"/>
  <c r="K35" i="3" s="1"/>
  <c r="L35" i="3" s="1"/>
  <c r="AO29" i="51"/>
  <c r="U27" i="39"/>
  <c r="P27" i="39" s="1"/>
  <c r="V27" i="39"/>
  <c r="Q27" i="39" s="1"/>
  <c r="F27" i="39" s="1"/>
  <c r="R28" i="39"/>
  <c r="U28" i="39" s="1"/>
  <c r="P28" i="39" s="1"/>
  <c r="AL31" i="45"/>
  <c r="AM31" i="45" s="1"/>
  <c r="AN31" i="45"/>
  <c r="AP31" i="45" s="1"/>
  <c r="AG32" i="45"/>
  <c r="AH32" i="45" s="1"/>
  <c r="Z32" i="45"/>
  <c r="AA32" i="45" s="1"/>
  <c r="J32" i="45" s="1"/>
  <c r="L32" i="45" s="1"/>
  <c r="Y33" i="45"/>
  <c r="R30" i="1"/>
  <c r="U30" i="1" s="1"/>
  <c r="Q30" i="1" s="1"/>
  <c r="F30" i="1" s="1"/>
  <c r="H30" i="1" s="1"/>
  <c r="U29" i="1"/>
  <c r="P29" i="1" s="1"/>
  <c r="AB28" i="1"/>
  <c r="Y36" i="3"/>
  <c r="AG36" i="3" s="1"/>
  <c r="AH36" i="3" s="1"/>
  <c r="K36" i="3" s="1"/>
  <c r="AO29" i="55"/>
  <c r="AQ65" i="59"/>
  <c r="Y33" i="49"/>
  <c r="Z32" i="49"/>
  <c r="AA32" i="49" s="1"/>
  <c r="J32" i="49" s="1"/>
  <c r="L32" i="49" s="1"/>
  <c r="AG32" i="49"/>
  <c r="AH32" i="49" s="1"/>
  <c r="R28" i="45"/>
  <c r="V28" i="45" s="1"/>
  <c r="Q28" i="45" s="1"/>
  <c r="F28" i="45" s="1"/>
  <c r="H28" i="45" s="1"/>
  <c r="AI27" i="45"/>
  <c r="AK27" i="45" s="1"/>
  <c r="AD27" i="45" s="1"/>
  <c r="AQ29" i="1"/>
  <c r="AS30" i="1" s="1"/>
  <c r="AK28" i="1"/>
  <c r="AD28" i="1" s="1"/>
  <c r="AL30" i="1"/>
  <c r="AM30" i="1" s="1"/>
  <c r="AL29" i="39"/>
  <c r="AM29" i="39" s="1"/>
  <c r="B29" i="39"/>
  <c r="AN29" i="39"/>
  <c r="AP29" i="39" s="1"/>
  <c r="AO28" i="39"/>
  <c r="AQ28" i="39"/>
  <c r="AS29" i="39" s="1"/>
  <c r="AB26" i="45"/>
  <c r="V27" i="3"/>
  <c r="Q27" i="3" s="1"/>
  <c r="F27" i="3" s="1"/>
  <c r="AB26" i="3"/>
  <c r="U27" i="3"/>
  <c r="P27" i="3" s="1"/>
  <c r="AI27" i="3"/>
  <c r="R28" i="3"/>
  <c r="AK26" i="3"/>
  <c r="AD26" i="3" s="1"/>
  <c r="G26" i="3" s="1"/>
  <c r="AJ26" i="3"/>
  <c r="AC26" i="3" s="1"/>
  <c r="U27" i="45"/>
  <c r="P27" i="45" s="1"/>
  <c r="AP66" i="47"/>
  <c r="AN30" i="55"/>
  <c r="AP30" i="55" s="1"/>
  <c r="AQ30" i="55" s="1"/>
  <c r="AS31" i="55" s="1"/>
  <c r="AO29" i="50"/>
  <c r="AO68" i="47"/>
  <c r="AQ68" i="47" s="1"/>
  <c r="AR68" i="47" s="1"/>
  <c r="AT69" i="47" s="1"/>
  <c r="V27" i="50"/>
  <c r="Q27" i="50" s="1"/>
  <c r="F27" i="50" s="1"/>
  <c r="B30" i="55"/>
  <c r="B31" i="55" s="1"/>
  <c r="R28" i="50"/>
  <c r="V28" i="50" s="1"/>
  <c r="Q28" i="50" s="1"/>
  <c r="F28" i="50" s="1"/>
  <c r="H28" i="50" s="1"/>
  <c r="AK27" i="53"/>
  <c r="AD27" i="53" s="1"/>
  <c r="B68" i="47"/>
  <c r="AM69" i="47" s="1"/>
  <c r="AN69" i="47" s="1"/>
  <c r="AH29" i="54"/>
  <c r="AI29" i="54" s="1"/>
  <c r="AC28" i="54"/>
  <c r="Y30" i="54"/>
  <c r="D31" i="54"/>
  <c r="S31" i="54" s="1"/>
  <c r="T31" i="54" s="1"/>
  <c r="B29" i="54"/>
  <c r="AM29" i="54"/>
  <c r="AN29" i="54" s="1"/>
  <c r="AO29" i="54"/>
  <c r="AQ29" i="54" s="1"/>
  <c r="AR28" i="54"/>
  <c r="AT29" i="54" s="1"/>
  <c r="AP28" i="54"/>
  <c r="Z29" i="54"/>
  <c r="AA29" i="54" s="1"/>
  <c r="J29" i="54" s="1"/>
  <c r="L29" i="54" s="1"/>
  <c r="S26" i="54"/>
  <c r="T26" i="54" s="1"/>
  <c r="U26" i="54"/>
  <c r="P26" i="54" s="1"/>
  <c r="V26" i="54"/>
  <c r="Q26" i="54" s="1"/>
  <c r="F26" i="54" s="1"/>
  <c r="R27" i="54"/>
  <c r="AJ26" i="54"/>
  <c r="AI27" i="50"/>
  <c r="AJ27" i="50" s="1"/>
  <c r="AC27" i="50" s="1"/>
  <c r="V28" i="53"/>
  <c r="Q28" i="53" s="1"/>
  <c r="F28" i="53" s="1"/>
  <c r="H28" i="53" s="1"/>
  <c r="U27" i="50"/>
  <c r="P27" i="50" s="1"/>
  <c r="U28" i="46"/>
  <c r="P28" i="46" s="1"/>
  <c r="R29" i="46"/>
  <c r="AI28" i="46"/>
  <c r="AB27" i="46"/>
  <c r="AP67" i="47"/>
  <c r="AM30" i="53"/>
  <c r="AN30" i="53" s="1"/>
  <c r="B30" i="53"/>
  <c r="AO30" i="53"/>
  <c r="AQ30" i="53" s="1"/>
  <c r="AP29" i="53"/>
  <c r="AR29" i="53"/>
  <c r="AT30" i="53" s="1"/>
  <c r="R29" i="53"/>
  <c r="U29" i="53" s="1"/>
  <c r="P29" i="53" s="1"/>
  <c r="AJ28" i="53"/>
  <c r="AB27" i="53"/>
  <c r="AC29" i="53"/>
  <c r="Y31" i="53"/>
  <c r="AH31" i="53" s="1"/>
  <c r="AI31" i="53" s="1"/>
  <c r="AH30" i="53"/>
  <c r="AI30" i="53" s="1"/>
  <c r="Z30" i="53"/>
  <c r="AA30" i="53" s="1"/>
  <c r="J30" i="53" s="1"/>
  <c r="L30" i="53" s="1"/>
  <c r="AJ26" i="45"/>
  <c r="AC26" i="45" s="1"/>
  <c r="Z36" i="1"/>
  <c r="AA36" i="1" s="1"/>
  <c r="J36" i="1" s="1"/>
  <c r="L36" i="1" s="1"/>
  <c r="AG34" i="55"/>
  <c r="AH34" i="55" s="1"/>
  <c r="AK26" i="50"/>
  <c r="AD26" i="50" s="1"/>
  <c r="AJ26" i="50"/>
  <c r="AC26" i="50" s="1"/>
  <c r="AJ27" i="55"/>
  <c r="AC27" i="55" s="1"/>
  <c r="V29" i="26"/>
  <c r="P29" i="26" s="1"/>
  <c r="W29" i="26"/>
  <c r="Q29" i="26" s="1"/>
  <c r="F29" i="26" s="1"/>
  <c r="AN29" i="26"/>
  <c r="AY29" i="26"/>
  <c r="D29" i="26" s="1"/>
  <c r="R30" i="26" s="1"/>
  <c r="AE28" i="26"/>
  <c r="AL63" i="60"/>
  <c r="AE63" i="60" s="1"/>
  <c r="U28" i="52"/>
  <c r="P28" i="52" s="1"/>
  <c r="AI28" i="52"/>
  <c r="V28" i="52"/>
  <c r="Q28" i="52" s="1"/>
  <c r="F28" i="52" s="1"/>
  <c r="AB27" i="52"/>
  <c r="R29" i="52"/>
  <c r="B67" i="60"/>
  <c r="AP67" i="60"/>
  <c r="AR67" i="60" s="1"/>
  <c r="AN67" i="60"/>
  <c r="AO67" i="60" s="1"/>
  <c r="AO28" i="26"/>
  <c r="AF28" i="26" s="1"/>
  <c r="AM63" i="60"/>
  <c r="AF63" i="60" s="1"/>
  <c r="AS31" i="26"/>
  <c r="AU31" i="26" s="1"/>
  <c r="AQ31" i="26"/>
  <c r="AR31" i="26" s="1"/>
  <c r="B31" i="26"/>
  <c r="AL29" i="52"/>
  <c r="AM29" i="52" s="1"/>
  <c r="B29" i="52"/>
  <c r="AN29" i="52"/>
  <c r="AP29" i="52" s="1"/>
  <c r="L28" i="26"/>
  <c r="H28" i="26"/>
  <c r="AT30" i="26"/>
  <c r="AV30" i="26"/>
  <c r="AX31" i="26" s="1"/>
  <c r="V64" i="60"/>
  <c r="Q64" i="60" s="1"/>
  <c r="S65" i="60"/>
  <c r="AK64" i="60"/>
  <c r="AC63" i="60"/>
  <c r="AJ27" i="52"/>
  <c r="AC27" i="52" s="1"/>
  <c r="AK27" i="52"/>
  <c r="AD27" i="52" s="1"/>
  <c r="AS66" i="60"/>
  <c r="AU67" i="60" s="1"/>
  <c r="AQ66" i="60"/>
  <c r="AO28" i="52"/>
  <c r="AQ28" i="52"/>
  <c r="AS29" i="52" s="1"/>
  <c r="H27" i="26"/>
  <c r="L27" i="26"/>
  <c r="V28" i="51"/>
  <c r="Q28" i="51" s="1"/>
  <c r="F28" i="51" s="1"/>
  <c r="H28" i="51" s="1"/>
  <c r="AN32" i="49"/>
  <c r="AP32" i="49" s="1"/>
  <c r="B32" i="49"/>
  <c r="AL32" i="49"/>
  <c r="AM32" i="49" s="1"/>
  <c r="AQ31" i="49"/>
  <c r="AS32" i="49" s="1"/>
  <c r="AO31" i="49"/>
  <c r="AK27" i="51"/>
  <c r="AD27" i="51" s="1"/>
  <c r="Z31" i="50"/>
  <c r="AA31" i="50" s="1"/>
  <c r="J31" i="50" s="1"/>
  <c r="L31" i="50" s="1"/>
  <c r="AQ66" i="59"/>
  <c r="AS66" i="59"/>
  <c r="AU67" i="59" s="1"/>
  <c r="AP67" i="59"/>
  <c r="AR67" i="59" s="1"/>
  <c r="B67" i="59"/>
  <c r="AN67" i="59"/>
  <c r="AO67" i="59" s="1"/>
  <c r="AJ63" i="47"/>
  <c r="R64" i="47"/>
  <c r="V64" i="47" s="1"/>
  <c r="Q64" i="47" s="1"/>
  <c r="F64" i="47" s="1"/>
  <c r="H64" i="47" s="1"/>
  <c r="U63" i="47"/>
  <c r="P63" i="47" s="1"/>
  <c r="V63" i="47"/>
  <c r="Q63" i="47" s="1"/>
  <c r="F63" i="47" s="1"/>
  <c r="H63" i="47" s="1"/>
  <c r="AL72" i="67"/>
  <c r="AE72" i="67" s="1"/>
  <c r="B31" i="50"/>
  <c r="AN31" i="50"/>
  <c r="AP31" i="50" s="1"/>
  <c r="AL31" i="50"/>
  <c r="AM31" i="50" s="1"/>
  <c r="AG35" i="39"/>
  <c r="AH35" i="39" s="1"/>
  <c r="K35" i="39" s="1"/>
  <c r="L35" i="39" s="1"/>
  <c r="U28" i="55"/>
  <c r="P28" i="55" s="1"/>
  <c r="R29" i="55"/>
  <c r="V29" i="55" s="1"/>
  <c r="Q29" i="55" s="1"/>
  <c r="F29" i="55" s="1"/>
  <c r="AI28" i="55"/>
  <c r="AK28" i="55" s="1"/>
  <c r="AD28" i="55" s="1"/>
  <c r="AB27" i="55"/>
  <c r="W73" i="67"/>
  <c r="R73" i="67" s="1"/>
  <c r="AC72" i="67"/>
  <c r="AK73" i="67"/>
  <c r="S74" i="67"/>
  <c r="V74" i="67" s="1"/>
  <c r="AO30" i="50"/>
  <c r="AQ30" i="50"/>
  <c r="AS31" i="50" s="1"/>
  <c r="Y32" i="50"/>
  <c r="Z32" i="50" s="1"/>
  <c r="AA32" i="50" s="1"/>
  <c r="J32" i="50" s="1"/>
  <c r="L32" i="50" s="1"/>
  <c r="AI28" i="51"/>
  <c r="AJ28" i="51" s="1"/>
  <c r="AC28" i="51" s="1"/>
  <c r="AB27" i="51"/>
  <c r="R29" i="51"/>
  <c r="AL33" i="41"/>
  <c r="AM33" i="41" s="1"/>
  <c r="AN33" i="41"/>
  <c r="AP33" i="41" s="1"/>
  <c r="Q34" i="41"/>
  <c r="F34" i="41" s="1"/>
  <c r="AI28" i="48"/>
  <c r="AB27" i="48"/>
  <c r="R29" i="48"/>
  <c r="U29" i="48" s="1"/>
  <c r="P29" i="48" s="1"/>
  <c r="AL31" i="1"/>
  <c r="AM31" i="1" s="1"/>
  <c r="AN31" i="1"/>
  <c r="AP31" i="1" s="1"/>
  <c r="B31" i="1"/>
  <c r="U28" i="48"/>
  <c r="P28" i="48" s="1"/>
  <c r="M43" i="3"/>
  <c r="O42" i="3"/>
  <c r="S42" i="3"/>
  <c r="T42" i="3" s="1"/>
  <c r="I42" i="3"/>
  <c r="D41" i="61"/>
  <c r="B31" i="51"/>
  <c r="AN31" i="51"/>
  <c r="AP31" i="51" s="1"/>
  <c r="AL31" i="51"/>
  <c r="AM31" i="51" s="1"/>
  <c r="AC68" i="47"/>
  <c r="AC26" i="48"/>
  <c r="V28" i="48"/>
  <c r="H27" i="1"/>
  <c r="M37" i="39"/>
  <c r="I36" i="39"/>
  <c r="O36" i="39"/>
  <c r="S36" i="39"/>
  <c r="T36" i="39" s="1"/>
  <c r="Y36" i="39"/>
  <c r="Z36" i="39" s="1"/>
  <c r="AA36" i="39" s="1"/>
  <c r="J36" i="39" s="1"/>
  <c r="AD69" i="59"/>
  <c r="L32" i="41"/>
  <c r="J33" i="41"/>
  <c r="O33" i="41"/>
  <c r="B33" i="41" s="1"/>
  <c r="Y33" i="41"/>
  <c r="AG33" i="41" s="1"/>
  <c r="AH33" i="41" s="1"/>
  <c r="S33" i="41"/>
  <c r="T33" i="41" s="1"/>
  <c r="K33" i="41"/>
  <c r="M34" i="41"/>
  <c r="Y70" i="47"/>
  <c r="AH70" i="47" s="1"/>
  <c r="AI70" i="47" s="1"/>
  <c r="M71" i="47"/>
  <c r="S70" i="47"/>
  <c r="T70" i="47" s="1"/>
  <c r="I70" i="47" s="1"/>
  <c r="O70" i="47"/>
  <c r="L33" i="51"/>
  <c r="M35" i="51"/>
  <c r="O34" i="51"/>
  <c r="Y34" i="51"/>
  <c r="Z34" i="51" s="1"/>
  <c r="AA34" i="51" s="1"/>
  <c r="J34" i="51" s="1"/>
  <c r="S34" i="51"/>
  <c r="T34" i="51" s="1"/>
  <c r="I34" i="51"/>
  <c r="B47" i="61"/>
  <c r="M38" i="46"/>
  <c r="O37" i="46"/>
  <c r="S37" i="46"/>
  <c r="T37" i="46" s="1"/>
  <c r="B31" i="3"/>
  <c r="AN31" i="3"/>
  <c r="AP31" i="3" s="1"/>
  <c r="AL31" i="3"/>
  <c r="AM31" i="3" s="1"/>
  <c r="AB30" i="57"/>
  <c r="AI31" i="57"/>
  <c r="AK31" i="57" s="1"/>
  <c r="R32" i="57"/>
  <c r="U32" i="57" s="1"/>
  <c r="AI35" i="26"/>
  <c r="AL35" i="26" s="1"/>
  <c r="K35" i="26" s="1"/>
  <c r="M37" i="26"/>
  <c r="AA36" i="26"/>
  <c r="AI36" i="26" s="1"/>
  <c r="AL36" i="26" s="1"/>
  <c r="K36" i="26" s="1"/>
  <c r="S36" i="26"/>
  <c r="T36" i="26" s="1"/>
  <c r="U36" i="26" s="1"/>
  <c r="I36" i="26" s="1"/>
  <c r="O36" i="26"/>
  <c r="BF36" i="26"/>
  <c r="B32" i="45"/>
  <c r="AN32" i="45"/>
  <c r="AP32" i="45" s="1"/>
  <c r="AL32" i="45"/>
  <c r="AM32" i="45" s="1"/>
  <c r="AD80" i="68"/>
  <c r="Z82" i="68"/>
  <c r="AI82" i="68" s="1"/>
  <c r="AJ82" i="68" s="1"/>
  <c r="AC75" i="68"/>
  <c r="AK76" i="68"/>
  <c r="AL76" i="68" s="1"/>
  <c r="AE76" i="68" s="1"/>
  <c r="S77" i="68"/>
  <c r="W77" i="68" s="1"/>
  <c r="M36" i="52"/>
  <c r="O35" i="52"/>
  <c r="I35" i="52"/>
  <c r="Y35" i="52"/>
  <c r="Z35" i="52" s="1"/>
  <c r="AA35" i="52" s="1"/>
  <c r="J35" i="52" s="1"/>
  <c r="S35" i="52"/>
  <c r="T35" i="52" s="1"/>
  <c r="G31" i="41"/>
  <c r="E72" i="61"/>
  <c r="C72" i="61"/>
  <c r="D72" i="61"/>
  <c r="H28" i="57"/>
  <c r="Z38" i="48"/>
  <c r="AA38" i="48" s="1"/>
  <c r="J38" i="48" s="1"/>
  <c r="L38" i="48" s="1"/>
  <c r="Q75" i="68"/>
  <c r="L34" i="55"/>
  <c r="M36" i="55"/>
  <c r="I36" i="55" s="1"/>
  <c r="O35" i="55"/>
  <c r="I35" i="55"/>
  <c r="Y35" i="55"/>
  <c r="Z35" i="55" s="1"/>
  <c r="AA35" i="55" s="1"/>
  <c r="J35" i="55" s="1"/>
  <c r="S35" i="55"/>
  <c r="T35" i="55" s="1"/>
  <c r="V31" i="57"/>
  <c r="AJ31" i="57"/>
  <c r="AC31" i="57" s="1"/>
  <c r="N72" i="59"/>
  <c r="Z71" i="59"/>
  <c r="AA71" i="59" s="1"/>
  <c r="AB71" i="59" s="1"/>
  <c r="K71" i="59" s="1"/>
  <c r="T71" i="59"/>
  <c r="U71" i="59" s="1"/>
  <c r="J71" i="59" s="1"/>
  <c r="P71" i="59"/>
  <c r="Z34" i="52"/>
  <c r="AA34" i="52" s="1"/>
  <c r="J34" i="52" s="1"/>
  <c r="L34" i="52" s="1"/>
  <c r="AQ32" i="41"/>
  <c r="AS33" i="41" s="1"/>
  <c r="AO32" i="41"/>
  <c r="H27" i="51"/>
  <c r="N87" i="68"/>
  <c r="P86" i="68"/>
  <c r="T86" i="68"/>
  <c r="U86" i="68" s="1"/>
  <c r="J86" i="68"/>
  <c r="M40" i="48"/>
  <c r="S39" i="48"/>
  <c r="T39" i="48" s="1"/>
  <c r="Y39" i="48"/>
  <c r="AG39" i="48" s="1"/>
  <c r="AH39" i="48" s="1"/>
  <c r="O39" i="48"/>
  <c r="I39" i="48"/>
  <c r="F26" i="48"/>
  <c r="Z69" i="47"/>
  <c r="AA69" i="47" s="1"/>
  <c r="J69" i="47" s="1"/>
  <c r="L69" i="47" s="1"/>
  <c r="B73" i="61"/>
  <c r="A74" i="61"/>
  <c r="M38" i="1"/>
  <c r="O37" i="1"/>
  <c r="Y37" i="1"/>
  <c r="AG37" i="1" s="1"/>
  <c r="AH37" i="1" s="1"/>
  <c r="S37" i="1"/>
  <c r="T37" i="1" s="1"/>
  <c r="I37" i="1"/>
  <c r="R63" i="59"/>
  <c r="G63" i="59" s="1"/>
  <c r="AI70" i="59"/>
  <c r="AJ70" i="59" s="1"/>
  <c r="AI34" i="41"/>
  <c r="AJ34" i="41" s="1"/>
  <c r="AC34" i="41" s="1"/>
  <c r="R35" i="41"/>
  <c r="V35" i="41" s="1"/>
  <c r="Q35" i="41" s="1"/>
  <c r="AB33" i="41"/>
  <c r="F32" i="41"/>
  <c r="AB35" i="26"/>
  <c r="AC35" i="26" s="1"/>
  <c r="J35" i="26" s="1"/>
  <c r="Z33" i="41"/>
  <c r="AA33" i="41" s="1"/>
  <c r="M36" i="45"/>
  <c r="I36" i="45" s="1"/>
  <c r="S35" i="45"/>
  <c r="T35" i="45" s="1"/>
  <c r="I35" i="45"/>
  <c r="O35" i="45"/>
  <c r="AH69" i="47"/>
  <c r="AI69" i="47" s="1"/>
  <c r="AG33" i="51"/>
  <c r="AH33" i="51" s="1"/>
  <c r="M35" i="50"/>
  <c r="O34" i="50"/>
  <c r="S34" i="50"/>
  <c r="T34" i="50" s="1"/>
  <c r="I34" i="50"/>
  <c r="AA70" i="59"/>
  <c r="AB70" i="59" s="1"/>
  <c r="K70" i="59" s="1"/>
  <c r="M70" i="59" s="1"/>
  <c r="S37" i="57"/>
  <c r="T37" i="57" s="1"/>
  <c r="O37" i="57"/>
  <c r="Y37" i="57"/>
  <c r="I37" i="57"/>
  <c r="M38" i="57"/>
  <c r="U34" i="41"/>
  <c r="AO30" i="3"/>
  <c r="AQ30" i="3"/>
  <c r="AS31" i="3" s="1"/>
  <c r="AN80" i="68" l="1"/>
  <c r="AO80" i="68" s="1"/>
  <c r="B80" i="68"/>
  <c r="AP80" i="68"/>
  <c r="AR80" i="68" s="1"/>
  <c r="AS79" i="68"/>
  <c r="AU80" i="68" s="1"/>
  <c r="AQ79" i="68"/>
  <c r="AA82" i="68"/>
  <c r="AB82" i="68" s="1"/>
  <c r="K82" i="68" s="1"/>
  <c r="M82" i="68" s="1"/>
  <c r="AM76" i="68"/>
  <c r="AF76" i="68" s="1"/>
  <c r="Z79" i="67"/>
  <c r="AA79" i="67" s="1"/>
  <c r="AB79" i="67" s="1"/>
  <c r="K79" i="67" s="1"/>
  <c r="N80" i="67"/>
  <c r="T79" i="67"/>
  <c r="U79" i="67" s="1"/>
  <c r="J79" i="67"/>
  <c r="P79" i="67"/>
  <c r="AO33" i="57"/>
  <c r="AQ33" i="57"/>
  <c r="AS34" i="57" s="1"/>
  <c r="AA78" i="67"/>
  <c r="AB78" i="67" s="1"/>
  <c r="K78" i="67" s="1"/>
  <c r="AD77" i="67"/>
  <c r="B34" i="57"/>
  <c r="AL34" i="57"/>
  <c r="AM34" i="57" s="1"/>
  <c r="AN34" i="57"/>
  <c r="AP34" i="57" s="1"/>
  <c r="AJ27" i="49"/>
  <c r="AC27" i="49" s="1"/>
  <c r="U28" i="49"/>
  <c r="P28" i="49" s="1"/>
  <c r="AB27" i="49"/>
  <c r="AI28" i="49"/>
  <c r="AK28" i="49" s="1"/>
  <c r="AD28" i="49" s="1"/>
  <c r="B30" i="46"/>
  <c r="AL31" i="46" s="1"/>
  <c r="AM31" i="46" s="1"/>
  <c r="R29" i="49"/>
  <c r="AI29" i="49" s="1"/>
  <c r="AN30" i="46"/>
  <c r="AP30" i="46" s="1"/>
  <c r="AO29" i="46"/>
  <c r="AQ30" i="51"/>
  <c r="AS31" i="51" s="1"/>
  <c r="AO30" i="51"/>
  <c r="AK27" i="48"/>
  <c r="AD27" i="48" s="1"/>
  <c r="AJ28" i="48"/>
  <c r="AC28" i="48" s="1"/>
  <c r="Z36" i="46"/>
  <c r="AA36" i="46" s="1"/>
  <c r="J36" i="46" s="1"/>
  <c r="L36" i="46" s="1"/>
  <c r="S62" i="49"/>
  <c r="T62" i="49" s="1"/>
  <c r="H27" i="50"/>
  <c r="AO31" i="53"/>
  <c r="AQ31" i="53" s="1"/>
  <c r="AM31" i="53"/>
  <c r="AN31" i="53" s="1"/>
  <c r="Z31" i="53"/>
  <c r="AA31" i="53" s="1"/>
  <c r="J31" i="53" s="1"/>
  <c r="L31" i="53" s="1"/>
  <c r="H26" i="54"/>
  <c r="H27" i="46"/>
  <c r="D32" i="54"/>
  <c r="B30" i="48"/>
  <c r="B31" i="48" s="1"/>
  <c r="AN32" i="48" s="1"/>
  <c r="AP32" i="48" s="1"/>
  <c r="Z70" i="60"/>
  <c r="Z71" i="60" s="1"/>
  <c r="AI71" i="60" s="1"/>
  <c r="AJ71" i="60" s="1"/>
  <c r="AL63" i="59"/>
  <c r="AE63" i="59" s="1"/>
  <c r="AL30" i="48"/>
  <c r="AM30" i="48" s="1"/>
  <c r="AQ30" i="48" s="1"/>
  <c r="AS31" i="48" s="1"/>
  <c r="AA69" i="60"/>
  <c r="AB69" i="60" s="1"/>
  <c r="K69" i="60" s="1"/>
  <c r="M69" i="60" s="1"/>
  <c r="AD68" i="60"/>
  <c r="AI30" i="1"/>
  <c r="AJ30" i="1" s="1"/>
  <c r="AC30" i="1" s="1"/>
  <c r="AJ27" i="39"/>
  <c r="AC27" i="39" s="1"/>
  <c r="AO29" i="48"/>
  <c r="AB29" i="1"/>
  <c r="AJ28" i="46"/>
  <c r="AC28" i="46" s="1"/>
  <c r="R31" i="1"/>
  <c r="V31" i="1" s="1"/>
  <c r="P30" i="1"/>
  <c r="AJ27" i="46"/>
  <c r="AC27" i="46" s="1"/>
  <c r="AI28" i="39"/>
  <c r="AJ28" i="39" s="1"/>
  <c r="AC28" i="39" s="1"/>
  <c r="AG36" i="46"/>
  <c r="AH36" i="46" s="1"/>
  <c r="Z36" i="3"/>
  <c r="AA36" i="3" s="1"/>
  <c r="J36" i="3" s="1"/>
  <c r="L36" i="3" s="1"/>
  <c r="Y37" i="3"/>
  <c r="AG37" i="3" s="1"/>
  <c r="AH37" i="3" s="1"/>
  <c r="K37" i="3" s="1"/>
  <c r="H27" i="39"/>
  <c r="AB27" i="39"/>
  <c r="S65" i="59"/>
  <c r="W65" i="59" s="1"/>
  <c r="R65" i="59" s="1"/>
  <c r="G65" i="59" s="1"/>
  <c r="I65" i="59" s="1"/>
  <c r="AK64" i="59"/>
  <c r="AM64" i="59" s="1"/>
  <c r="AF64" i="59" s="1"/>
  <c r="AK29" i="1"/>
  <c r="AD29" i="1" s="1"/>
  <c r="AO30" i="1"/>
  <c r="W64" i="59"/>
  <c r="R64" i="59" s="1"/>
  <c r="G64" i="59" s="1"/>
  <c r="I64" i="59" s="1"/>
  <c r="AC63" i="59"/>
  <c r="R29" i="39"/>
  <c r="U29" i="39" s="1"/>
  <c r="P29" i="39" s="1"/>
  <c r="V28" i="39"/>
  <c r="Q28" i="39" s="1"/>
  <c r="F28" i="39" s="1"/>
  <c r="AQ30" i="1"/>
  <c r="AS31" i="1" s="1"/>
  <c r="V30" i="1"/>
  <c r="Y37" i="46"/>
  <c r="AQ31" i="45"/>
  <c r="AS32" i="45" s="1"/>
  <c r="AS76" i="67"/>
  <c r="AU77" i="67" s="1"/>
  <c r="AQ76" i="67"/>
  <c r="AN77" i="67"/>
  <c r="AO77" i="67" s="1"/>
  <c r="AP77" i="67"/>
  <c r="AR77" i="67" s="1"/>
  <c r="B77" i="67"/>
  <c r="AO31" i="45"/>
  <c r="G73" i="67"/>
  <c r="I73" i="67" s="1"/>
  <c r="W74" i="67"/>
  <c r="R74" i="67" s="1"/>
  <c r="Z33" i="45"/>
  <c r="AA33" i="45" s="1"/>
  <c r="J33" i="45" s="1"/>
  <c r="L33" i="45" s="1"/>
  <c r="Y34" i="45"/>
  <c r="AG33" i="45"/>
  <c r="AH33" i="45" s="1"/>
  <c r="R29" i="45"/>
  <c r="V29" i="45" s="1"/>
  <c r="Q29" i="45" s="1"/>
  <c r="F29" i="45" s="1"/>
  <c r="H29" i="45" s="1"/>
  <c r="U28" i="45"/>
  <c r="P28" i="45" s="1"/>
  <c r="AB27" i="45"/>
  <c r="Q29" i="1"/>
  <c r="F29" i="1" s="1"/>
  <c r="AI28" i="45"/>
  <c r="AK28" i="45" s="1"/>
  <c r="AD28" i="45" s="1"/>
  <c r="AG33" i="49"/>
  <c r="AH33" i="49" s="1"/>
  <c r="Y34" i="49"/>
  <c r="Z33" i="49"/>
  <c r="AA33" i="49" s="1"/>
  <c r="J33" i="49" s="1"/>
  <c r="L33" i="49" s="1"/>
  <c r="AJ27" i="45"/>
  <c r="AC27" i="45" s="1"/>
  <c r="AL31" i="55"/>
  <c r="AM31" i="55" s="1"/>
  <c r="AN31" i="55"/>
  <c r="AP31" i="55" s="1"/>
  <c r="AN30" i="39"/>
  <c r="AP30" i="39" s="1"/>
  <c r="AL30" i="39"/>
  <c r="AM30" i="39" s="1"/>
  <c r="B30" i="39"/>
  <c r="AO29" i="39"/>
  <c r="AQ29" i="39"/>
  <c r="AS30" i="39" s="1"/>
  <c r="U28" i="3"/>
  <c r="P28" i="3" s="1"/>
  <c r="V28" i="3"/>
  <c r="Q28" i="3" s="1"/>
  <c r="F28" i="3" s="1"/>
  <c r="R29" i="3"/>
  <c r="AI28" i="3"/>
  <c r="AB27" i="3"/>
  <c r="AK27" i="3"/>
  <c r="AD27" i="3" s="1"/>
  <c r="G27" i="3" s="1"/>
  <c r="H27" i="3" s="1"/>
  <c r="AJ27" i="3"/>
  <c r="AC27" i="3" s="1"/>
  <c r="AO30" i="55"/>
  <c r="AP68" i="47"/>
  <c r="AK28" i="48"/>
  <c r="AD28" i="48" s="1"/>
  <c r="AO69" i="47"/>
  <c r="U27" i="54"/>
  <c r="P27" i="54" s="1"/>
  <c r="AJ27" i="54"/>
  <c r="AL27" i="54" s="1"/>
  <c r="AE27" i="54" s="1"/>
  <c r="R28" i="54"/>
  <c r="V28" i="54" s="1"/>
  <c r="Q28" i="54" s="1"/>
  <c r="F28" i="54" s="1"/>
  <c r="H28" i="54" s="1"/>
  <c r="AB26" i="54"/>
  <c r="AH30" i="54"/>
  <c r="AI30" i="54" s="1"/>
  <c r="Y31" i="54"/>
  <c r="AH31" i="54" s="1"/>
  <c r="AI31" i="54" s="1"/>
  <c r="Z30" i="54"/>
  <c r="AA30" i="54" s="1"/>
  <c r="J30" i="54" s="1"/>
  <c r="L30" i="54" s="1"/>
  <c r="AC29" i="54"/>
  <c r="V27" i="54"/>
  <c r="Q27" i="54" s="1"/>
  <c r="F27" i="54" s="1"/>
  <c r="H27" i="54" s="1"/>
  <c r="AR29" i="54"/>
  <c r="AT30" i="54" s="1"/>
  <c r="AP29" i="54"/>
  <c r="U28" i="50"/>
  <c r="P28" i="50" s="1"/>
  <c r="R29" i="50"/>
  <c r="AI28" i="50"/>
  <c r="AK28" i="50" s="1"/>
  <c r="AD28" i="50" s="1"/>
  <c r="AB27" i="50"/>
  <c r="B69" i="47"/>
  <c r="AM70" i="47" s="1"/>
  <c r="AN70" i="47" s="1"/>
  <c r="AR70" i="47" s="1"/>
  <c r="AT71" i="47" s="1"/>
  <c r="AK26" i="54"/>
  <c r="AD26" i="54" s="1"/>
  <c r="AL26" i="54"/>
  <c r="AE26" i="54" s="1"/>
  <c r="B30" i="54"/>
  <c r="AM30" i="54"/>
  <c r="AN30" i="54" s="1"/>
  <c r="AO30" i="54"/>
  <c r="AQ30" i="54" s="1"/>
  <c r="U29" i="46"/>
  <c r="P29" i="46" s="1"/>
  <c r="R30" i="46"/>
  <c r="U30" i="46" s="1"/>
  <c r="P30" i="46" s="1"/>
  <c r="AI29" i="46"/>
  <c r="AB28" i="46"/>
  <c r="AQ30" i="46"/>
  <c r="AS31" i="46" s="1"/>
  <c r="V29" i="46"/>
  <c r="Q29" i="46" s="1"/>
  <c r="F29" i="46" s="1"/>
  <c r="H29" i="46" s="1"/>
  <c r="AK27" i="50"/>
  <c r="AD27" i="50" s="1"/>
  <c r="AK28" i="46"/>
  <c r="AD28" i="46" s="1"/>
  <c r="AC30" i="53"/>
  <c r="Y32" i="53"/>
  <c r="AR30" i="53"/>
  <c r="AT31" i="53" s="1"/>
  <c r="B31" i="53" s="1"/>
  <c r="AP30" i="53"/>
  <c r="AK28" i="53"/>
  <c r="AD28" i="53" s="1"/>
  <c r="AL28" i="53"/>
  <c r="AE28" i="53" s="1"/>
  <c r="AB28" i="53"/>
  <c r="AJ29" i="53"/>
  <c r="AL29" i="53" s="1"/>
  <c r="AE29" i="53" s="1"/>
  <c r="R30" i="53"/>
  <c r="V29" i="53"/>
  <c r="AG34" i="51"/>
  <c r="AH34" i="51" s="1"/>
  <c r="Z37" i="1"/>
  <c r="AA37" i="1" s="1"/>
  <c r="J37" i="1" s="1"/>
  <c r="L37" i="1" s="1"/>
  <c r="W65" i="60"/>
  <c r="R65" i="60" s="1"/>
  <c r="G65" i="60" s="1"/>
  <c r="AC64" i="60"/>
  <c r="S66" i="60"/>
  <c r="AK65" i="60"/>
  <c r="AM65" i="60" s="1"/>
  <c r="AF65" i="60" s="1"/>
  <c r="B32" i="26"/>
  <c r="AQ32" i="26"/>
  <c r="AR32" i="26" s="1"/>
  <c r="AS32" i="26"/>
  <c r="AU32" i="26" s="1"/>
  <c r="AY30" i="26"/>
  <c r="D30" i="26" s="1"/>
  <c r="R31" i="26" s="1"/>
  <c r="AY31" i="26" s="1"/>
  <c r="D31" i="26" s="1"/>
  <c r="AE29" i="26"/>
  <c r="AN30" i="26"/>
  <c r="U64" i="47"/>
  <c r="P64" i="47" s="1"/>
  <c r="V65" i="60"/>
  <c r="Q65" i="60" s="1"/>
  <c r="AT31" i="26"/>
  <c r="AV31" i="26"/>
  <c r="AX32" i="26" s="1"/>
  <c r="B68" i="60"/>
  <c r="AP68" i="60"/>
  <c r="AR68" i="60" s="1"/>
  <c r="AN68" i="60"/>
  <c r="AO68" i="60" s="1"/>
  <c r="AJ28" i="52"/>
  <c r="AC28" i="52" s="1"/>
  <c r="AK28" i="52"/>
  <c r="AD28" i="52" s="1"/>
  <c r="V30" i="26"/>
  <c r="P30" i="26" s="1"/>
  <c r="AP29" i="26"/>
  <c r="AG29" i="26" s="1"/>
  <c r="G29" i="26" s="1"/>
  <c r="H29" i="26" s="1"/>
  <c r="AO29" i="26"/>
  <c r="AF29" i="26" s="1"/>
  <c r="AL30" i="52"/>
  <c r="AM30" i="52" s="1"/>
  <c r="B30" i="52"/>
  <c r="AN30" i="52"/>
  <c r="AP30" i="52" s="1"/>
  <c r="U29" i="52"/>
  <c r="P29" i="52" s="1"/>
  <c r="AB28" i="52"/>
  <c r="R30" i="52"/>
  <c r="V29" i="52"/>
  <c r="Q29" i="52" s="1"/>
  <c r="F29" i="52" s="1"/>
  <c r="H29" i="52" s="1"/>
  <c r="AI29" i="52"/>
  <c r="W30" i="26"/>
  <c r="Q30" i="26" s="1"/>
  <c r="F30" i="26" s="1"/>
  <c r="AG35" i="55"/>
  <c r="AH35" i="55" s="1"/>
  <c r="AL64" i="60"/>
  <c r="AE64" i="60" s="1"/>
  <c r="AO29" i="52"/>
  <c r="AQ29" i="52"/>
  <c r="AS30" i="52" s="1"/>
  <c r="AS67" i="60"/>
  <c r="AU68" i="60" s="1"/>
  <c r="AQ67" i="60"/>
  <c r="AM64" i="60"/>
  <c r="AF64" i="60" s="1"/>
  <c r="B33" i="49"/>
  <c r="AL33" i="49"/>
  <c r="AM33" i="49" s="1"/>
  <c r="AN33" i="49"/>
  <c r="AP33" i="49" s="1"/>
  <c r="AO32" i="49"/>
  <c r="AQ32" i="49"/>
  <c r="AS33" i="49" s="1"/>
  <c r="AQ67" i="59"/>
  <c r="AS67" i="59"/>
  <c r="AU68" i="59" s="1"/>
  <c r="AP68" i="59"/>
  <c r="AR68" i="59" s="1"/>
  <c r="AN68" i="59"/>
  <c r="AO68" i="59" s="1"/>
  <c r="B68" i="59"/>
  <c r="Q74" i="67"/>
  <c r="G74" i="67" s="1"/>
  <c r="I74" i="67" s="1"/>
  <c r="AJ28" i="55"/>
  <c r="AC28" i="55" s="1"/>
  <c r="AG32" i="50"/>
  <c r="AH32" i="50" s="1"/>
  <c r="Y33" i="50"/>
  <c r="AK28" i="51"/>
  <c r="AD28" i="51" s="1"/>
  <c r="AO31" i="50"/>
  <c r="AQ31" i="50"/>
  <c r="AS32" i="50" s="1"/>
  <c r="AJ64" i="47"/>
  <c r="R65" i="47"/>
  <c r="V65" i="47" s="1"/>
  <c r="Q65" i="47" s="1"/>
  <c r="F65" i="47" s="1"/>
  <c r="H65" i="47" s="1"/>
  <c r="AB63" i="47"/>
  <c r="L35" i="55"/>
  <c r="V29" i="51"/>
  <c r="Q29" i="51" s="1"/>
  <c r="F29" i="51" s="1"/>
  <c r="H29" i="51" s="1"/>
  <c r="AI29" i="51"/>
  <c r="R30" i="51"/>
  <c r="V30" i="51" s="1"/>
  <c r="Q30" i="51" s="1"/>
  <c r="F30" i="51" s="1"/>
  <c r="H30" i="51" s="1"/>
  <c r="U29" i="51"/>
  <c r="P29" i="51" s="1"/>
  <c r="AB28" i="51"/>
  <c r="AK74" i="67"/>
  <c r="AM74" i="67" s="1"/>
  <c r="AF74" i="67" s="1"/>
  <c r="AC73" i="67"/>
  <c r="S75" i="67"/>
  <c r="AK63" i="47"/>
  <c r="AD63" i="47" s="1"/>
  <c r="AL63" i="47"/>
  <c r="AE63" i="47" s="1"/>
  <c r="AG35" i="52"/>
  <c r="AH35" i="52" s="1"/>
  <c r="AN32" i="50"/>
  <c r="AP32" i="50" s="1"/>
  <c r="B32" i="50"/>
  <c r="AL32" i="50"/>
  <c r="AM32" i="50" s="1"/>
  <c r="AM73" i="67"/>
  <c r="AF73" i="67" s="1"/>
  <c r="U29" i="55"/>
  <c r="P29" i="55" s="1"/>
  <c r="AI29" i="55"/>
  <c r="AJ29" i="55" s="1"/>
  <c r="AC29" i="55" s="1"/>
  <c r="R30" i="55"/>
  <c r="V30" i="55" s="1"/>
  <c r="Q30" i="55" s="1"/>
  <c r="F30" i="55" s="1"/>
  <c r="H30" i="55" s="1"/>
  <c r="AB28" i="55"/>
  <c r="B32" i="55"/>
  <c r="AL32" i="55"/>
  <c r="AM32" i="55" s="1"/>
  <c r="AN32" i="55"/>
  <c r="AP32" i="55" s="1"/>
  <c r="AL73" i="67"/>
  <c r="AE73" i="67" s="1"/>
  <c r="M71" i="59"/>
  <c r="P32" i="57"/>
  <c r="AD31" i="57"/>
  <c r="R77" i="68"/>
  <c r="G77" i="68" s="1"/>
  <c r="F35" i="41"/>
  <c r="M37" i="45"/>
  <c r="O36" i="45"/>
  <c r="S36" i="45"/>
  <c r="T36" i="45" s="1"/>
  <c r="U35" i="41"/>
  <c r="P35" i="41" s="1"/>
  <c r="C73" i="61"/>
  <c r="E73" i="61"/>
  <c r="D73" i="61"/>
  <c r="H26" i="48"/>
  <c r="N73" i="59"/>
  <c r="Z72" i="59"/>
  <c r="T72" i="59"/>
  <c r="U72" i="59" s="1"/>
  <c r="P72" i="59"/>
  <c r="J72" i="59"/>
  <c r="M37" i="55"/>
  <c r="O36" i="55"/>
  <c r="S36" i="55"/>
  <c r="T36" i="55" s="1"/>
  <c r="Y36" i="55"/>
  <c r="Z39" i="48"/>
  <c r="AA39" i="48" s="1"/>
  <c r="J39" i="48" s="1"/>
  <c r="L39" i="48" s="1"/>
  <c r="L35" i="52"/>
  <c r="BF37" i="26"/>
  <c r="AA37" i="26"/>
  <c r="S37" i="26"/>
  <c r="T37" i="26" s="1"/>
  <c r="U37" i="26" s="1"/>
  <c r="I37" i="26" s="1"/>
  <c r="M38" i="26"/>
  <c r="O37" i="26"/>
  <c r="V32" i="57"/>
  <c r="Q32" i="57" s="1"/>
  <c r="F32" i="57" s="1"/>
  <c r="H32" i="57" s="1"/>
  <c r="M38" i="39"/>
  <c r="I37" i="39"/>
  <c r="O37" i="39"/>
  <c r="S37" i="39"/>
  <c r="T37" i="39" s="1"/>
  <c r="Y37" i="39"/>
  <c r="AG37" i="39" s="1"/>
  <c r="AH37" i="39" s="1"/>
  <c r="K37" i="39" s="1"/>
  <c r="AO31" i="51"/>
  <c r="AQ31" i="51"/>
  <c r="AS32" i="51" s="1"/>
  <c r="AI29" i="48"/>
  <c r="AK29" i="48" s="1"/>
  <c r="AB28" i="48"/>
  <c r="R30" i="48"/>
  <c r="U30" i="48" s="1"/>
  <c r="H32" i="41"/>
  <c r="P34" i="41"/>
  <c r="AD70" i="59"/>
  <c r="AI72" i="59"/>
  <c r="AJ72" i="59" s="1"/>
  <c r="AA72" i="59"/>
  <c r="AB72" i="59" s="1"/>
  <c r="K72" i="59" s="1"/>
  <c r="Q31" i="57"/>
  <c r="Y38" i="57"/>
  <c r="AG38" i="57" s="1"/>
  <c r="AH38" i="57" s="1"/>
  <c r="M39" i="57"/>
  <c r="I38" i="57"/>
  <c r="S38" i="57"/>
  <c r="T38" i="57" s="1"/>
  <c r="O38" i="57"/>
  <c r="I63" i="59"/>
  <c r="N88" i="68"/>
  <c r="P87" i="68"/>
  <c r="T87" i="68"/>
  <c r="U87" i="68" s="1"/>
  <c r="J87" i="68"/>
  <c r="Z37" i="57"/>
  <c r="AA37" i="57" s="1"/>
  <c r="J37" i="57" s="1"/>
  <c r="L37" i="57" s="1"/>
  <c r="V77" i="68"/>
  <c r="AQ32" i="45"/>
  <c r="AS33" i="45" s="1"/>
  <c r="AO32" i="45"/>
  <c r="AQ31" i="3"/>
  <c r="AS32" i="3" s="1"/>
  <c r="AO31" i="3"/>
  <c r="S71" i="47"/>
  <c r="T71" i="47" s="1"/>
  <c r="M72" i="47"/>
  <c r="Y71" i="47"/>
  <c r="AH71" i="47" s="1"/>
  <c r="AI71" i="47" s="1"/>
  <c r="O71" i="47"/>
  <c r="I71" i="47"/>
  <c r="L33" i="41"/>
  <c r="AG36" i="39"/>
  <c r="AH36" i="39" s="1"/>
  <c r="K36" i="39" s="1"/>
  <c r="L36" i="39" s="1"/>
  <c r="M44" i="3"/>
  <c r="O43" i="3"/>
  <c r="S43" i="3"/>
  <c r="T43" i="3" s="1"/>
  <c r="I43" i="3"/>
  <c r="B32" i="1"/>
  <c r="AN32" i="1"/>
  <c r="AP32" i="1" s="1"/>
  <c r="AL32" i="1"/>
  <c r="AM32" i="1" s="1"/>
  <c r="V29" i="48"/>
  <c r="Q29" i="48" s="1"/>
  <c r="F29" i="48" s="1"/>
  <c r="H29" i="48" s="1"/>
  <c r="H26" i="3"/>
  <c r="AO33" i="41"/>
  <c r="AQ33" i="41"/>
  <c r="AS34" i="41" s="1"/>
  <c r="AI35" i="41"/>
  <c r="AK35" i="41" s="1"/>
  <c r="AD35" i="41" s="1"/>
  <c r="G35" i="41" s="1"/>
  <c r="AB34" i="41"/>
  <c r="R36" i="41"/>
  <c r="M39" i="1"/>
  <c r="O38" i="1"/>
  <c r="S38" i="1"/>
  <c r="T38" i="1" s="1"/>
  <c r="Y38" i="1"/>
  <c r="AG38" i="1" s="1"/>
  <c r="AH38" i="1" s="1"/>
  <c r="I38" i="1"/>
  <c r="M41" i="48"/>
  <c r="S40" i="48"/>
  <c r="T40" i="48" s="1"/>
  <c r="Y40" i="48"/>
  <c r="O40" i="48"/>
  <c r="I40" i="48"/>
  <c r="AG37" i="57"/>
  <c r="AH37" i="57" s="1"/>
  <c r="M37" i="52"/>
  <c r="O36" i="52"/>
  <c r="I36" i="52"/>
  <c r="S36" i="52"/>
  <c r="T36" i="52" s="1"/>
  <c r="Y36" i="52"/>
  <c r="Z36" i="52" s="1"/>
  <c r="AA36" i="52" s="1"/>
  <c r="J36" i="52" s="1"/>
  <c r="AD81" i="68"/>
  <c r="Z83" i="68"/>
  <c r="AA83" i="68" s="1"/>
  <c r="AB83" i="68" s="1"/>
  <c r="K83" i="68" s="1"/>
  <c r="M83" i="68" s="1"/>
  <c r="AI32" i="57"/>
  <c r="AJ32" i="57" s="1"/>
  <c r="AC32" i="57" s="1"/>
  <c r="V33" i="57"/>
  <c r="Q33" i="57" s="1"/>
  <c r="F33" i="57" s="1"/>
  <c r="H33" i="57" s="1"/>
  <c r="R33" i="57"/>
  <c r="U33" i="57" s="1"/>
  <c r="P33" i="57" s="1"/>
  <c r="AB31" i="57"/>
  <c r="AC69" i="47"/>
  <c r="AN34" i="41"/>
  <c r="AP34" i="41" s="1"/>
  <c r="AL34" i="41"/>
  <c r="AM34" i="41" s="1"/>
  <c r="Z70" i="47"/>
  <c r="AA70" i="47" s="1"/>
  <c r="J70" i="47" s="1"/>
  <c r="L70" i="47" s="1"/>
  <c r="AN32" i="51"/>
  <c r="AP32" i="51" s="1"/>
  <c r="B32" i="51"/>
  <c r="AL32" i="51"/>
  <c r="AM32" i="51" s="1"/>
  <c r="M36" i="50"/>
  <c r="O35" i="50"/>
  <c r="S35" i="50"/>
  <c r="T35" i="50" s="1"/>
  <c r="I35" i="50"/>
  <c r="A75" i="61"/>
  <c r="B74" i="61"/>
  <c r="H31" i="41"/>
  <c r="AK77" i="68"/>
  <c r="AC76" i="68"/>
  <c r="S78" i="68"/>
  <c r="V78" i="68" s="1"/>
  <c r="Q78" i="68" s="1"/>
  <c r="B33" i="45"/>
  <c r="AN33" i="45"/>
  <c r="AP33" i="45" s="1"/>
  <c r="AL33" i="45"/>
  <c r="AM33" i="45" s="1"/>
  <c r="AI37" i="26"/>
  <c r="AL37" i="26" s="1"/>
  <c r="K37" i="26" s="1"/>
  <c r="AB37" i="26"/>
  <c r="AC37" i="26" s="1"/>
  <c r="J37" i="26" s="1"/>
  <c r="AB36" i="26"/>
  <c r="AC36" i="26" s="1"/>
  <c r="J36" i="26" s="1"/>
  <c r="AK32" i="57"/>
  <c r="AD32" i="57" s="1"/>
  <c r="B32" i="3"/>
  <c r="AL32" i="3"/>
  <c r="AM32" i="3" s="1"/>
  <c r="AN32" i="3"/>
  <c r="AP32" i="3" s="1"/>
  <c r="M39" i="46"/>
  <c r="O38" i="46"/>
  <c r="S38" i="46"/>
  <c r="T38" i="46" s="1"/>
  <c r="AK34" i="41"/>
  <c r="AD34" i="41" s="1"/>
  <c r="H28" i="52"/>
  <c r="AF63" i="59"/>
  <c r="B48" i="61"/>
  <c r="L34" i="51"/>
  <c r="M36" i="51"/>
  <c r="Y35" i="51"/>
  <c r="S35" i="51"/>
  <c r="T35" i="51" s="1"/>
  <c r="O35" i="51"/>
  <c r="I35" i="51"/>
  <c r="J34" i="41"/>
  <c r="M35" i="41"/>
  <c r="Y34" i="41"/>
  <c r="S34" i="41"/>
  <c r="T34" i="41" s="1"/>
  <c r="K34" i="41"/>
  <c r="O34" i="41"/>
  <c r="B34" i="41" s="1"/>
  <c r="Z34" i="41"/>
  <c r="AA34" i="41" s="1"/>
  <c r="AG34" i="41"/>
  <c r="AH34" i="41" s="1"/>
  <c r="AI71" i="59"/>
  <c r="AJ71" i="59" s="1"/>
  <c r="H29" i="55"/>
  <c r="Q28" i="48"/>
  <c r="C41" i="61"/>
  <c r="AO31" i="1"/>
  <c r="AQ31" i="1"/>
  <c r="AS32" i="1" s="1"/>
  <c r="AN81" i="68" l="1"/>
  <c r="AO81" i="68" s="1"/>
  <c r="AP81" i="68"/>
  <c r="AR81" i="68" s="1"/>
  <c r="B81" i="68"/>
  <c r="AI83" i="68"/>
  <c r="AJ83" i="68" s="1"/>
  <c r="AS80" i="68"/>
  <c r="AU81" i="68" s="1"/>
  <c r="AQ80" i="68"/>
  <c r="M79" i="67"/>
  <c r="Z71" i="47"/>
  <c r="AA71" i="47" s="1"/>
  <c r="J71" i="47" s="1"/>
  <c r="L71" i="47" s="1"/>
  <c r="T80" i="67"/>
  <c r="U80" i="67" s="1"/>
  <c r="N81" i="67"/>
  <c r="Z80" i="67"/>
  <c r="AI80" i="67" s="1"/>
  <c r="AJ80" i="67" s="1"/>
  <c r="J80" i="67"/>
  <c r="P80" i="67"/>
  <c r="AQ34" i="57"/>
  <c r="AS35" i="57" s="1"/>
  <c r="AO34" i="57"/>
  <c r="AI79" i="67"/>
  <c r="AJ79" i="67" s="1"/>
  <c r="AD78" i="67"/>
  <c r="B35" i="57"/>
  <c r="AL35" i="57"/>
  <c r="AM35" i="57" s="1"/>
  <c r="AN35" i="57"/>
  <c r="AP35" i="57" s="1"/>
  <c r="AJ28" i="49"/>
  <c r="AC28" i="49" s="1"/>
  <c r="V29" i="49"/>
  <c r="Q29" i="49" s="1"/>
  <c r="F29" i="49" s="1"/>
  <c r="H29" i="49" s="1"/>
  <c r="AB28" i="49"/>
  <c r="R30" i="49"/>
  <c r="V30" i="49" s="1"/>
  <c r="Q30" i="49" s="1"/>
  <c r="F30" i="49" s="1"/>
  <c r="H30" i="49" s="1"/>
  <c r="U29" i="49"/>
  <c r="P29" i="49" s="1"/>
  <c r="B31" i="46"/>
  <c r="AN32" i="46" s="1"/>
  <c r="AP32" i="46" s="1"/>
  <c r="AN31" i="46"/>
  <c r="AP31" i="46" s="1"/>
  <c r="AO30" i="46"/>
  <c r="B32" i="48"/>
  <c r="AL33" i="48" s="1"/>
  <c r="AM33" i="48" s="1"/>
  <c r="AL32" i="48"/>
  <c r="AM32" i="48" s="1"/>
  <c r="AQ32" i="48" s="1"/>
  <c r="AS33" i="48" s="1"/>
  <c r="AD69" i="60"/>
  <c r="I65" i="60"/>
  <c r="R31" i="53"/>
  <c r="V31" i="53" s="1"/>
  <c r="Q31" i="53" s="1"/>
  <c r="H29" i="1"/>
  <c r="Y38" i="46"/>
  <c r="Y39" i="46" s="1"/>
  <c r="AG37" i="46"/>
  <c r="AH37" i="46" s="1"/>
  <c r="S32" i="54"/>
  <c r="T32" i="54" s="1"/>
  <c r="D22" i="54"/>
  <c r="Z31" i="54"/>
  <c r="AA31" i="54" s="1"/>
  <c r="J31" i="54" s="1"/>
  <c r="L31" i="54" s="1"/>
  <c r="Z37" i="46"/>
  <c r="AA37" i="46" s="1"/>
  <c r="J37" i="46" s="1"/>
  <c r="L37" i="46" s="1"/>
  <c r="AG36" i="55"/>
  <c r="AH36" i="55" s="1"/>
  <c r="AN31" i="48"/>
  <c r="AP31" i="48" s="1"/>
  <c r="AL31" i="48"/>
  <c r="AM31" i="48" s="1"/>
  <c r="AO31" i="54"/>
  <c r="AQ31" i="54" s="1"/>
  <c r="AM31" i="54"/>
  <c r="AN31" i="54" s="1"/>
  <c r="AR31" i="53"/>
  <c r="AT32" i="53" s="1"/>
  <c r="AP31" i="53"/>
  <c r="R32" i="1"/>
  <c r="AB31" i="1" s="1"/>
  <c r="AB30" i="1"/>
  <c r="AI70" i="60"/>
  <c r="AJ70" i="60" s="1"/>
  <c r="AK30" i="1"/>
  <c r="AD30" i="1" s="1"/>
  <c r="AA70" i="60"/>
  <c r="AB70" i="60" s="1"/>
  <c r="K70" i="60" s="1"/>
  <c r="M70" i="60" s="1"/>
  <c r="AO30" i="48"/>
  <c r="R30" i="39"/>
  <c r="U30" i="39" s="1"/>
  <c r="P30" i="39" s="1"/>
  <c r="V29" i="39"/>
  <c r="Q29" i="39" s="1"/>
  <c r="F29" i="39" s="1"/>
  <c r="AB28" i="39"/>
  <c r="V65" i="59"/>
  <c r="Q65" i="59" s="1"/>
  <c r="AI31" i="1"/>
  <c r="AJ31" i="1" s="1"/>
  <c r="U31" i="1"/>
  <c r="Q31" i="1" s="1"/>
  <c r="Y38" i="3"/>
  <c r="AG38" i="3" s="1"/>
  <c r="AH38" i="3" s="1"/>
  <c r="K38" i="3" s="1"/>
  <c r="AK28" i="39"/>
  <c r="AD28" i="39" s="1"/>
  <c r="G28" i="39" s="1"/>
  <c r="S66" i="59"/>
  <c r="V66" i="59" s="1"/>
  <c r="Q66" i="59" s="1"/>
  <c r="AK65" i="59"/>
  <c r="AM65" i="59" s="1"/>
  <c r="AF65" i="59" s="1"/>
  <c r="AC64" i="59"/>
  <c r="Z37" i="3"/>
  <c r="AA37" i="3" s="1"/>
  <c r="J37" i="3" s="1"/>
  <c r="L37" i="3" s="1"/>
  <c r="AI29" i="39"/>
  <c r="AJ29" i="39" s="1"/>
  <c r="AC29" i="39" s="1"/>
  <c r="AI29" i="45"/>
  <c r="AJ29" i="45" s="1"/>
  <c r="AC29" i="45" s="1"/>
  <c r="AL64" i="59"/>
  <c r="AE64" i="59" s="1"/>
  <c r="R30" i="45"/>
  <c r="V30" i="45" s="1"/>
  <c r="Q30" i="45" s="1"/>
  <c r="F30" i="45" s="1"/>
  <c r="H30" i="45" s="1"/>
  <c r="AB28" i="45"/>
  <c r="AQ31" i="55"/>
  <c r="AS32" i="55" s="1"/>
  <c r="AP78" i="67"/>
  <c r="AR78" i="67" s="1"/>
  <c r="B78" i="67"/>
  <c r="AN78" i="67"/>
  <c r="AO78" i="67" s="1"/>
  <c r="AS77" i="67"/>
  <c r="AU78" i="67" s="1"/>
  <c r="AQ77" i="67"/>
  <c r="V75" i="67"/>
  <c r="Q75" i="67" s="1"/>
  <c r="Z34" i="45"/>
  <c r="AA34" i="45" s="1"/>
  <c r="J34" i="45" s="1"/>
  <c r="L34" i="45" s="1"/>
  <c r="Y35" i="45"/>
  <c r="AG34" i="45"/>
  <c r="AH34" i="45" s="1"/>
  <c r="U29" i="45"/>
  <c r="P29" i="45" s="1"/>
  <c r="AJ28" i="45"/>
  <c r="AC28" i="45" s="1"/>
  <c r="Z34" i="49"/>
  <c r="AA34" i="49" s="1"/>
  <c r="J34" i="49" s="1"/>
  <c r="L34" i="49" s="1"/>
  <c r="AG34" i="49"/>
  <c r="AH34" i="49" s="1"/>
  <c r="Y35" i="49"/>
  <c r="AO31" i="55"/>
  <c r="L29" i="26"/>
  <c r="AN31" i="39"/>
  <c r="AP31" i="39" s="1"/>
  <c r="AL31" i="39"/>
  <c r="AM31" i="39" s="1"/>
  <c r="B31" i="39"/>
  <c r="AO30" i="39"/>
  <c r="AQ30" i="39"/>
  <c r="AS31" i="39" s="1"/>
  <c r="U29" i="3"/>
  <c r="P29" i="3" s="1"/>
  <c r="AB28" i="3"/>
  <c r="V29" i="3"/>
  <c r="Q29" i="3" s="1"/>
  <c r="F29" i="3" s="1"/>
  <c r="AI29" i="3"/>
  <c r="R30" i="3"/>
  <c r="AJ28" i="3"/>
  <c r="AC28" i="3" s="1"/>
  <c r="AK28" i="3"/>
  <c r="AD28" i="3" s="1"/>
  <c r="G28" i="3" s="1"/>
  <c r="AJ28" i="50"/>
  <c r="AC28" i="50" s="1"/>
  <c r="AJ29" i="49"/>
  <c r="AC29" i="49" s="1"/>
  <c r="AK29" i="49"/>
  <c r="AD29" i="49" s="1"/>
  <c r="AE30" i="26"/>
  <c r="AQ69" i="47"/>
  <c r="AR69" i="47" s="1"/>
  <c r="AT70" i="47" s="1"/>
  <c r="AP69" i="47"/>
  <c r="U28" i="54"/>
  <c r="P28" i="54" s="1"/>
  <c r="B70" i="47"/>
  <c r="AM71" i="47" s="1"/>
  <c r="AN71" i="47" s="1"/>
  <c r="AC30" i="54"/>
  <c r="Y32" i="54"/>
  <c r="AO70" i="47"/>
  <c r="AP30" i="54"/>
  <c r="AR30" i="54"/>
  <c r="AT31" i="54" s="1"/>
  <c r="B31" i="54" s="1"/>
  <c r="U29" i="50"/>
  <c r="P29" i="50" s="1"/>
  <c r="AI29" i="50"/>
  <c r="R30" i="50"/>
  <c r="V29" i="50"/>
  <c r="Q29" i="50" s="1"/>
  <c r="F29" i="50" s="1"/>
  <c r="AB28" i="50"/>
  <c r="R29" i="54"/>
  <c r="AB27" i="54"/>
  <c r="AJ28" i="54"/>
  <c r="AL28" i="54" s="1"/>
  <c r="AE28" i="54" s="1"/>
  <c r="AK27" i="54"/>
  <c r="AD27" i="54" s="1"/>
  <c r="AK29" i="53"/>
  <c r="AD29" i="53" s="1"/>
  <c r="AQ31" i="46"/>
  <c r="AS32" i="46" s="1"/>
  <c r="AJ29" i="46"/>
  <c r="AC29" i="46" s="1"/>
  <c r="AN31" i="26"/>
  <c r="AO31" i="26" s="1"/>
  <c r="V30" i="46"/>
  <c r="Q30" i="46" s="1"/>
  <c r="F30" i="46" s="1"/>
  <c r="H30" i="46" s="1"/>
  <c r="AI30" i="46"/>
  <c r="AK30" i="46" s="1"/>
  <c r="AD30" i="46" s="1"/>
  <c r="AB29" i="46"/>
  <c r="R31" i="46"/>
  <c r="V31" i="46" s="1"/>
  <c r="Q31" i="46" s="1"/>
  <c r="F31" i="46" s="1"/>
  <c r="H31" i="46" s="1"/>
  <c r="V31" i="26"/>
  <c r="P31" i="26" s="1"/>
  <c r="W31" i="26"/>
  <c r="Q31" i="26" s="1"/>
  <c r="AK29" i="46"/>
  <c r="AD29" i="46" s="1"/>
  <c r="V30" i="53"/>
  <c r="Q30" i="53" s="1"/>
  <c r="F30" i="53" s="1"/>
  <c r="H30" i="53" s="1"/>
  <c r="AB29" i="53"/>
  <c r="U30" i="53"/>
  <c r="AJ30" i="53"/>
  <c r="AL65" i="60"/>
  <c r="AE65" i="60" s="1"/>
  <c r="AC31" i="53"/>
  <c r="Y33" i="53"/>
  <c r="Q29" i="53"/>
  <c r="Z36" i="55"/>
  <c r="AA36" i="55" s="1"/>
  <c r="J36" i="55" s="1"/>
  <c r="L36" i="55" s="1"/>
  <c r="AJ29" i="52"/>
  <c r="AC29" i="52" s="1"/>
  <c r="AK29" i="52"/>
  <c r="AD29" i="52" s="1"/>
  <c r="AO30" i="26"/>
  <c r="AF30" i="26" s="1"/>
  <c r="AP30" i="26"/>
  <c r="AG30" i="26" s="1"/>
  <c r="G30" i="26" s="1"/>
  <c r="AV32" i="26"/>
  <c r="AX33" i="26" s="1"/>
  <c r="AT32" i="26"/>
  <c r="S67" i="60"/>
  <c r="W67" i="60" s="1"/>
  <c r="R67" i="60" s="1"/>
  <c r="G67" i="60" s="1"/>
  <c r="I67" i="60" s="1"/>
  <c r="AK66" i="60"/>
  <c r="AL66" i="60" s="1"/>
  <c r="AE66" i="60" s="1"/>
  <c r="AC65" i="60"/>
  <c r="AS68" i="60"/>
  <c r="AU69" i="60" s="1"/>
  <c r="AQ68" i="60"/>
  <c r="AQ33" i="26"/>
  <c r="AR33" i="26" s="1"/>
  <c r="AS33" i="26"/>
  <c r="AU33" i="26" s="1"/>
  <c r="B33" i="26"/>
  <c r="U30" i="52"/>
  <c r="P30" i="52" s="1"/>
  <c r="R31" i="52"/>
  <c r="V30" i="52"/>
  <c r="Q30" i="52" s="1"/>
  <c r="F30" i="52" s="1"/>
  <c r="H30" i="52" s="1"/>
  <c r="AB29" i="52"/>
  <c r="AI30" i="52"/>
  <c r="AK30" i="52" s="1"/>
  <c r="AD30" i="52" s="1"/>
  <c r="AN31" i="52"/>
  <c r="AP31" i="52" s="1"/>
  <c r="AL31" i="52"/>
  <c r="AM31" i="52" s="1"/>
  <c r="B31" i="52"/>
  <c r="AA71" i="60"/>
  <c r="AB71" i="60" s="1"/>
  <c r="K71" i="60" s="1"/>
  <c r="M71" i="60" s="1"/>
  <c r="AD70" i="60"/>
  <c r="Z72" i="60"/>
  <c r="V66" i="60"/>
  <c r="Q66" i="60" s="1"/>
  <c r="W66" i="60"/>
  <c r="R66" i="60" s="1"/>
  <c r="G66" i="60" s="1"/>
  <c r="I66" i="60" s="1"/>
  <c r="AO30" i="52"/>
  <c r="AQ30" i="52"/>
  <c r="AS31" i="52" s="1"/>
  <c r="B69" i="60"/>
  <c r="AP69" i="60"/>
  <c r="AR69" i="60" s="1"/>
  <c r="AN69" i="60"/>
  <c r="AO69" i="60" s="1"/>
  <c r="AG36" i="52"/>
  <c r="AH36" i="52" s="1"/>
  <c r="V30" i="48"/>
  <c r="Q30" i="48" s="1"/>
  <c r="F30" i="48" s="1"/>
  <c r="H30" i="48" s="1"/>
  <c r="AQ33" i="49"/>
  <c r="AS34" i="49" s="1"/>
  <c r="AO33" i="49"/>
  <c r="B34" i="49"/>
  <c r="AL34" i="49"/>
  <c r="AM34" i="49" s="1"/>
  <c r="AN34" i="49"/>
  <c r="AP34" i="49" s="1"/>
  <c r="Z37" i="39"/>
  <c r="AA37" i="39" s="1"/>
  <c r="J37" i="39" s="1"/>
  <c r="L37" i="39" s="1"/>
  <c r="U30" i="55"/>
  <c r="P30" i="55" s="1"/>
  <c r="AK29" i="55"/>
  <c r="AD29" i="55" s="1"/>
  <c r="U30" i="51"/>
  <c r="P30" i="51" s="1"/>
  <c r="AP69" i="59"/>
  <c r="AR69" i="59" s="1"/>
  <c r="AN69" i="59"/>
  <c r="AO69" i="59" s="1"/>
  <c r="B69" i="59"/>
  <c r="AS68" i="59"/>
  <c r="AU69" i="59" s="1"/>
  <c r="AQ68" i="59"/>
  <c r="AC74" i="67"/>
  <c r="S76" i="67"/>
  <c r="AK75" i="67"/>
  <c r="AL75" i="67" s="1"/>
  <c r="AE75" i="67" s="1"/>
  <c r="AL64" i="47"/>
  <c r="AE64" i="47" s="1"/>
  <c r="AJ29" i="48"/>
  <c r="AC29" i="48" s="1"/>
  <c r="AO32" i="55"/>
  <c r="AQ32" i="55"/>
  <c r="AS33" i="55" s="1"/>
  <c r="R31" i="55"/>
  <c r="V31" i="55" s="1"/>
  <c r="Q31" i="55" s="1"/>
  <c r="F31" i="55" s="1"/>
  <c r="H31" i="55" s="1"/>
  <c r="AB29" i="55"/>
  <c r="AI30" i="55"/>
  <c r="AK30" i="55" s="1"/>
  <c r="AD30" i="55" s="1"/>
  <c r="AQ32" i="50"/>
  <c r="AS33" i="50" s="1"/>
  <c r="AO32" i="50"/>
  <c r="AK64" i="47"/>
  <c r="AD64" i="47" s="1"/>
  <c r="W75" i="67"/>
  <c r="R75" i="67" s="1"/>
  <c r="AK29" i="51"/>
  <c r="AD29" i="51" s="1"/>
  <c r="AG33" i="50"/>
  <c r="AH33" i="50" s="1"/>
  <c r="Z33" i="50"/>
  <c r="AA33" i="50" s="1"/>
  <c r="J33" i="50" s="1"/>
  <c r="L33" i="50" s="1"/>
  <c r="Y34" i="50"/>
  <c r="AJ29" i="51"/>
  <c r="AC29" i="51" s="1"/>
  <c r="AL33" i="55"/>
  <c r="AM33" i="55" s="1"/>
  <c r="AN33" i="55"/>
  <c r="AP33" i="55" s="1"/>
  <c r="B33" i="55"/>
  <c r="B33" i="50"/>
  <c r="AN33" i="50"/>
  <c r="AP33" i="50" s="1"/>
  <c r="AL33" i="50"/>
  <c r="AM33" i="50" s="1"/>
  <c r="AL74" i="67"/>
  <c r="AE74" i="67" s="1"/>
  <c r="R31" i="51"/>
  <c r="AI30" i="51"/>
  <c r="AK30" i="51" s="1"/>
  <c r="AD30" i="51" s="1"/>
  <c r="AB29" i="51"/>
  <c r="U65" i="47"/>
  <c r="P65" i="47" s="1"/>
  <c r="R66" i="47"/>
  <c r="AB64" i="47"/>
  <c r="AJ65" i="47"/>
  <c r="AK65" i="47" s="1"/>
  <c r="AD65" i="47" s="1"/>
  <c r="AN35" i="41"/>
  <c r="AP35" i="41" s="1"/>
  <c r="AL35" i="41"/>
  <c r="AM35" i="41" s="1"/>
  <c r="R32" i="26"/>
  <c r="AD29" i="48"/>
  <c r="O36" i="50"/>
  <c r="M37" i="50"/>
  <c r="S36" i="50"/>
  <c r="T36" i="50" s="1"/>
  <c r="I36" i="50"/>
  <c r="AI36" i="41"/>
  <c r="AB35" i="41"/>
  <c r="R37" i="41"/>
  <c r="E41" i="61"/>
  <c r="L41" i="61"/>
  <c r="G34" i="41"/>
  <c r="M40" i="46"/>
  <c r="O39" i="46"/>
  <c r="S39" i="46"/>
  <c r="T39" i="46" s="1"/>
  <c r="F28" i="48"/>
  <c r="S35" i="41"/>
  <c r="T35" i="41" s="1"/>
  <c r="J35" i="41"/>
  <c r="M36" i="41"/>
  <c r="Y35" i="41"/>
  <c r="Z35" i="41" s="1"/>
  <c r="AA35" i="41" s="1"/>
  <c r="O35" i="41"/>
  <c r="B35" i="41" s="1"/>
  <c r="K35" i="41"/>
  <c r="B49" i="61"/>
  <c r="AQ33" i="45"/>
  <c r="AS34" i="45" s="1"/>
  <c r="AO33" i="45"/>
  <c r="W78" i="68"/>
  <c r="Z84" i="68"/>
  <c r="AA84" i="68" s="1"/>
  <c r="AB84" i="68" s="1"/>
  <c r="K84" i="68" s="1"/>
  <c r="M84" i="68" s="1"/>
  <c r="M40" i="1"/>
  <c r="O39" i="1"/>
  <c r="S39" i="1"/>
  <c r="T39" i="1" s="1"/>
  <c r="Y39" i="1"/>
  <c r="Z39" i="1" s="1"/>
  <c r="AA39" i="1" s="1"/>
  <c r="J39" i="1" s="1"/>
  <c r="I39" i="1"/>
  <c r="U36" i="41"/>
  <c r="P36" i="41" s="1"/>
  <c r="AQ32" i="1"/>
  <c r="AS33" i="1" s="1"/>
  <c r="AO32" i="1"/>
  <c r="M45" i="3"/>
  <c r="O44" i="3"/>
  <c r="S44" i="3"/>
  <c r="T44" i="3" s="1"/>
  <c r="I44" i="3"/>
  <c r="AC70" i="47"/>
  <c r="AJ35" i="41"/>
  <c r="AC35" i="41" s="1"/>
  <c r="AB29" i="48"/>
  <c r="AI30" i="48"/>
  <c r="AK30" i="48" s="1"/>
  <c r="AD30" i="48" s="1"/>
  <c r="R31" i="48"/>
  <c r="V31" i="48" s="1"/>
  <c r="M39" i="39"/>
  <c r="O38" i="39"/>
  <c r="I38" i="39"/>
  <c r="Y38" i="39"/>
  <c r="Z38" i="39" s="1"/>
  <c r="AA38" i="39" s="1"/>
  <c r="J38" i="39" s="1"/>
  <c r="S38" i="39"/>
  <c r="T38" i="39" s="1"/>
  <c r="M39" i="26"/>
  <c r="BF38" i="26"/>
  <c r="S38" i="26"/>
  <c r="T38" i="26" s="1"/>
  <c r="U38" i="26" s="1"/>
  <c r="I38" i="26" s="1"/>
  <c r="AA38" i="26"/>
  <c r="O38" i="26"/>
  <c r="Z40" i="48"/>
  <c r="AA40" i="48" s="1"/>
  <c r="J40" i="48" s="1"/>
  <c r="L40" i="48" s="1"/>
  <c r="M37" i="51"/>
  <c r="O36" i="51"/>
  <c r="Y36" i="51"/>
  <c r="AG36" i="51" s="1"/>
  <c r="AH36" i="51" s="1"/>
  <c r="S36" i="51"/>
  <c r="T36" i="51" s="1"/>
  <c r="I36" i="51"/>
  <c r="L34" i="41"/>
  <c r="AO32" i="3"/>
  <c r="AQ32" i="3"/>
  <c r="AS33" i="3" s="1"/>
  <c r="AC77" i="68"/>
  <c r="AK78" i="68"/>
  <c r="AL78" i="68" s="1"/>
  <c r="AE78" i="68" s="1"/>
  <c r="S79" i="68"/>
  <c r="V79" i="68" s="1"/>
  <c r="D74" i="61"/>
  <c r="C74" i="61"/>
  <c r="E74" i="61"/>
  <c r="R34" i="57"/>
  <c r="V34" i="57"/>
  <c r="Q34" i="57" s="1"/>
  <c r="F34" i="57" s="1"/>
  <c r="H34" i="57" s="1"/>
  <c r="AI33" i="57"/>
  <c r="U34" i="57"/>
  <c r="P34" i="57" s="1"/>
  <c r="AB32" i="57"/>
  <c r="M38" i="52"/>
  <c r="I37" i="52"/>
  <c r="O37" i="52"/>
  <c r="S37" i="52"/>
  <c r="T37" i="52" s="1"/>
  <c r="Y37" i="52"/>
  <c r="Z37" i="52" s="1"/>
  <c r="AA37" i="52" s="1"/>
  <c r="J37" i="52" s="1"/>
  <c r="V36" i="41"/>
  <c r="Q36" i="41" s="1"/>
  <c r="F36" i="41" s="1"/>
  <c r="S72" i="47"/>
  <c r="T72" i="47" s="1"/>
  <c r="I72" i="47" s="1"/>
  <c r="M73" i="47"/>
  <c r="Y72" i="47"/>
  <c r="AH72" i="47" s="1"/>
  <c r="AI72" i="47" s="1"/>
  <c r="O72" i="47"/>
  <c r="M40" i="57"/>
  <c r="O39" i="57"/>
  <c r="S39" i="57"/>
  <c r="T39" i="57" s="1"/>
  <c r="I39" i="57"/>
  <c r="Y39" i="57"/>
  <c r="AG39" i="57" s="1"/>
  <c r="AH39" i="57" s="1"/>
  <c r="F31" i="57"/>
  <c r="P30" i="48"/>
  <c r="AL77" i="68"/>
  <c r="AD71" i="59"/>
  <c r="AG40" i="48"/>
  <c r="AH40" i="48" s="1"/>
  <c r="Z38" i="1"/>
  <c r="AA38" i="1" s="1"/>
  <c r="J38" i="1" s="1"/>
  <c r="L38" i="1" s="1"/>
  <c r="I77" i="68"/>
  <c r="AN33" i="3"/>
  <c r="AP33" i="3" s="1"/>
  <c r="B33" i="3"/>
  <c r="AL33" i="3"/>
  <c r="AM33" i="3" s="1"/>
  <c r="M42" i="48"/>
  <c r="S41" i="48"/>
  <c r="T41" i="48" s="1"/>
  <c r="Y41" i="48"/>
  <c r="AG41" i="48" s="1"/>
  <c r="AH41" i="48" s="1"/>
  <c r="O41" i="48"/>
  <c r="I41" i="48"/>
  <c r="B33" i="1"/>
  <c r="AL33" i="1"/>
  <c r="AM33" i="1" s="1"/>
  <c r="AN33" i="1"/>
  <c r="AP33" i="1" s="1"/>
  <c r="Z35" i="51"/>
  <c r="AA35" i="51" s="1"/>
  <c r="J35" i="51" s="1"/>
  <c r="L35" i="51" s="1"/>
  <c r="Q77" i="68"/>
  <c r="P88" i="68"/>
  <c r="T88" i="68"/>
  <c r="U88" i="68" s="1"/>
  <c r="N89" i="68"/>
  <c r="J88" i="68"/>
  <c r="AI38" i="26"/>
  <c r="AL38" i="26" s="1"/>
  <c r="K38" i="26" s="1"/>
  <c r="AB38" i="26"/>
  <c r="AC38" i="26" s="1"/>
  <c r="J38" i="26" s="1"/>
  <c r="AM77" i="68"/>
  <c r="M72" i="59"/>
  <c r="T73" i="59"/>
  <c r="U73" i="59" s="1"/>
  <c r="Z73" i="59"/>
  <c r="AA73" i="59" s="1"/>
  <c r="AB73" i="59" s="1"/>
  <c r="K73" i="59" s="1"/>
  <c r="N74" i="59"/>
  <c r="P73" i="59"/>
  <c r="J73" i="59"/>
  <c r="AN34" i="45"/>
  <c r="AP34" i="45" s="1"/>
  <c r="AL34" i="45"/>
  <c r="AM34" i="45" s="1"/>
  <c r="B34" i="45"/>
  <c r="A76" i="61"/>
  <c r="B75" i="61"/>
  <c r="AO32" i="51"/>
  <c r="AQ32" i="51"/>
  <c r="AS33" i="51" s="1"/>
  <c r="AJ36" i="41"/>
  <c r="AC36" i="41" s="1"/>
  <c r="AK36" i="41"/>
  <c r="AD36" i="41" s="1"/>
  <c r="G36" i="41" s="1"/>
  <c r="AL33" i="51"/>
  <c r="AM33" i="51" s="1"/>
  <c r="AN33" i="51"/>
  <c r="AP33" i="51" s="1"/>
  <c r="B33" i="51"/>
  <c r="AO34" i="41"/>
  <c r="AQ34" i="41"/>
  <c r="AS35" i="41" s="1"/>
  <c r="AK33" i="57"/>
  <c r="AD33" i="57" s="1"/>
  <c r="AJ33" i="57"/>
  <c r="AC33" i="57" s="1"/>
  <c r="L36" i="52"/>
  <c r="AG35" i="51"/>
  <c r="AH35" i="51" s="1"/>
  <c r="Z39" i="57"/>
  <c r="AA39" i="57" s="1"/>
  <c r="J39" i="57" s="1"/>
  <c r="O37" i="55"/>
  <c r="M38" i="55"/>
  <c r="S37" i="55"/>
  <c r="T37" i="55" s="1"/>
  <c r="Y37" i="55"/>
  <c r="AG37" i="55" s="1"/>
  <c r="AH37" i="55" s="1"/>
  <c r="M38" i="45"/>
  <c r="O37" i="45"/>
  <c r="S37" i="45"/>
  <c r="T37" i="45" s="1"/>
  <c r="Z38" i="57"/>
  <c r="AA38" i="57" s="1"/>
  <c r="J38" i="57" s="1"/>
  <c r="L38" i="57" s="1"/>
  <c r="H35" i="41"/>
  <c r="AI84" i="68" l="1"/>
  <c r="AJ84" i="68" s="1"/>
  <c r="AN82" i="68"/>
  <c r="AO82" i="68" s="1"/>
  <c r="B82" i="68"/>
  <c r="AP82" i="68"/>
  <c r="AR82" i="68" s="1"/>
  <c r="AS81" i="68"/>
  <c r="AU82" i="68" s="1"/>
  <c r="AQ81" i="68"/>
  <c r="AQ31" i="48"/>
  <c r="AS32" i="48" s="1"/>
  <c r="Z72" i="47"/>
  <c r="AA72" i="47" s="1"/>
  <c r="J72" i="47" s="1"/>
  <c r="L35" i="41"/>
  <c r="AO35" i="57"/>
  <c r="AQ35" i="57"/>
  <c r="AS36" i="57" s="1"/>
  <c r="W79" i="68"/>
  <c r="R79" i="68" s="1"/>
  <c r="G79" i="68" s="1"/>
  <c r="I79" i="68" s="1"/>
  <c r="B36" i="57"/>
  <c r="AN36" i="57"/>
  <c r="AP36" i="57" s="1"/>
  <c r="AL36" i="57"/>
  <c r="AM36" i="57" s="1"/>
  <c r="AD79" i="67"/>
  <c r="AA80" i="67"/>
  <c r="AB80" i="67" s="1"/>
  <c r="K80" i="67" s="1"/>
  <c r="M80" i="67" s="1"/>
  <c r="J81" i="67"/>
  <c r="T81" i="67"/>
  <c r="U81" i="67" s="1"/>
  <c r="P81" i="67"/>
  <c r="Z81" i="67"/>
  <c r="AA81" i="67" s="1"/>
  <c r="AB81" i="67" s="1"/>
  <c r="K81" i="67" s="1"/>
  <c r="N82" i="67"/>
  <c r="AI30" i="49"/>
  <c r="AJ30" i="49" s="1"/>
  <c r="AC30" i="49" s="1"/>
  <c r="AO32" i="48"/>
  <c r="U30" i="49"/>
  <c r="P30" i="49" s="1"/>
  <c r="AO31" i="46"/>
  <c r="AL32" i="46"/>
  <c r="AM32" i="46" s="1"/>
  <c r="AQ32" i="46" s="1"/>
  <c r="AS33" i="46" s="1"/>
  <c r="AB29" i="49"/>
  <c r="R31" i="49"/>
  <c r="V31" i="49" s="1"/>
  <c r="Q31" i="49" s="1"/>
  <c r="F31" i="49" s="1"/>
  <c r="H31" i="49" s="1"/>
  <c r="B32" i="46"/>
  <c r="AN33" i="46" s="1"/>
  <c r="AP33" i="46" s="1"/>
  <c r="AN33" i="48"/>
  <c r="AP33" i="48" s="1"/>
  <c r="B33" i="48"/>
  <c r="B34" i="48" s="1"/>
  <c r="W66" i="59"/>
  <c r="R66" i="59" s="1"/>
  <c r="G66" i="59" s="1"/>
  <c r="S67" i="59"/>
  <c r="V67" i="59" s="1"/>
  <c r="Q67" i="59" s="1"/>
  <c r="U32" i="1"/>
  <c r="Q32" i="1" s="1"/>
  <c r="F32" i="1" s="1"/>
  <c r="H32" i="1" s="1"/>
  <c r="V32" i="1"/>
  <c r="AI32" i="1"/>
  <c r="AJ32" i="1" s="1"/>
  <c r="AC32" i="1" s="1"/>
  <c r="P31" i="1"/>
  <c r="AK31" i="1"/>
  <c r="AD31" i="1" s="1"/>
  <c r="AC65" i="59"/>
  <c r="AK66" i="59"/>
  <c r="AL66" i="59" s="1"/>
  <c r="R86" i="53"/>
  <c r="R33" i="1"/>
  <c r="V33" i="1" s="1"/>
  <c r="AO31" i="48"/>
  <c r="U31" i="53"/>
  <c r="P31" i="53" s="1"/>
  <c r="AB30" i="53"/>
  <c r="R31" i="39"/>
  <c r="U31" i="39" s="1"/>
  <c r="P31" i="39" s="1"/>
  <c r="AI30" i="39"/>
  <c r="AJ30" i="39" s="1"/>
  <c r="AC30" i="39" s="1"/>
  <c r="H28" i="39"/>
  <c r="AJ31" i="53"/>
  <c r="AJ86" i="53" s="1"/>
  <c r="AB31" i="53"/>
  <c r="AP31" i="54"/>
  <c r="AR31" i="54"/>
  <c r="AT32" i="54" s="1"/>
  <c r="H29" i="50"/>
  <c r="Z37" i="55"/>
  <c r="AA37" i="55" s="1"/>
  <c r="J37" i="55" s="1"/>
  <c r="L37" i="55" s="1"/>
  <c r="V30" i="39"/>
  <c r="Q30" i="39" s="1"/>
  <c r="F30" i="39" s="1"/>
  <c r="AB29" i="39"/>
  <c r="Y39" i="3"/>
  <c r="Z39" i="3" s="1"/>
  <c r="AA39" i="3" s="1"/>
  <c r="J39" i="3" s="1"/>
  <c r="Z38" i="3"/>
  <c r="AA38" i="3" s="1"/>
  <c r="J38" i="3" s="1"/>
  <c r="L38" i="3" s="1"/>
  <c r="AL65" i="59"/>
  <c r="AE65" i="59" s="1"/>
  <c r="R31" i="45"/>
  <c r="U31" i="45" s="1"/>
  <c r="P31" i="45" s="1"/>
  <c r="AK29" i="39"/>
  <c r="AD29" i="39" s="1"/>
  <c r="G29" i="39" s="1"/>
  <c r="H29" i="39" s="1"/>
  <c r="AB29" i="45"/>
  <c r="AK29" i="45"/>
  <c r="AD29" i="45" s="1"/>
  <c r="U30" i="45"/>
  <c r="P30" i="45" s="1"/>
  <c r="AI30" i="45"/>
  <c r="AJ30" i="45" s="1"/>
  <c r="AC30" i="45" s="1"/>
  <c r="AS78" i="67"/>
  <c r="AU79" i="67" s="1"/>
  <c r="AQ78" i="67"/>
  <c r="AP79" i="67"/>
  <c r="AR79" i="67" s="1"/>
  <c r="B79" i="67"/>
  <c r="AN79" i="67"/>
  <c r="AO79" i="67" s="1"/>
  <c r="V76" i="67"/>
  <c r="Q76" i="67" s="1"/>
  <c r="AG35" i="45"/>
  <c r="AH35" i="45" s="1"/>
  <c r="Y36" i="45"/>
  <c r="Z35" i="45"/>
  <c r="AA35" i="45" s="1"/>
  <c r="J35" i="45" s="1"/>
  <c r="L35" i="45" s="1"/>
  <c r="AG35" i="49"/>
  <c r="AH35" i="49" s="1"/>
  <c r="Z35" i="49"/>
  <c r="AA35" i="49" s="1"/>
  <c r="J35" i="49" s="1"/>
  <c r="L35" i="49" s="1"/>
  <c r="Y36" i="49"/>
  <c r="AL32" i="39"/>
  <c r="AM32" i="39" s="1"/>
  <c r="AN32" i="39"/>
  <c r="AP32" i="39" s="1"/>
  <c r="B32" i="39"/>
  <c r="AQ31" i="39"/>
  <c r="AS32" i="39" s="1"/>
  <c r="AO31" i="39"/>
  <c r="G75" i="67"/>
  <c r="AJ29" i="3"/>
  <c r="AC29" i="3" s="1"/>
  <c r="AK29" i="3"/>
  <c r="AD29" i="3" s="1"/>
  <c r="G29" i="3" s="1"/>
  <c r="H29" i="3" s="1"/>
  <c r="V30" i="3"/>
  <c r="Q30" i="3" s="1"/>
  <c r="F30" i="3" s="1"/>
  <c r="U30" i="3"/>
  <c r="P30" i="3" s="1"/>
  <c r="AI30" i="3"/>
  <c r="AB29" i="3"/>
  <c r="R31" i="3"/>
  <c r="AJ30" i="48"/>
  <c r="AC30" i="48" s="1"/>
  <c r="AP31" i="26"/>
  <c r="AG31" i="26" s="1"/>
  <c r="G31" i="26" s="1"/>
  <c r="B71" i="47"/>
  <c r="B72" i="47" s="1"/>
  <c r="AM73" i="47" s="1"/>
  <c r="AN73" i="47" s="1"/>
  <c r="AO71" i="47"/>
  <c r="AM75" i="67"/>
  <c r="AF75" i="67" s="1"/>
  <c r="V29" i="54"/>
  <c r="R30" i="54"/>
  <c r="AJ29" i="54"/>
  <c r="AK29" i="54" s="1"/>
  <c r="AD29" i="54" s="1"/>
  <c r="AB28" i="54"/>
  <c r="AK29" i="50"/>
  <c r="AD29" i="50" s="1"/>
  <c r="AJ29" i="50"/>
  <c r="AC29" i="50" s="1"/>
  <c r="AQ70" i="47"/>
  <c r="AP70" i="47"/>
  <c r="U29" i="54"/>
  <c r="Y33" i="54"/>
  <c r="AC31" i="54"/>
  <c r="AK28" i="54"/>
  <c r="AD28" i="54" s="1"/>
  <c r="V30" i="50"/>
  <c r="Q30" i="50" s="1"/>
  <c r="F30" i="50" s="1"/>
  <c r="H30" i="50" s="1"/>
  <c r="R31" i="50"/>
  <c r="U30" i="50"/>
  <c r="P30" i="50" s="1"/>
  <c r="AI30" i="50"/>
  <c r="AB29" i="50"/>
  <c r="U31" i="46"/>
  <c r="P31" i="46" s="1"/>
  <c r="AI31" i="46"/>
  <c r="AJ31" i="46" s="1"/>
  <c r="AC31" i="46" s="1"/>
  <c r="R32" i="46"/>
  <c r="U32" i="46" s="1"/>
  <c r="P32" i="46" s="1"/>
  <c r="AB30" i="46"/>
  <c r="V86" i="53"/>
  <c r="AG39" i="1"/>
  <c r="AH39" i="1" s="1"/>
  <c r="AJ30" i="46"/>
  <c r="AC30" i="46" s="1"/>
  <c r="F29" i="53"/>
  <c r="Q86" i="53"/>
  <c r="Y34" i="53"/>
  <c r="AC32" i="53"/>
  <c r="AL30" i="53"/>
  <c r="AK30" i="53"/>
  <c r="P30" i="53"/>
  <c r="AM66" i="60"/>
  <c r="AF66" i="60" s="1"/>
  <c r="AJ30" i="55"/>
  <c r="AC30" i="55" s="1"/>
  <c r="AI72" i="60"/>
  <c r="AJ72" i="60" s="1"/>
  <c r="AA72" i="60"/>
  <c r="AB72" i="60" s="1"/>
  <c r="K72" i="60" s="1"/>
  <c r="M72" i="60" s="1"/>
  <c r="Z73" i="60"/>
  <c r="AO31" i="52"/>
  <c r="AQ31" i="52"/>
  <c r="AS32" i="52" s="1"/>
  <c r="AJ30" i="52"/>
  <c r="AC30" i="52" s="1"/>
  <c r="AS69" i="60"/>
  <c r="AU70" i="60" s="1"/>
  <c r="AQ69" i="60"/>
  <c r="U31" i="52"/>
  <c r="P31" i="52" s="1"/>
  <c r="V31" i="52"/>
  <c r="Q31" i="52" s="1"/>
  <c r="F31" i="52" s="1"/>
  <c r="H31" i="52" s="1"/>
  <c r="AI31" i="52"/>
  <c r="AB30" i="52"/>
  <c r="R32" i="52"/>
  <c r="AV33" i="26"/>
  <c r="AX34" i="26" s="1"/>
  <c r="AT33" i="26"/>
  <c r="H30" i="26"/>
  <c r="L30" i="26"/>
  <c r="AN70" i="60"/>
  <c r="AO70" i="60" s="1"/>
  <c r="B70" i="60"/>
  <c r="AP70" i="60"/>
  <c r="AR70" i="60" s="1"/>
  <c r="B32" i="52"/>
  <c r="AL32" i="52"/>
  <c r="AM32" i="52" s="1"/>
  <c r="AN32" i="52"/>
  <c r="AP32" i="52" s="1"/>
  <c r="AS34" i="26"/>
  <c r="AU34" i="26" s="1"/>
  <c r="AQ34" i="26"/>
  <c r="AR34" i="26" s="1"/>
  <c r="B34" i="26"/>
  <c r="V67" i="60"/>
  <c r="Q67" i="60" s="1"/>
  <c r="S68" i="60"/>
  <c r="AC66" i="60"/>
  <c r="AK67" i="60"/>
  <c r="AL67" i="60" s="1"/>
  <c r="AE67" i="60" s="1"/>
  <c r="AN35" i="49"/>
  <c r="AP35" i="49" s="1"/>
  <c r="B35" i="49"/>
  <c r="AL35" i="49"/>
  <c r="AM35" i="49" s="1"/>
  <c r="U31" i="55"/>
  <c r="P31" i="55" s="1"/>
  <c r="AL65" i="47"/>
  <c r="AE65" i="47" s="1"/>
  <c r="AQ34" i="49"/>
  <c r="AS35" i="49" s="1"/>
  <c r="AO34" i="49"/>
  <c r="L72" i="47"/>
  <c r="Z36" i="51"/>
  <c r="AA36" i="51" s="1"/>
  <c r="J36" i="51" s="1"/>
  <c r="L36" i="51" s="1"/>
  <c r="W76" i="67"/>
  <c r="R76" i="67" s="1"/>
  <c r="B70" i="59"/>
  <c r="AP70" i="59"/>
  <c r="AR70" i="59" s="1"/>
  <c r="AN70" i="59"/>
  <c r="AO70" i="59" s="1"/>
  <c r="AS69" i="59"/>
  <c r="AU70" i="59" s="1"/>
  <c r="AQ69" i="59"/>
  <c r="AO33" i="55"/>
  <c r="AQ33" i="55"/>
  <c r="AS34" i="55" s="1"/>
  <c r="AJ30" i="51"/>
  <c r="AC30" i="51" s="1"/>
  <c r="AG37" i="52"/>
  <c r="AH37" i="52" s="1"/>
  <c r="V66" i="47"/>
  <c r="Q66" i="47" s="1"/>
  <c r="F66" i="47" s="1"/>
  <c r="H66" i="47" s="1"/>
  <c r="R67" i="47"/>
  <c r="AB65" i="47"/>
  <c r="AJ66" i="47"/>
  <c r="AK66" i="47" s="1"/>
  <c r="AD66" i="47" s="1"/>
  <c r="AL34" i="50"/>
  <c r="AM34" i="50" s="1"/>
  <c r="B34" i="50"/>
  <c r="AN34" i="50"/>
  <c r="AP34" i="50" s="1"/>
  <c r="AG34" i="50"/>
  <c r="AH34" i="50" s="1"/>
  <c r="Z34" i="50"/>
  <c r="AA34" i="50" s="1"/>
  <c r="J34" i="50" s="1"/>
  <c r="L34" i="50" s="1"/>
  <c r="Y35" i="50"/>
  <c r="Z35" i="50" s="1"/>
  <c r="AA35" i="50" s="1"/>
  <c r="J35" i="50" s="1"/>
  <c r="L35" i="50" s="1"/>
  <c r="U66" i="47"/>
  <c r="P66" i="47" s="1"/>
  <c r="U31" i="51"/>
  <c r="P31" i="51" s="1"/>
  <c r="AB30" i="51"/>
  <c r="AI31" i="51"/>
  <c r="R32" i="51"/>
  <c r="AL34" i="55"/>
  <c r="AM34" i="55" s="1"/>
  <c r="B34" i="55"/>
  <c r="AN34" i="55"/>
  <c r="AP34" i="55" s="1"/>
  <c r="AI31" i="55"/>
  <c r="AJ31" i="55" s="1"/>
  <c r="AC31" i="55" s="1"/>
  <c r="AB30" i="55"/>
  <c r="R32" i="55"/>
  <c r="U32" i="55" s="1"/>
  <c r="P32" i="55" s="1"/>
  <c r="V31" i="51"/>
  <c r="Q31" i="51" s="1"/>
  <c r="F31" i="51" s="1"/>
  <c r="H31" i="51" s="1"/>
  <c r="AO33" i="50"/>
  <c r="AQ33" i="50"/>
  <c r="AS34" i="50" s="1"/>
  <c r="AC75" i="67"/>
  <c r="AK76" i="67"/>
  <c r="S77" i="67"/>
  <c r="Q79" i="68"/>
  <c r="Q31" i="48"/>
  <c r="AO33" i="51"/>
  <c r="AQ33" i="51"/>
  <c r="AS34" i="51" s="1"/>
  <c r="O40" i="57"/>
  <c r="Y40" i="57"/>
  <c r="S40" i="57"/>
  <c r="T40" i="57" s="1"/>
  <c r="I40" i="57"/>
  <c r="M41" i="57"/>
  <c r="AL35" i="45"/>
  <c r="AM35" i="45" s="1"/>
  <c r="AN35" i="45"/>
  <c r="AP35" i="45" s="1"/>
  <c r="B35" i="45"/>
  <c r="F31" i="1"/>
  <c r="N75" i="59"/>
  <c r="Z74" i="59"/>
  <c r="AI74" i="59" s="1"/>
  <c r="AJ74" i="59" s="1"/>
  <c r="P74" i="59"/>
  <c r="T74" i="59"/>
  <c r="U74" i="59" s="1"/>
  <c r="J74" i="59"/>
  <c r="AC31" i="1"/>
  <c r="AE77" i="68"/>
  <c r="L39" i="57"/>
  <c r="H36" i="41"/>
  <c r="R35" i="57"/>
  <c r="V35" i="57" s="1"/>
  <c r="Q35" i="57" s="1"/>
  <c r="AI34" i="57"/>
  <c r="AB33" i="57"/>
  <c r="AF31" i="26"/>
  <c r="M40" i="39"/>
  <c r="I39" i="39"/>
  <c r="O39" i="39"/>
  <c r="S39" i="39"/>
  <c r="T39" i="39" s="1"/>
  <c r="Y39" i="39"/>
  <c r="AG39" i="39" s="1"/>
  <c r="AH39" i="39" s="1"/>
  <c r="K39" i="39" s="1"/>
  <c r="U31" i="48"/>
  <c r="Z41" i="48"/>
  <c r="AA41" i="48" s="1"/>
  <c r="J41" i="48" s="1"/>
  <c r="L41" i="48" s="1"/>
  <c r="Z85" i="68"/>
  <c r="AA85" i="68" s="1"/>
  <c r="AB85" i="68" s="1"/>
  <c r="K85" i="68" s="1"/>
  <c r="M85" i="68" s="1"/>
  <c r="J36" i="41"/>
  <c r="Y36" i="41"/>
  <c r="S36" i="41"/>
  <c r="T36" i="41" s="1"/>
  <c r="O36" i="41"/>
  <c r="B36" i="41" s="1"/>
  <c r="K36" i="41"/>
  <c r="M37" i="41"/>
  <c r="H28" i="48"/>
  <c r="M41" i="46"/>
  <c r="O40" i="46"/>
  <c r="Y40" i="46"/>
  <c r="S40" i="46"/>
  <c r="T40" i="46" s="1"/>
  <c r="R38" i="41"/>
  <c r="V38" i="41" s="1"/>
  <c r="Q38" i="41" s="1"/>
  <c r="F38" i="41" s="1"/>
  <c r="AI37" i="41"/>
  <c r="AJ37" i="41" s="1"/>
  <c r="AC37" i="41" s="1"/>
  <c r="AB36" i="41"/>
  <c r="V37" i="41"/>
  <c r="Q37" i="41" s="1"/>
  <c r="F37" i="41" s="1"/>
  <c r="AO35" i="41"/>
  <c r="AQ35" i="41"/>
  <c r="AS36" i="41" s="1"/>
  <c r="A77" i="61"/>
  <c r="B76" i="61"/>
  <c r="AN34" i="1"/>
  <c r="AP34" i="1" s="1"/>
  <c r="AL34" i="1"/>
  <c r="AM34" i="1" s="1"/>
  <c r="B34" i="1"/>
  <c r="AL34" i="3"/>
  <c r="AM34" i="3" s="1"/>
  <c r="AN34" i="3"/>
  <c r="AP34" i="3" s="1"/>
  <c r="B34" i="3"/>
  <c r="AQ33" i="48"/>
  <c r="AS34" i="48" s="1"/>
  <c r="M39" i="55"/>
  <c r="O38" i="55"/>
  <c r="S38" i="55"/>
  <c r="T38" i="55" s="1"/>
  <c r="Y38" i="55"/>
  <c r="AN34" i="51"/>
  <c r="AP34" i="51" s="1"/>
  <c r="AL34" i="51"/>
  <c r="AM34" i="51" s="1"/>
  <c r="B34" i="51"/>
  <c r="AQ34" i="45"/>
  <c r="AS35" i="45" s="1"/>
  <c r="AO34" i="45"/>
  <c r="AF77" i="68"/>
  <c r="H28" i="3"/>
  <c r="T89" i="68"/>
  <c r="U89" i="68" s="1"/>
  <c r="N90" i="68"/>
  <c r="P89" i="68"/>
  <c r="J89" i="68"/>
  <c r="M43" i="48"/>
  <c r="Y42" i="48"/>
  <c r="Z42" i="48" s="1"/>
  <c r="AA42" i="48" s="1"/>
  <c r="J42" i="48" s="1"/>
  <c r="S42" i="48"/>
  <c r="T42" i="48" s="1"/>
  <c r="O42" i="48"/>
  <c r="I42" i="48"/>
  <c r="AI73" i="59"/>
  <c r="AJ73" i="59" s="1"/>
  <c r="H31" i="57"/>
  <c r="AC71" i="47"/>
  <c r="L37" i="52"/>
  <c r="F31" i="26"/>
  <c r="AC78" i="68"/>
  <c r="AK79" i="68"/>
  <c r="S80" i="68"/>
  <c r="V80" i="68" s="1"/>
  <c r="S39" i="26"/>
  <c r="T39" i="26" s="1"/>
  <c r="U39" i="26" s="1"/>
  <c r="I39" i="26" s="1"/>
  <c r="M40" i="26"/>
  <c r="BF39" i="26"/>
  <c r="AA39" i="26"/>
  <c r="AB39" i="26" s="1"/>
  <c r="AC39" i="26" s="1"/>
  <c r="J39" i="26" s="1"/>
  <c r="O39" i="26"/>
  <c r="AG38" i="39"/>
  <c r="AH38" i="39" s="1"/>
  <c r="K38" i="39" s="1"/>
  <c r="L38" i="39" s="1"/>
  <c r="M46" i="3"/>
  <c r="O45" i="3"/>
  <c r="S45" i="3"/>
  <c r="T45" i="3" s="1"/>
  <c r="I45" i="3"/>
  <c r="D42" i="61"/>
  <c r="U37" i="41"/>
  <c r="P37" i="41" s="1"/>
  <c r="M38" i="50"/>
  <c r="O37" i="50"/>
  <c r="S37" i="50"/>
  <c r="T37" i="50" s="1"/>
  <c r="I37" i="50"/>
  <c r="D75" i="61"/>
  <c r="C75" i="61"/>
  <c r="E75" i="61"/>
  <c r="M73" i="59"/>
  <c r="AQ33" i="1"/>
  <c r="AS34" i="1" s="1"/>
  <c r="AO33" i="1"/>
  <c r="AQ33" i="3"/>
  <c r="AS34" i="3" s="1"/>
  <c r="AO33" i="3"/>
  <c r="AG40" i="57"/>
  <c r="AH40" i="57" s="1"/>
  <c r="Z40" i="57"/>
  <c r="AA40" i="57" s="1"/>
  <c r="J40" i="57" s="1"/>
  <c r="S73" i="47"/>
  <c r="T73" i="47" s="1"/>
  <c r="I73" i="47" s="1"/>
  <c r="Y73" i="47"/>
  <c r="Z73" i="47" s="1"/>
  <c r="AA73" i="47" s="1"/>
  <c r="J73" i="47" s="1"/>
  <c r="M74" i="47"/>
  <c r="O73" i="47"/>
  <c r="M39" i="52"/>
  <c r="O38" i="52"/>
  <c r="I38" i="52"/>
  <c r="S38" i="52"/>
  <c r="T38" i="52" s="1"/>
  <c r="Y38" i="52"/>
  <c r="AG38" i="52" s="1"/>
  <c r="AH38" i="52" s="1"/>
  <c r="AJ34" i="57"/>
  <c r="AC34" i="57" s="1"/>
  <c r="AK34" i="57"/>
  <c r="AM79" i="68"/>
  <c r="AF79" i="68" s="1"/>
  <c r="AL79" i="68"/>
  <c r="AE79" i="68" s="1"/>
  <c r="AI39" i="26"/>
  <c r="AL39" i="26" s="1"/>
  <c r="K39" i="26" s="1"/>
  <c r="AB30" i="48"/>
  <c r="AI31" i="48"/>
  <c r="AJ31" i="48" s="1"/>
  <c r="R32" i="48"/>
  <c r="U32" i="48" s="1"/>
  <c r="P32" i="48" s="1"/>
  <c r="L39" i="1"/>
  <c r="M41" i="1"/>
  <c r="O40" i="1"/>
  <c r="S40" i="1"/>
  <c r="T40" i="1" s="1"/>
  <c r="Y40" i="1"/>
  <c r="Z40" i="1" s="1"/>
  <c r="AA40" i="1" s="1"/>
  <c r="J40" i="1" s="1"/>
  <c r="I40" i="1"/>
  <c r="R78" i="68"/>
  <c r="G78" i="68" s="1"/>
  <c r="Z36" i="41"/>
  <c r="AA36" i="41" s="1"/>
  <c r="AG36" i="41"/>
  <c r="AH36" i="41" s="1"/>
  <c r="H34" i="41"/>
  <c r="M39" i="45"/>
  <c r="O38" i="45"/>
  <c r="S38" i="45"/>
  <c r="T38" i="45" s="1"/>
  <c r="M38" i="51"/>
  <c r="Y37" i="51"/>
  <c r="AG37" i="51" s="1"/>
  <c r="AH37" i="51" s="1"/>
  <c r="S37" i="51"/>
  <c r="T37" i="51" s="1"/>
  <c r="O37" i="51"/>
  <c r="I37" i="51"/>
  <c r="B50" i="61"/>
  <c r="AL36" i="41"/>
  <c r="AM36" i="41" s="1"/>
  <c r="AN36" i="41"/>
  <c r="AP36" i="41" s="1"/>
  <c r="AM78" i="68"/>
  <c r="AF78" i="68" s="1"/>
  <c r="AG35" i="41"/>
  <c r="AH35" i="41" s="1"/>
  <c r="AK37" i="41"/>
  <c r="AD37" i="41" s="1"/>
  <c r="G37" i="41" s="1"/>
  <c r="AN32" i="26"/>
  <c r="AY32" i="26"/>
  <c r="D32" i="26" s="1"/>
  <c r="AE31" i="26"/>
  <c r="V32" i="26"/>
  <c r="W32" i="26"/>
  <c r="AA74" i="59" l="1"/>
  <c r="AB74" i="59" s="1"/>
  <c r="K74" i="59" s="1"/>
  <c r="AS82" i="68"/>
  <c r="AU83" i="68" s="1"/>
  <c r="AQ82" i="68"/>
  <c r="AP83" i="68"/>
  <c r="AR83" i="68" s="1"/>
  <c r="B83" i="68"/>
  <c r="AN83" i="68"/>
  <c r="AO83" i="68" s="1"/>
  <c r="M81" i="67"/>
  <c r="AI81" i="67"/>
  <c r="AJ81" i="67" s="1"/>
  <c r="AK30" i="39"/>
  <c r="AD30" i="39" s="1"/>
  <c r="G30" i="39" s="1"/>
  <c r="H30" i="39" s="1"/>
  <c r="AI85" i="68"/>
  <c r="AJ85" i="68" s="1"/>
  <c r="AL37" i="57"/>
  <c r="AM37" i="57" s="1"/>
  <c r="AN37" i="57"/>
  <c r="AP37" i="57" s="1"/>
  <c r="B37" i="57"/>
  <c r="J82" i="67"/>
  <c r="P82" i="67"/>
  <c r="T82" i="67"/>
  <c r="U82" i="67" s="1"/>
  <c r="N83" i="67"/>
  <c r="Z82" i="67"/>
  <c r="AA82" i="67" s="1"/>
  <c r="AB82" i="67" s="1"/>
  <c r="K82" i="67" s="1"/>
  <c r="L36" i="41"/>
  <c r="AQ36" i="57"/>
  <c r="AS37" i="57" s="1"/>
  <c r="AO36" i="57"/>
  <c r="AO32" i="46"/>
  <c r="AK30" i="49"/>
  <c r="AD30" i="49" s="1"/>
  <c r="AL33" i="46"/>
  <c r="AM33" i="46" s="1"/>
  <c r="AO33" i="46" s="1"/>
  <c r="R32" i="49"/>
  <c r="AB31" i="49" s="1"/>
  <c r="AN34" i="48"/>
  <c r="AP34" i="48" s="1"/>
  <c r="AL34" i="48"/>
  <c r="AM34" i="48" s="1"/>
  <c r="AI31" i="49"/>
  <c r="AK31" i="49" s="1"/>
  <c r="AD31" i="49" s="1"/>
  <c r="AB30" i="49"/>
  <c r="B33" i="46"/>
  <c r="AL34" i="46" s="1"/>
  <c r="AM34" i="46" s="1"/>
  <c r="U31" i="49"/>
  <c r="P31" i="49" s="1"/>
  <c r="AO33" i="48"/>
  <c r="AK67" i="59"/>
  <c r="AM67" i="59" s="1"/>
  <c r="AF67" i="59" s="1"/>
  <c r="R34" i="1"/>
  <c r="V34" i="1" s="1"/>
  <c r="P32" i="1"/>
  <c r="S68" i="59"/>
  <c r="V68" i="59" s="1"/>
  <c r="Q68" i="59" s="1"/>
  <c r="AC66" i="59"/>
  <c r="U33" i="1"/>
  <c r="P33" i="1" s="1"/>
  <c r="W67" i="59"/>
  <c r="R67" i="59" s="1"/>
  <c r="G67" i="59" s="1"/>
  <c r="I67" i="59" s="1"/>
  <c r="AI33" i="1"/>
  <c r="AJ33" i="1" s="1"/>
  <c r="AC33" i="1" s="1"/>
  <c r="AB32" i="1"/>
  <c r="AM66" i="59"/>
  <c r="AF66" i="59" s="1"/>
  <c r="AK32" i="1"/>
  <c r="AD32" i="1" s="1"/>
  <c r="AB30" i="39"/>
  <c r="U86" i="53"/>
  <c r="AB86" i="53"/>
  <c r="V31" i="39"/>
  <c r="Q31" i="39" s="1"/>
  <c r="F31" i="39" s="1"/>
  <c r="AI31" i="39"/>
  <c r="AJ31" i="39" s="1"/>
  <c r="AC31" i="39" s="1"/>
  <c r="P86" i="53"/>
  <c r="R32" i="39"/>
  <c r="U32" i="39" s="1"/>
  <c r="P32" i="39" s="1"/>
  <c r="R31" i="54"/>
  <c r="V31" i="54" s="1"/>
  <c r="Q31" i="54" s="1"/>
  <c r="AL31" i="53"/>
  <c r="AE31" i="53" s="1"/>
  <c r="AK31" i="53"/>
  <c r="AD31" i="53" s="1"/>
  <c r="Y40" i="3"/>
  <c r="AG40" i="3" s="1"/>
  <c r="AH40" i="3" s="1"/>
  <c r="K40" i="3" s="1"/>
  <c r="R32" i="45"/>
  <c r="U32" i="45" s="1"/>
  <c r="P32" i="45" s="1"/>
  <c r="I75" i="67"/>
  <c r="AG39" i="3"/>
  <c r="AH39" i="3" s="1"/>
  <c r="K39" i="3" s="1"/>
  <c r="L39" i="3" s="1"/>
  <c r="AI31" i="45"/>
  <c r="AJ31" i="45" s="1"/>
  <c r="AC31" i="45" s="1"/>
  <c r="AB30" i="45"/>
  <c r="V31" i="45"/>
  <c r="Q31" i="45" s="1"/>
  <c r="F31" i="45" s="1"/>
  <c r="AK30" i="45"/>
  <c r="AD30" i="45" s="1"/>
  <c r="AN80" i="67"/>
  <c r="AO80" i="67" s="1"/>
  <c r="AP80" i="67"/>
  <c r="AR80" i="67" s="1"/>
  <c r="B80" i="67"/>
  <c r="B81" i="67" s="1"/>
  <c r="AQ79" i="67"/>
  <c r="AS79" i="67"/>
  <c r="AU80" i="67" s="1"/>
  <c r="G76" i="67"/>
  <c r="I76" i="67" s="1"/>
  <c r="V77" i="67"/>
  <c r="Q77" i="67" s="1"/>
  <c r="AG36" i="45"/>
  <c r="AH36" i="45" s="1"/>
  <c r="Y37" i="45"/>
  <c r="Z37" i="45" s="1"/>
  <c r="AA37" i="45" s="1"/>
  <c r="J37" i="45" s="1"/>
  <c r="L37" i="45" s="1"/>
  <c r="Z36" i="45"/>
  <c r="AA36" i="45" s="1"/>
  <c r="J36" i="45" s="1"/>
  <c r="L36" i="45" s="1"/>
  <c r="AG36" i="49"/>
  <c r="AH36" i="49" s="1"/>
  <c r="Z36" i="49"/>
  <c r="AA36" i="49" s="1"/>
  <c r="J36" i="49" s="1"/>
  <c r="L36" i="49" s="1"/>
  <c r="Y37" i="49"/>
  <c r="AQ32" i="39"/>
  <c r="AS33" i="39" s="1"/>
  <c r="AO32" i="39"/>
  <c r="B33" i="39"/>
  <c r="AL33" i="39"/>
  <c r="AM33" i="39" s="1"/>
  <c r="AN33" i="39"/>
  <c r="AP33" i="39" s="1"/>
  <c r="U31" i="3"/>
  <c r="P31" i="3" s="1"/>
  <c r="V31" i="3"/>
  <c r="Q31" i="3" s="1"/>
  <c r="F31" i="3" s="1"/>
  <c r="R32" i="3"/>
  <c r="V32" i="3" s="1"/>
  <c r="Q32" i="3" s="1"/>
  <c r="AI31" i="3"/>
  <c r="AB30" i="3"/>
  <c r="AK30" i="3"/>
  <c r="AD30" i="3" s="1"/>
  <c r="G30" i="3" s="1"/>
  <c r="H30" i="3" s="1"/>
  <c r="AJ30" i="3"/>
  <c r="AC30" i="3" s="1"/>
  <c r="AO72" i="47"/>
  <c r="AQ72" i="47" s="1"/>
  <c r="AM72" i="47"/>
  <c r="AN72" i="47" s="1"/>
  <c r="AO73" i="47"/>
  <c r="AQ73" i="47" s="1"/>
  <c r="B73" i="47"/>
  <c r="AM74" i="47" s="1"/>
  <c r="AN74" i="47" s="1"/>
  <c r="AQ71" i="47"/>
  <c r="AR71" i="47" s="1"/>
  <c r="AT72" i="47" s="1"/>
  <c r="AP71" i="47"/>
  <c r="AG40" i="1"/>
  <c r="AH40" i="1" s="1"/>
  <c r="AK30" i="50"/>
  <c r="AD30" i="50" s="1"/>
  <c r="AJ30" i="50"/>
  <c r="AC30" i="50" s="1"/>
  <c r="AC32" i="54"/>
  <c r="Y34" i="54"/>
  <c r="U31" i="50"/>
  <c r="P31" i="50" s="1"/>
  <c r="AB30" i="50"/>
  <c r="R32" i="50"/>
  <c r="V31" i="50"/>
  <c r="Q31" i="50" s="1"/>
  <c r="F31" i="50" s="1"/>
  <c r="H31" i="50" s="1"/>
  <c r="AI31" i="50"/>
  <c r="AL29" i="54"/>
  <c r="P29" i="54"/>
  <c r="AB29" i="54"/>
  <c r="U30" i="54"/>
  <c r="P30" i="54" s="1"/>
  <c r="AJ30" i="54"/>
  <c r="V30" i="54"/>
  <c r="Q30" i="54" s="1"/>
  <c r="F30" i="54" s="1"/>
  <c r="H30" i="54" s="1"/>
  <c r="Q29" i="54"/>
  <c r="V32" i="46"/>
  <c r="Q32" i="46" s="1"/>
  <c r="F32" i="46" s="1"/>
  <c r="AI32" i="46"/>
  <c r="AK32" i="46" s="1"/>
  <c r="AD32" i="46" s="1"/>
  <c r="AB31" i="46"/>
  <c r="R33" i="46"/>
  <c r="AK31" i="46"/>
  <c r="AD31" i="46" s="1"/>
  <c r="AD30" i="53"/>
  <c r="Y35" i="53"/>
  <c r="AC33" i="53"/>
  <c r="AE30" i="53"/>
  <c r="H29" i="53"/>
  <c r="F31" i="53"/>
  <c r="F32" i="53" s="1"/>
  <c r="H32" i="53" s="1"/>
  <c r="AK31" i="55"/>
  <c r="AD31" i="55" s="1"/>
  <c r="V32" i="55"/>
  <c r="Q32" i="55" s="1"/>
  <c r="F32" i="55" s="1"/>
  <c r="AL66" i="47"/>
  <c r="AE66" i="47" s="1"/>
  <c r="AK31" i="48"/>
  <c r="AD31" i="48" s="1"/>
  <c r="AV34" i="26"/>
  <c r="AX35" i="26" s="1"/>
  <c r="AT34" i="26"/>
  <c r="AN33" i="52"/>
  <c r="AP33" i="52" s="1"/>
  <c r="AL33" i="52"/>
  <c r="AM33" i="52" s="1"/>
  <c r="B33" i="52"/>
  <c r="AK31" i="52"/>
  <c r="AD31" i="52" s="1"/>
  <c r="AJ31" i="52"/>
  <c r="AC31" i="52" s="1"/>
  <c r="AA73" i="60"/>
  <c r="AB73" i="60" s="1"/>
  <c r="K73" i="60" s="1"/>
  <c r="M73" i="60" s="1"/>
  <c r="Z74" i="60"/>
  <c r="AI74" i="60" s="1"/>
  <c r="AJ74" i="60" s="1"/>
  <c r="V68" i="60"/>
  <c r="Q68" i="60" s="1"/>
  <c r="AC67" i="60"/>
  <c r="AK68" i="60"/>
  <c r="AL68" i="60" s="1"/>
  <c r="AE68" i="60" s="1"/>
  <c r="S69" i="60"/>
  <c r="V69" i="60" s="1"/>
  <c r="Q69" i="60" s="1"/>
  <c r="W68" i="60"/>
  <c r="R68" i="60" s="1"/>
  <c r="G68" i="60" s="1"/>
  <c r="AN71" i="60"/>
  <c r="AO71" i="60" s="1"/>
  <c r="B71" i="60"/>
  <c r="AP71" i="60"/>
  <c r="AR71" i="60" s="1"/>
  <c r="V32" i="52"/>
  <c r="Q32" i="52" s="1"/>
  <c r="F32" i="52" s="1"/>
  <c r="H32" i="52" s="1"/>
  <c r="AI32" i="52"/>
  <c r="U32" i="52"/>
  <c r="P32" i="52" s="1"/>
  <c r="R33" i="52"/>
  <c r="AB31" i="52"/>
  <c r="AI73" i="60"/>
  <c r="AJ73" i="60" s="1"/>
  <c r="V32" i="48"/>
  <c r="Q32" i="48" s="1"/>
  <c r="F32" i="48" s="1"/>
  <c r="H32" i="48" s="1"/>
  <c r="L73" i="47"/>
  <c r="AM67" i="60"/>
  <c r="AF67" i="60" s="1"/>
  <c r="AS35" i="26"/>
  <c r="AU35" i="26" s="1"/>
  <c r="AQ35" i="26"/>
  <c r="AR35" i="26" s="1"/>
  <c r="B35" i="26"/>
  <c r="AO32" i="52"/>
  <c r="AQ32" i="52"/>
  <c r="AS33" i="52" s="1"/>
  <c r="AQ70" i="60"/>
  <c r="AS70" i="60"/>
  <c r="AU71" i="60" s="1"/>
  <c r="AO35" i="49"/>
  <c r="AQ35" i="49"/>
  <c r="AS36" i="49" s="1"/>
  <c r="B36" i="49"/>
  <c r="AL36" i="49"/>
  <c r="AM36" i="49" s="1"/>
  <c r="AN36" i="49"/>
  <c r="AP36" i="49" s="1"/>
  <c r="Z38" i="52"/>
  <c r="AA38" i="52" s="1"/>
  <c r="J38" i="52" s="1"/>
  <c r="L38" i="52" s="1"/>
  <c r="AN71" i="59"/>
  <c r="AO71" i="59" s="1"/>
  <c r="AP71" i="59"/>
  <c r="AR71" i="59" s="1"/>
  <c r="B71" i="59"/>
  <c r="AG42" i="48"/>
  <c r="AH42" i="48" s="1"/>
  <c r="AS70" i="59"/>
  <c r="AU71" i="59" s="1"/>
  <c r="AQ70" i="59"/>
  <c r="S78" i="67"/>
  <c r="AK77" i="67"/>
  <c r="AM77" i="67" s="1"/>
  <c r="AF77" i="67" s="1"/>
  <c r="AC76" i="67"/>
  <c r="AQ34" i="55"/>
  <c r="AS35" i="55" s="1"/>
  <c r="AO34" i="55"/>
  <c r="U32" i="51"/>
  <c r="P32" i="51" s="1"/>
  <c r="R33" i="51"/>
  <c r="U33" i="51" s="1"/>
  <c r="P33" i="51" s="1"/>
  <c r="AB31" i="51"/>
  <c r="AI32" i="51"/>
  <c r="AJ32" i="51" s="1"/>
  <c r="AC32" i="51" s="1"/>
  <c r="AL35" i="50"/>
  <c r="AM35" i="50" s="1"/>
  <c r="B35" i="50"/>
  <c r="AN35" i="50"/>
  <c r="AP35" i="50" s="1"/>
  <c r="V67" i="47"/>
  <c r="Q67" i="47" s="1"/>
  <c r="F67" i="47" s="1"/>
  <c r="H67" i="47" s="1"/>
  <c r="AB66" i="47"/>
  <c r="AJ67" i="47"/>
  <c r="AK67" i="47" s="1"/>
  <c r="AD67" i="47" s="1"/>
  <c r="R68" i="47"/>
  <c r="V68" i="47" s="1"/>
  <c r="Q68" i="47" s="1"/>
  <c r="F68" i="47" s="1"/>
  <c r="H68" i="47" s="1"/>
  <c r="Z39" i="39"/>
  <c r="AA39" i="39" s="1"/>
  <c r="J39" i="39" s="1"/>
  <c r="L39" i="39" s="1"/>
  <c r="AK31" i="51"/>
  <c r="AD31" i="51" s="1"/>
  <c r="AJ31" i="51"/>
  <c r="AC31" i="51" s="1"/>
  <c r="AQ34" i="50"/>
  <c r="AS35" i="50" s="1"/>
  <c r="AO34" i="50"/>
  <c r="U67" i="47"/>
  <c r="P67" i="47" s="1"/>
  <c r="AM76" i="67"/>
  <c r="AF76" i="67" s="1"/>
  <c r="AL76" i="67"/>
  <c r="AE76" i="67" s="1"/>
  <c r="W77" i="67"/>
  <c r="R77" i="67" s="1"/>
  <c r="AI32" i="55"/>
  <c r="AK32" i="55" s="1"/>
  <c r="AD32" i="55" s="1"/>
  <c r="AB31" i="55"/>
  <c r="R33" i="55"/>
  <c r="U33" i="55" s="1"/>
  <c r="P33" i="55" s="1"/>
  <c r="AN35" i="55"/>
  <c r="AP35" i="55" s="1"/>
  <c r="AL35" i="55"/>
  <c r="AM35" i="55" s="1"/>
  <c r="B35" i="55"/>
  <c r="V32" i="51"/>
  <c r="Q32" i="51" s="1"/>
  <c r="F32" i="51" s="1"/>
  <c r="H32" i="51" s="1"/>
  <c r="AG35" i="50"/>
  <c r="AH35" i="50" s="1"/>
  <c r="Y36" i="50"/>
  <c r="Z36" i="50" s="1"/>
  <c r="AA36" i="50" s="1"/>
  <c r="J36" i="50" s="1"/>
  <c r="L36" i="50" s="1"/>
  <c r="F35" i="57"/>
  <c r="H35" i="57" s="1"/>
  <c r="Q80" i="68"/>
  <c r="L40" i="1"/>
  <c r="AQ36" i="41"/>
  <c r="AS37" i="41" s="1"/>
  <c r="AO36" i="41"/>
  <c r="B51" i="61"/>
  <c r="AC31" i="48"/>
  <c r="M40" i="45"/>
  <c r="O39" i="45"/>
  <c r="S39" i="45"/>
  <c r="T39" i="45" s="1"/>
  <c r="AD34" i="57"/>
  <c r="M40" i="52"/>
  <c r="O39" i="52"/>
  <c r="I39" i="52"/>
  <c r="Y39" i="52"/>
  <c r="Z39" i="52" s="1"/>
  <c r="AA39" i="52" s="1"/>
  <c r="J39" i="52" s="1"/>
  <c r="S39" i="52"/>
  <c r="T39" i="52" s="1"/>
  <c r="I66" i="59"/>
  <c r="M39" i="50"/>
  <c r="O38" i="50"/>
  <c r="S38" i="50"/>
  <c r="T38" i="50" s="1"/>
  <c r="I38" i="50"/>
  <c r="L31" i="26"/>
  <c r="H31" i="26"/>
  <c r="AQ34" i="51"/>
  <c r="AS35" i="51" s="1"/>
  <c r="AO34" i="51"/>
  <c r="AL35" i="3"/>
  <c r="AM35" i="3" s="1"/>
  <c r="B35" i="3"/>
  <c r="AN35" i="3"/>
  <c r="AP35" i="3" s="1"/>
  <c r="AQ34" i="1"/>
  <c r="AS35" i="1" s="1"/>
  <c r="AO34" i="1"/>
  <c r="M41" i="39"/>
  <c r="O40" i="39"/>
  <c r="I40" i="39"/>
  <c r="S40" i="39"/>
  <c r="T40" i="39" s="1"/>
  <c r="Y40" i="39"/>
  <c r="Z40" i="39" s="1"/>
  <c r="AA40" i="39" s="1"/>
  <c r="J40" i="39" s="1"/>
  <c r="U35" i="57"/>
  <c r="P35" i="57" s="1"/>
  <c r="H31" i="1"/>
  <c r="Q32" i="26"/>
  <c r="AO32" i="26"/>
  <c r="AP32" i="26"/>
  <c r="M75" i="47"/>
  <c r="Y74" i="47"/>
  <c r="AH74" i="47" s="1"/>
  <c r="AI74" i="47" s="1"/>
  <c r="O74" i="47"/>
  <c r="S74" i="47"/>
  <c r="T74" i="47" s="1"/>
  <c r="I74" i="47"/>
  <c r="BF40" i="26"/>
  <c r="M41" i="26"/>
  <c r="S40" i="26"/>
  <c r="T40" i="26" s="1"/>
  <c r="U40" i="26" s="1"/>
  <c r="I40" i="26" s="1"/>
  <c r="AA40" i="26"/>
  <c r="O40" i="26"/>
  <c r="B35" i="48"/>
  <c r="AL35" i="48"/>
  <c r="AM35" i="48" s="1"/>
  <c r="AN35" i="48"/>
  <c r="AP35" i="48" s="1"/>
  <c r="T90" i="68"/>
  <c r="U90" i="68" s="1"/>
  <c r="N91" i="68"/>
  <c r="P90" i="68"/>
  <c r="J90" i="68"/>
  <c r="O39" i="55"/>
  <c r="M40" i="55"/>
  <c r="S39" i="55"/>
  <c r="T39" i="55" s="1"/>
  <c r="Y39" i="55"/>
  <c r="C76" i="61"/>
  <c r="E76" i="61"/>
  <c r="D76" i="61"/>
  <c r="U38" i="41"/>
  <c r="P38" i="41" s="1"/>
  <c r="AN37" i="41"/>
  <c r="AP37" i="41" s="1"/>
  <c r="AL37" i="41"/>
  <c r="AM37" i="41" s="1"/>
  <c r="AO35" i="45"/>
  <c r="AQ35" i="45"/>
  <c r="AS36" i="45" s="1"/>
  <c r="Y41" i="57"/>
  <c r="Z41" i="57" s="1"/>
  <c r="AA41" i="57" s="1"/>
  <c r="J41" i="57" s="1"/>
  <c r="I41" i="57"/>
  <c r="O41" i="57"/>
  <c r="S41" i="57"/>
  <c r="T41" i="57" s="1"/>
  <c r="M42" i="57"/>
  <c r="AR73" i="47"/>
  <c r="AT74" i="47" s="1"/>
  <c r="P32" i="26"/>
  <c r="R33" i="26"/>
  <c r="M39" i="51"/>
  <c r="S38" i="51"/>
  <c r="T38" i="51" s="1"/>
  <c r="Y38" i="51"/>
  <c r="O38" i="51"/>
  <c r="I38" i="51"/>
  <c r="I78" i="68"/>
  <c r="AI32" i="48"/>
  <c r="AJ32" i="48" s="1"/>
  <c r="AC32" i="48" s="1"/>
  <c r="AB31" i="48"/>
  <c r="R33" i="48"/>
  <c r="V33" i="48" s="1"/>
  <c r="Q33" i="48" s="1"/>
  <c r="F33" i="48" s="1"/>
  <c r="H33" i="48" s="1"/>
  <c r="Z74" i="47"/>
  <c r="AA74" i="47" s="1"/>
  <c r="J74" i="47" s="1"/>
  <c r="W80" i="68"/>
  <c r="R80" i="68" s="1"/>
  <c r="G80" i="68" s="1"/>
  <c r="I80" i="68" s="1"/>
  <c r="AH73" i="47"/>
  <c r="AI73" i="47" s="1"/>
  <c r="AO34" i="3"/>
  <c r="AQ34" i="3"/>
  <c r="AS35" i="3" s="1"/>
  <c r="B77" i="61"/>
  <c r="A78" i="61"/>
  <c r="H37" i="41"/>
  <c r="Z86" i="68"/>
  <c r="M74" i="59"/>
  <c r="N76" i="59"/>
  <c r="T75" i="59"/>
  <c r="U75" i="59" s="1"/>
  <c r="P75" i="59"/>
  <c r="Z75" i="59"/>
  <c r="AI75" i="59" s="1"/>
  <c r="AJ75" i="59" s="1"/>
  <c r="J75" i="59"/>
  <c r="AE66" i="59"/>
  <c r="M42" i="1"/>
  <c r="O41" i="1"/>
  <c r="S41" i="1"/>
  <c r="T41" i="1" s="1"/>
  <c r="Y41" i="1"/>
  <c r="I41" i="1"/>
  <c r="C42" i="61"/>
  <c r="M47" i="3"/>
  <c r="O46" i="3"/>
  <c r="S46" i="3"/>
  <c r="T46" i="3" s="1"/>
  <c r="I46" i="3"/>
  <c r="AI40" i="26"/>
  <c r="AL40" i="26" s="1"/>
  <c r="K40" i="26" s="1"/>
  <c r="AB40" i="26"/>
  <c r="AC40" i="26" s="1"/>
  <c r="J40" i="26" s="1"/>
  <c r="Z37" i="51"/>
  <c r="AA37" i="51" s="1"/>
  <c r="J37" i="51" s="1"/>
  <c r="L37" i="51" s="1"/>
  <c r="AC79" i="68"/>
  <c r="AK80" i="68"/>
  <c r="AL80" i="68" s="1"/>
  <c r="AE80" i="68" s="1"/>
  <c r="S81" i="68"/>
  <c r="V81" i="68" s="1"/>
  <c r="Q81" i="68" s="1"/>
  <c r="W81" i="68"/>
  <c r="R81" i="68" s="1"/>
  <c r="G81" i="68" s="1"/>
  <c r="I81" i="68" s="1"/>
  <c r="L42" i="48"/>
  <c r="M44" i="48"/>
  <c r="O43" i="48"/>
  <c r="S43" i="48"/>
  <c r="T43" i="48" s="1"/>
  <c r="Y43" i="48"/>
  <c r="Z43" i="48" s="1"/>
  <c r="AA43" i="48" s="1"/>
  <c r="J43" i="48" s="1"/>
  <c r="I43" i="48"/>
  <c r="AL35" i="51"/>
  <c r="AM35" i="51" s="1"/>
  <c r="AN35" i="51"/>
  <c r="AP35" i="51" s="1"/>
  <c r="B35" i="51"/>
  <c r="B35" i="1"/>
  <c r="AL35" i="1"/>
  <c r="AM35" i="1" s="1"/>
  <c r="AN35" i="1"/>
  <c r="AP35" i="1" s="1"/>
  <c r="R39" i="41"/>
  <c r="AB37" i="41"/>
  <c r="AI38" i="41"/>
  <c r="AK38" i="41" s="1"/>
  <c r="AD38" i="41" s="1"/>
  <c r="G38" i="41" s="1"/>
  <c r="H38" i="41" s="1"/>
  <c r="U39" i="41"/>
  <c r="P39" i="41" s="1"/>
  <c r="M42" i="46"/>
  <c r="O41" i="46"/>
  <c r="Y41" i="46"/>
  <c r="S41" i="46"/>
  <c r="T41" i="46" s="1"/>
  <c r="M38" i="41"/>
  <c r="Y37" i="41"/>
  <c r="J37" i="41"/>
  <c r="K37" i="41"/>
  <c r="O37" i="41"/>
  <c r="B37" i="41" s="1"/>
  <c r="S37" i="41"/>
  <c r="T37" i="41" s="1"/>
  <c r="P31" i="48"/>
  <c r="AB34" i="57"/>
  <c r="R36" i="57"/>
  <c r="U36" i="57" s="1"/>
  <c r="P36" i="57" s="1"/>
  <c r="AI35" i="57"/>
  <c r="AJ35" i="57" s="1"/>
  <c r="AC35" i="57" s="1"/>
  <c r="AN36" i="45"/>
  <c r="AP36" i="45" s="1"/>
  <c r="AL36" i="45"/>
  <c r="AM36" i="45" s="1"/>
  <c r="B36" i="45"/>
  <c r="L40" i="57"/>
  <c r="F31" i="48"/>
  <c r="AQ83" i="68" l="1"/>
  <c r="AS83" i="68"/>
  <c r="AU84" i="68" s="1"/>
  <c r="V36" i="57"/>
  <c r="Q36" i="57" s="1"/>
  <c r="F36" i="57" s="1"/>
  <c r="H36" i="57" s="1"/>
  <c r="L37" i="41"/>
  <c r="B84" i="68"/>
  <c r="AP84" i="68"/>
  <c r="AR84" i="68" s="1"/>
  <c r="AN84" i="68"/>
  <c r="AO84" i="68" s="1"/>
  <c r="AI82" i="67"/>
  <c r="AJ82" i="67" s="1"/>
  <c r="B82" i="67"/>
  <c r="M82" i="67"/>
  <c r="L41" i="57"/>
  <c r="J83" i="67"/>
  <c r="N84" i="67"/>
  <c r="Z83" i="67"/>
  <c r="AA83" i="67" s="1"/>
  <c r="AB83" i="67" s="1"/>
  <c r="K83" i="67" s="1"/>
  <c r="M83" i="67" s="1"/>
  <c r="T83" i="67"/>
  <c r="U83" i="67" s="1"/>
  <c r="P83" i="67"/>
  <c r="AN38" i="57"/>
  <c r="AP38" i="57" s="1"/>
  <c r="AL38" i="57"/>
  <c r="AM38" i="57" s="1"/>
  <c r="B38" i="57"/>
  <c r="AQ37" i="57"/>
  <c r="AS38" i="57" s="1"/>
  <c r="AO37" i="57"/>
  <c r="AQ34" i="48"/>
  <c r="AS35" i="48" s="1"/>
  <c r="AI32" i="49"/>
  <c r="AK32" i="49" s="1"/>
  <c r="AD32" i="49" s="1"/>
  <c r="R33" i="49"/>
  <c r="R34" i="49" s="1"/>
  <c r="AO34" i="48"/>
  <c r="AQ33" i="46"/>
  <c r="AS34" i="46" s="1"/>
  <c r="AN34" i="46"/>
  <c r="AP34" i="46" s="1"/>
  <c r="AJ31" i="49"/>
  <c r="AC31" i="49" s="1"/>
  <c r="V32" i="49"/>
  <c r="Q32" i="49" s="1"/>
  <c r="F32" i="49" s="1"/>
  <c r="H32" i="49" s="1"/>
  <c r="U32" i="49"/>
  <c r="P32" i="49" s="1"/>
  <c r="AL67" i="59"/>
  <c r="AE67" i="59" s="1"/>
  <c r="B34" i="46"/>
  <c r="AL35" i="46" s="1"/>
  <c r="AM35" i="46" s="1"/>
  <c r="AB33" i="1"/>
  <c r="R35" i="1"/>
  <c r="V35" i="1" s="1"/>
  <c r="AI34" i="1"/>
  <c r="AJ34" i="1" s="1"/>
  <c r="AC34" i="1" s="1"/>
  <c r="U34" i="1"/>
  <c r="P34" i="1" s="1"/>
  <c r="AK68" i="59"/>
  <c r="AL68" i="59" s="1"/>
  <c r="W68" i="59"/>
  <c r="R68" i="59" s="1"/>
  <c r="G68" i="59" s="1"/>
  <c r="AC67" i="59"/>
  <c r="S69" i="59"/>
  <c r="V69" i="59" s="1"/>
  <c r="Q69" i="59" s="1"/>
  <c r="V32" i="39"/>
  <c r="Q32" i="39" s="1"/>
  <c r="F32" i="39" s="1"/>
  <c r="Q33" i="1"/>
  <c r="F33" i="1" s="1"/>
  <c r="H33" i="1" s="1"/>
  <c r="AK33" i="1"/>
  <c r="AD33" i="1" s="1"/>
  <c r="R33" i="39"/>
  <c r="U33" i="39" s="1"/>
  <c r="P33" i="39" s="1"/>
  <c r="AI32" i="39"/>
  <c r="AJ32" i="39" s="1"/>
  <c r="AC32" i="39" s="1"/>
  <c r="AB31" i="39"/>
  <c r="AE86" i="53"/>
  <c r="AK31" i="39"/>
  <c r="AD31" i="39" s="1"/>
  <c r="G31" i="39" s="1"/>
  <c r="H31" i="39" s="1"/>
  <c r="AB30" i="54"/>
  <c r="AL86" i="53"/>
  <c r="Z40" i="3"/>
  <c r="AA40" i="3" s="1"/>
  <c r="J40" i="3" s="1"/>
  <c r="L40" i="3" s="1"/>
  <c r="Y41" i="3"/>
  <c r="Z41" i="3" s="1"/>
  <c r="AA41" i="3" s="1"/>
  <c r="J41" i="3" s="1"/>
  <c r="AK86" i="53"/>
  <c r="AD86" i="53"/>
  <c r="H32" i="46"/>
  <c r="H31" i="45"/>
  <c r="AJ31" i="54"/>
  <c r="AJ86" i="54" s="1"/>
  <c r="AB31" i="54"/>
  <c r="B37" i="45"/>
  <c r="AL37" i="45"/>
  <c r="AM37" i="45" s="1"/>
  <c r="AN37" i="45"/>
  <c r="AP37" i="45" s="1"/>
  <c r="I68" i="60"/>
  <c r="H32" i="55"/>
  <c r="R86" i="54"/>
  <c r="Y38" i="45"/>
  <c r="Y39" i="45" s="1"/>
  <c r="Y40" i="45" s="1"/>
  <c r="AG37" i="45"/>
  <c r="AH37" i="45" s="1"/>
  <c r="U31" i="54"/>
  <c r="P31" i="54" s="1"/>
  <c r="P86" i="54" s="1"/>
  <c r="R33" i="45"/>
  <c r="U33" i="45" s="1"/>
  <c r="P33" i="45" s="1"/>
  <c r="AB31" i="45"/>
  <c r="AK31" i="45"/>
  <c r="AD31" i="45" s="1"/>
  <c r="V32" i="45"/>
  <c r="Q32" i="45" s="1"/>
  <c r="F32" i="45" s="1"/>
  <c r="H32" i="45" s="1"/>
  <c r="AI32" i="45"/>
  <c r="AJ32" i="45" s="1"/>
  <c r="AC32" i="45" s="1"/>
  <c r="AP73" i="47"/>
  <c r="AN81" i="67"/>
  <c r="AO81" i="67" s="1"/>
  <c r="AP81" i="67"/>
  <c r="AR81" i="67" s="1"/>
  <c r="AS80" i="67"/>
  <c r="AU81" i="67" s="1"/>
  <c r="AQ80" i="67"/>
  <c r="W78" i="67"/>
  <c r="R78" i="67" s="1"/>
  <c r="V78" i="67"/>
  <c r="Q78" i="67" s="1"/>
  <c r="G78" i="67" s="1"/>
  <c r="I78" i="67" s="1"/>
  <c r="Z37" i="49"/>
  <c r="AA37" i="49" s="1"/>
  <c r="J37" i="49" s="1"/>
  <c r="L37" i="49" s="1"/>
  <c r="Y38" i="49"/>
  <c r="AG37" i="49"/>
  <c r="AH37" i="49" s="1"/>
  <c r="AO33" i="39"/>
  <c r="AQ33" i="39"/>
  <c r="AS34" i="39" s="1"/>
  <c r="B34" i="39"/>
  <c r="AN34" i="39"/>
  <c r="AP34" i="39" s="1"/>
  <c r="AL34" i="39"/>
  <c r="AM34" i="39" s="1"/>
  <c r="G77" i="67"/>
  <c r="I77" i="67" s="1"/>
  <c r="U32" i="3"/>
  <c r="P32" i="3" s="1"/>
  <c r="AI32" i="3"/>
  <c r="AB31" i="3"/>
  <c r="R33" i="3"/>
  <c r="AJ31" i="3"/>
  <c r="AC31" i="3" s="1"/>
  <c r="AK31" i="3"/>
  <c r="AD31" i="3" s="1"/>
  <c r="G31" i="3" s="1"/>
  <c r="AO74" i="47"/>
  <c r="AQ74" i="47" s="1"/>
  <c r="B74" i="47"/>
  <c r="AO75" i="47" s="1"/>
  <c r="AQ75" i="47" s="1"/>
  <c r="AJ32" i="46"/>
  <c r="AC32" i="46" s="1"/>
  <c r="AR72" i="47"/>
  <c r="AT73" i="47" s="1"/>
  <c r="AP72" i="47"/>
  <c r="F29" i="54"/>
  <c r="Q86" i="54"/>
  <c r="AE29" i="54"/>
  <c r="AJ31" i="50"/>
  <c r="AC31" i="50" s="1"/>
  <c r="AK31" i="50"/>
  <c r="AD31" i="50" s="1"/>
  <c r="V86" i="54"/>
  <c r="AK30" i="54"/>
  <c r="AL30" i="54"/>
  <c r="AE30" i="54" s="1"/>
  <c r="AI32" i="50"/>
  <c r="AJ32" i="50" s="1"/>
  <c r="AC32" i="50" s="1"/>
  <c r="AB31" i="50"/>
  <c r="U32" i="50"/>
  <c r="P32" i="50" s="1"/>
  <c r="R33" i="50"/>
  <c r="V32" i="50"/>
  <c r="Q32" i="50" s="1"/>
  <c r="F32" i="50" s="1"/>
  <c r="H32" i="50" s="1"/>
  <c r="Y35" i="54"/>
  <c r="AC33" i="54"/>
  <c r="AQ34" i="46"/>
  <c r="AS35" i="46" s="1"/>
  <c r="V33" i="46"/>
  <c r="Q33" i="46" s="1"/>
  <c r="F33" i="46" s="1"/>
  <c r="H33" i="46" s="1"/>
  <c r="AI33" i="46"/>
  <c r="AJ33" i="46" s="1"/>
  <c r="AC33" i="46" s="1"/>
  <c r="AB32" i="46"/>
  <c r="R34" i="46"/>
  <c r="V34" i="46" s="1"/>
  <c r="Q34" i="46" s="1"/>
  <c r="F34" i="46" s="1"/>
  <c r="H34" i="46" s="1"/>
  <c r="U33" i="46"/>
  <c r="P33" i="46" s="1"/>
  <c r="H31" i="53"/>
  <c r="H22" i="53" s="1"/>
  <c r="F22" i="53"/>
  <c r="H10" i="53" s="1"/>
  <c r="AC34" i="53"/>
  <c r="Y36" i="53"/>
  <c r="Y37" i="53" s="1"/>
  <c r="Y38" i="53" s="1"/>
  <c r="Y39" i="53" s="1"/>
  <c r="Y40" i="53" s="1"/>
  <c r="Y41" i="53" s="1"/>
  <c r="Y42" i="53" s="1"/>
  <c r="Y43" i="53" s="1"/>
  <c r="Y44" i="53" s="1"/>
  <c r="Y45" i="53" s="1"/>
  <c r="Y46" i="53" s="1"/>
  <c r="Y47" i="53" s="1"/>
  <c r="Y48" i="53" s="1"/>
  <c r="Y49" i="53" s="1"/>
  <c r="Y50" i="53" s="1"/>
  <c r="Y51" i="53" s="1"/>
  <c r="Y52" i="53" s="1"/>
  <c r="Y53" i="53" s="1"/>
  <c r="Y54" i="53" s="1"/>
  <c r="Y55" i="53" s="1"/>
  <c r="Y56" i="53" s="1"/>
  <c r="Y57" i="53" s="1"/>
  <c r="Y58" i="53" s="1"/>
  <c r="Y59" i="53" s="1"/>
  <c r="Y60" i="53" s="1"/>
  <c r="Y61" i="53" s="1"/>
  <c r="Y62" i="53" s="1"/>
  <c r="Y63" i="53" s="1"/>
  <c r="Y64" i="53" s="1"/>
  <c r="Y65" i="53" s="1"/>
  <c r="Y66" i="53" s="1"/>
  <c r="Y67" i="53" s="1"/>
  <c r="Y68" i="53" s="1"/>
  <c r="Y69" i="53" s="1"/>
  <c r="Y70" i="53" s="1"/>
  <c r="Y71" i="53" s="1"/>
  <c r="Y72" i="53" s="1"/>
  <c r="Y73" i="53" s="1"/>
  <c r="Y74" i="53" s="1"/>
  <c r="Y75" i="53" s="1"/>
  <c r="Y76" i="53" s="1"/>
  <c r="Y77" i="53" s="1"/>
  <c r="Y78" i="53" s="1"/>
  <c r="Y79" i="53" s="1"/>
  <c r="Y80" i="53" s="1"/>
  <c r="Y81" i="53" s="1"/>
  <c r="Y82" i="53" s="1"/>
  <c r="Y83" i="53" s="1"/>
  <c r="Y84" i="53" s="1"/>
  <c r="Y85" i="53" s="1"/>
  <c r="AM68" i="60"/>
  <c r="AF68" i="60" s="1"/>
  <c r="AA74" i="60"/>
  <c r="AB74" i="60" s="1"/>
  <c r="K74" i="60" s="1"/>
  <c r="M74" i="60" s="1"/>
  <c r="U33" i="52"/>
  <c r="P33" i="52" s="1"/>
  <c r="R34" i="52"/>
  <c r="AB32" i="52"/>
  <c r="AI33" i="52"/>
  <c r="V33" i="52"/>
  <c r="Q33" i="52" s="1"/>
  <c r="F33" i="52" s="1"/>
  <c r="H33" i="52" s="1"/>
  <c r="AQ33" i="52"/>
  <c r="AS34" i="52" s="1"/>
  <c r="AO33" i="52"/>
  <c r="V33" i="55"/>
  <c r="Q33" i="55" s="1"/>
  <c r="F33" i="55" s="1"/>
  <c r="H33" i="55" s="1"/>
  <c r="B72" i="60"/>
  <c r="AN72" i="60"/>
  <c r="AO72" i="60" s="1"/>
  <c r="AP72" i="60"/>
  <c r="AR72" i="60" s="1"/>
  <c r="W69" i="60"/>
  <c r="R69" i="60" s="1"/>
  <c r="G69" i="60" s="1"/>
  <c r="I69" i="60" s="1"/>
  <c r="AC68" i="60"/>
  <c r="S70" i="60"/>
  <c r="V70" i="60" s="1"/>
  <c r="Q70" i="60" s="1"/>
  <c r="AK69" i="60"/>
  <c r="AM69" i="60" s="1"/>
  <c r="AF69" i="60" s="1"/>
  <c r="B36" i="26"/>
  <c r="AQ36" i="26"/>
  <c r="AR36" i="26" s="1"/>
  <c r="AS36" i="26"/>
  <c r="AU36" i="26" s="1"/>
  <c r="AJ32" i="52"/>
  <c r="AC32" i="52" s="1"/>
  <c r="AK32" i="52"/>
  <c r="AD32" i="52" s="1"/>
  <c r="AS71" i="60"/>
  <c r="AU72" i="60" s="1"/>
  <c r="AQ71" i="60"/>
  <c r="Z75" i="60"/>
  <c r="AA75" i="60" s="1"/>
  <c r="AB75" i="60" s="1"/>
  <c r="K75" i="60" s="1"/>
  <c r="M75" i="60" s="1"/>
  <c r="AV35" i="26"/>
  <c r="AX36" i="26" s="1"/>
  <c r="AT35" i="26"/>
  <c r="AL34" i="52"/>
  <c r="AM34" i="52" s="1"/>
  <c r="AN34" i="52"/>
  <c r="AP34" i="52" s="1"/>
  <c r="B34" i="52"/>
  <c r="AO36" i="49"/>
  <c r="AQ36" i="49"/>
  <c r="AS37" i="49" s="1"/>
  <c r="AL67" i="47"/>
  <c r="AE67" i="47" s="1"/>
  <c r="AN37" i="49"/>
  <c r="AP37" i="49" s="1"/>
  <c r="B37" i="49"/>
  <c r="AL37" i="49"/>
  <c r="AM37" i="49" s="1"/>
  <c r="AG40" i="39"/>
  <c r="AH40" i="39" s="1"/>
  <c r="K40" i="39" s="1"/>
  <c r="L40" i="39" s="1"/>
  <c r="AK32" i="51"/>
  <c r="AD32" i="51" s="1"/>
  <c r="AS71" i="59"/>
  <c r="AU72" i="59" s="1"/>
  <c r="AQ71" i="59"/>
  <c r="B72" i="59"/>
  <c r="AP72" i="59"/>
  <c r="AR72" i="59" s="1"/>
  <c r="AN72" i="59"/>
  <c r="AO72" i="59" s="1"/>
  <c r="L43" i="48"/>
  <c r="AG43" i="48"/>
  <c r="AH43" i="48" s="1"/>
  <c r="U33" i="48"/>
  <c r="P33" i="48" s="1"/>
  <c r="AG36" i="50"/>
  <c r="AH36" i="50" s="1"/>
  <c r="AO35" i="55"/>
  <c r="AQ35" i="55"/>
  <c r="AS36" i="55" s="1"/>
  <c r="AB32" i="55"/>
  <c r="R34" i="55"/>
  <c r="AI33" i="55"/>
  <c r="AK33" i="55" s="1"/>
  <c r="AD33" i="55" s="1"/>
  <c r="U68" i="47"/>
  <c r="P68" i="47" s="1"/>
  <c r="R69" i="47"/>
  <c r="V69" i="47" s="1"/>
  <c r="Q69" i="47" s="1"/>
  <c r="F69" i="47" s="1"/>
  <c r="H69" i="47" s="1"/>
  <c r="AJ68" i="47"/>
  <c r="AK68" i="47" s="1"/>
  <c r="AD68" i="47" s="1"/>
  <c r="AB67" i="47"/>
  <c r="Y37" i="50"/>
  <c r="Z37" i="50" s="1"/>
  <c r="AA37" i="50" s="1"/>
  <c r="J37" i="50" s="1"/>
  <c r="L37" i="50" s="1"/>
  <c r="B36" i="50"/>
  <c r="AL36" i="50"/>
  <c r="AM36" i="50" s="1"/>
  <c r="AN36" i="50"/>
  <c r="AP36" i="50" s="1"/>
  <c r="AL77" i="67"/>
  <c r="AE77" i="67" s="1"/>
  <c r="AL36" i="55"/>
  <c r="AM36" i="55" s="1"/>
  <c r="AN36" i="55"/>
  <c r="AP36" i="55" s="1"/>
  <c r="B36" i="55"/>
  <c r="AJ32" i="55"/>
  <c r="AC32" i="55" s="1"/>
  <c r="AO35" i="50"/>
  <c r="AQ35" i="50"/>
  <c r="AS36" i="50" s="1"/>
  <c r="V33" i="51"/>
  <c r="Q33" i="51" s="1"/>
  <c r="F33" i="51" s="1"/>
  <c r="H33" i="51" s="1"/>
  <c r="AI33" i="51"/>
  <c r="R34" i="51"/>
  <c r="AB32" i="51"/>
  <c r="S79" i="67"/>
  <c r="V79" i="67" s="1"/>
  <c r="AC77" i="67"/>
  <c r="AK78" i="67"/>
  <c r="AM78" i="67" s="1"/>
  <c r="AF78" i="67" s="1"/>
  <c r="AI39" i="41"/>
  <c r="AJ39" i="41" s="1"/>
  <c r="AC39" i="41" s="1"/>
  <c r="AB38" i="41"/>
  <c r="R40" i="41"/>
  <c r="U40" i="41" s="1"/>
  <c r="P40" i="41" s="1"/>
  <c r="M43" i="1"/>
  <c r="O42" i="1"/>
  <c r="S42" i="1"/>
  <c r="T42" i="1" s="1"/>
  <c r="Y42" i="1"/>
  <c r="Z42" i="1" s="1"/>
  <c r="AA42" i="1" s="1"/>
  <c r="J42" i="1" s="1"/>
  <c r="I42" i="1"/>
  <c r="Z87" i="68"/>
  <c r="AN38" i="41"/>
  <c r="AP38" i="41" s="1"/>
  <c r="AL38" i="41"/>
  <c r="AM38" i="41" s="1"/>
  <c r="V39" i="41"/>
  <c r="Q39" i="41" s="1"/>
  <c r="F39" i="41" s="1"/>
  <c r="AO35" i="1"/>
  <c r="AQ35" i="1"/>
  <c r="AS36" i="1" s="1"/>
  <c r="B36" i="51"/>
  <c r="AN36" i="51"/>
  <c r="AP36" i="51" s="1"/>
  <c r="AL36" i="51"/>
  <c r="AM36" i="51" s="1"/>
  <c r="M45" i="48"/>
  <c r="Y44" i="48"/>
  <c r="AG44" i="48" s="1"/>
  <c r="AH44" i="48" s="1"/>
  <c r="S44" i="48"/>
  <c r="T44" i="48" s="1"/>
  <c r="O44" i="48"/>
  <c r="I44" i="48"/>
  <c r="AI86" i="68"/>
  <c r="AJ86" i="68" s="1"/>
  <c r="Z38" i="51"/>
  <c r="AA38" i="51" s="1"/>
  <c r="J38" i="51" s="1"/>
  <c r="L38" i="51" s="1"/>
  <c r="M43" i="57"/>
  <c r="I42" i="57"/>
  <c r="S42" i="57"/>
  <c r="T42" i="57" s="1"/>
  <c r="Y42" i="57"/>
  <c r="O42" i="57"/>
  <c r="AG41" i="1"/>
  <c r="AH41" i="1" s="1"/>
  <c r="AK39" i="41"/>
  <c r="AD39" i="41" s="1"/>
  <c r="G39" i="41" s="1"/>
  <c r="AL36" i="1"/>
  <c r="AM36" i="1" s="1"/>
  <c r="B36" i="1"/>
  <c r="AN36" i="1"/>
  <c r="AP36" i="1" s="1"/>
  <c r="AK35" i="57"/>
  <c r="AD35" i="57" s="1"/>
  <c r="AA86" i="68"/>
  <c r="AB86" i="68" s="1"/>
  <c r="K86" i="68" s="1"/>
  <c r="M86" i="68" s="1"/>
  <c r="AG38" i="51"/>
  <c r="AH38" i="51" s="1"/>
  <c r="AA75" i="59"/>
  <c r="AB75" i="59" s="1"/>
  <c r="K75" i="59" s="1"/>
  <c r="M75" i="59" s="1"/>
  <c r="AO37" i="41"/>
  <c r="AQ37" i="41"/>
  <c r="AS38" i="41" s="1"/>
  <c r="O40" i="55"/>
  <c r="M41" i="55"/>
  <c r="S40" i="55"/>
  <c r="T40" i="55" s="1"/>
  <c r="Y40" i="55"/>
  <c r="N92" i="68"/>
  <c r="J91" i="68"/>
  <c r="T91" i="68"/>
  <c r="U91" i="68" s="1"/>
  <c r="P91" i="68"/>
  <c r="F32" i="3"/>
  <c r="AG37" i="41"/>
  <c r="AH37" i="41" s="1"/>
  <c r="B36" i="3"/>
  <c r="AL36" i="3"/>
  <c r="AM36" i="3" s="1"/>
  <c r="AN36" i="3"/>
  <c r="AP36" i="3" s="1"/>
  <c r="M40" i="50"/>
  <c r="O39" i="50"/>
  <c r="I39" i="50"/>
  <c r="S39" i="50"/>
  <c r="T39" i="50" s="1"/>
  <c r="Z41" i="1"/>
  <c r="AA41" i="1" s="1"/>
  <c r="J41" i="1" s="1"/>
  <c r="L41" i="1" s="1"/>
  <c r="AR74" i="47"/>
  <c r="AT75" i="47" s="1"/>
  <c r="AL36" i="48"/>
  <c r="AM36" i="48" s="1"/>
  <c r="B36" i="48"/>
  <c r="AN36" i="48"/>
  <c r="AP36" i="48" s="1"/>
  <c r="BF41" i="26"/>
  <c r="M42" i="26"/>
  <c r="AA41" i="26"/>
  <c r="AI41" i="26" s="1"/>
  <c r="AL41" i="26" s="1"/>
  <c r="K41" i="26" s="1"/>
  <c r="S41" i="26"/>
  <c r="T41" i="26" s="1"/>
  <c r="U41" i="26" s="1"/>
  <c r="I41" i="26" s="1"/>
  <c r="O41" i="26"/>
  <c r="L39" i="52"/>
  <c r="D77" i="61"/>
  <c r="C77" i="61"/>
  <c r="E77" i="61"/>
  <c r="H31" i="48"/>
  <c r="AB35" i="57"/>
  <c r="R37" i="57"/>
  <c r="V37" i="57" s="1"/>
  <c r="Q37" i="57" s="1"/>
  <c r="F37" i="57" s="1"/>
  <c r="H37" i="57" s="1"/>
  <c r="AI36" i="57"/>
  <c r="U37" i="57"/>
  <c r="P37" i="57" s="1"/>
  <c r="Y38" i="41"/>
  <c r="Z38" i="41" s="1"/>
  <c r="AA38" i="41" s="1"/>
  <c r="S38" i="41"/>
  <c r="T38" i="41" s="1"/>
  <c r="J38" i="41"/>
  <c r="O38" i="41"/>
  <c r="K38" i="41"/>
  <c r="M39" i="41"/>
  <c r="B38" i="41"/>
  <c r="M43" i="46"/>
  <c r="O42" i="46"/>
  <c r="S42" i="46"/>
  <c r="T42" i="46" s="1"/>
  <c r="Y42" i="46"/>
  <c r="AO35" i="51"/>
  <c r="AQ35" i="51"/>
  <c r="AS36" i="51" s="1"/>
  <c r="E42" i="61"/>
  <c r="L42" i="61"/>
  <c r="N77" i="59"/>
  <c r="Z76" i="59"/>
  <c r="AI76" i="59" s="1"/>
  <c r="AJ76" i="59" s="1"/>
  <c r="T76" i="59"/>
  <c r="U76" i="59" s="1"/>
  <c r="P76" i="59"/>
  <c r="J76" i="59"/>
  <c r="AI33" i="48"/>
  <c r="AJ33" i="48" s="1"/>
  <c r="AB32" i="48"/>
  <c r="R34" i="48"/>
  <c r="U34" i="48" s="1"/>
  <c r="P34" i="48" s="1"/>
  <c r="M40" i="51"/>
  <c r="O39" i="51"/>
  <c r="S39" i="51"/>
  <c r="T39" i="51" s="1"/>
  <c r="Y39" i="51"/>
  <c r="Z39" i="51" s="1"/>
  <c r="AA39" i="51" s="1"/>
  <c r="J39" i="51" s="1"/>
  <c r="I39" i="51"/>
  <c r="AG41" i="57"/>
  <c r="AH41" i="57" s="1"/>
  <c r="L74" i="47"/>
  <c r="M76" i="47"/>
  <c r="O75" i="47"/>
  <c r="I75" i="47"/>
  <c r="Y75" i="47"/>
  <c r="AH75" i="47" s="1"/>
  <c r="AI75" i="47" s="1"/>
  <c r="S75" i="47"/>
  <c r="T75" i="47" s="1"/>
  <c r="AG32" i="26"/>
  <c r="G32" i="26" s="1"/>
  <c r="M42" i="39"/>
  <c r="O41" i="39"/>
  <c r="I41" i="39"/>
  <c r="S41" i="39"/>
  <c r="T41" i="39" s="1"/>
  <c r="Y41" i="39"/>
  <c r="Z41" i="39" s="1"/>
  <c r="AA41" i="39" s="1"/>
  <c r="J41" i="39" s="1"/>
  <c r="Z37" i="41"/>
  <c r="AA37" i="41" s="1"/>
  <c r="AQ35" i="3"/>
  <c r="AS36" i="3" s="1"/>
  <c r="AO35" i="3"/>
  <c r="M41" i="52"/>
  <c r="I40" i="52"/>
  <c r="O40" i="52"/>
  <c r="Y40" i="52"/>
  <c r="Z40" i="52" s="1"/>
  <c r="AA40" i="52" s="1"/>
  <c r="J40" i="52" s="1"/>
  <c r="S40" i="52"/>
  <c r="T40" i="52" s="1"/>
  <c r="AK32" i="48"/>
  <c r="AY33" i="26"/>
  <c r="D33" i="26" s="1"/>
  <c r="R34" i="26" s="1"/>
  <c r="AE32" i="26"/>
  <c r="AN33" i="26"/>
  <c r="V33" i="26"/>
  <c r="W33" i="26"/>
  <c r="AQ35" i="48"/>
  <c r="AS36" i="48" s="1"/>
  <c r="AO35" i="48"/>
  <c r="AF32" i="26"/>
  <c r="F32" i="26"/>
  <c r="AJ38" i="41"/>
  <c r="AC38" i="41" s="1"/>
  <c r="AM80" i="68"/>
  <c r="AF80" i="68" s="1"/>
  <c r="AG39" i="52"/>
  <c r="AH39" i="52" s="1"/>
  <c r="M41" i="45"/>
  <c r="O40" i="45"/>
  <c r="S40" i="45"/>
  <c r="T40" i="45" s="1"/>
  <c r="B52" i="61"/>
  <c r="M48" i="3"/>
  <c r="O47" i="3"/>
  <c r="N48" i="3"/>
  <c r="AO36" i="45"/>
  <c r="AQ36" i="45"/>
  <c r="AS37" i="45" s="1"/>
  <c r="AK81" i="68"/>
  <c r="AM81" i="68" s="1"/>
  <c r="AF81" i="68" s="1"/>
  <c r="AC80" i="68"/>
  <c r="S82" i="68"/>
  <c r="B78" i="61"/>
  <c r="A79" i="61"/>
  <c r="L38" i="41" l="1"/>
  <c r="AB41" i="26"/>
  <c r="AC41" i="26" s="1"/>
  <c r="J41" i="26" s="1"/>
  <c r="AS84" i="68"/>
  <c r="AU85" i="68" s="1"/>
  <c r="AQ84" i="68"/>
  <c r="AP85" i="68"/>
  <c r="AR85" i="68" s="1"/>
  <c r="B85" i="68"/>
  <c r="AN85" i="68"/>
  <c r="AO85" i="68" s="1"/>
  <c r="AL81" i="68"/>
  <c r="AE81" i="68" s="1"/>
  <c r="J84" i="67"/>
  <c r="P84" i="67"/>
  <c r="N85" i="67"/>
  <c r="Z84" i="67"/>
  <c r="T84" i="67"/>
  <c r="U84" i="67" s="1"/>
  <c r="V40" i="41"/>
  <c r="Q40" i="41" s="1"/>
  <c r="F40" i="41" s="1"/>
  <c r="AG38" i="41"/>
  <c r="AH38" i="41" s="1"/>
  <c r="AN39" i="57"/>
  <c r="AP39" i="57" s="1"/>
  <c r="B39" i="57"/>
  <c r="AL39" i="57"/>
  <c r="AM39" i="57" s="1"/>
  <c r="AQ38" i="57"/>
  <c r="AS39" i="57" s="1"/>
  <c r="AO38" i="57"/>
  <c r="AI83" i="67"/>
  <c r="AJ83" i="67" s="1"/>
  <c r="AA84" i="67"/>
  <c r="AB84" i="67" s="1"/>
  <c r="K84" i="67" s="1"/>
  <c r="AI84" i="67"/>
  <c r="AJ84" i="67" s="1"/>
  <c r="AG42" i="1"/>
  <c r="AH42" i="1" s="1"/>
  <c r="AJ32" i="49"/>
  <c r="AC32" i="49" s="1"/>
  <c r="AO34" i="46"/>
  <c r="AB32" i="49"/>
  <c r="V33" i="49"/>
  <c r="Q33" i="49" s="1"/>
  <c r="F33" i="49" s="1"/>
  <c r="H33" i="49" s="1"/>
  <c r="AI33" i="49"/>
  <c r="AK33" i="49" s="1"/>
  <c r="AD33" i="49" s="1"/>
  <c r="U33" i="49"/>
  <c r="P33" i="49" s="1"/>
  <c r="Q34" i="1"/>
  <c r="F34" i="1" s="1"/>
  <c r="H34" i="1" s="1"/>
  <c r="S70" i="59"/>
  <c r="V70" i="59" s="1"/>
  <c r="Q70" i="59" s="1"/>
  <c r="AN35" i="46"/>
  <c r="AP35" i="46" s="1"/>
  <c r="AI35" i="1"/>
  <c r="AK35" i="1" s="1"/>
  <c r="AD35" i="1" s="1"/>
  <c r="AB34" i="1"/>
  <c r="R36" i="1"/>
  <c r="U36" i="1" s="1"/>
  <c r="P36" i="1" s="1"/>
  <c r="U35" i="1"/>
  <c r="P35" i="1" s="1"/>
  <c r="B35" i="46"/>
  <c r="AN36" i="46" s="1"/>
  <c r="AP36" i="46" s="1"/>
  <c r="AK34" i="1"/>
  <c r="AD34" i="1" s="1"/>
  <c r="AM68" i="59"/>
  <c r="AF68" i="59" s="1"/>
  <c r="AC68" i="59"/>
  <c r="AK69" i="59"/>
  <c r="AL69" i="59" s="1"/>
  <c r="AE69" i="59" s="1"/>
  <c r="W69" i="59"/>
  <c r="R69" i="59" s="1"/>
  <c r="G69" i="59" s="1"/>
  <c r="I69" i="59" s="1"/>
  <c r="AB32" i="39"/>
  <c r="V33" i="39"/>
  <c r="Q33" i="39" s="1"/>
  <c r="F33" i="39" s="1"/>
  <c r="AI33" i="39"/>
  <c r="AJ33" i="39" s="1"/>
  <c r="AC33" i="39" s="1"/>
  <c r="R34" i="39"/>
  <c r="V34" i="39" s="1"/>
  <c r="Q34" i="39" s="1"/>
  <c r="F34" i="39" s="1"/>
  <c r="Y42" i="3"/>
  <c r="AG42" i="3" s="1"/>
  <c r="AH42" i="3" s="1"/>
  <c r="K42" i="3" s="1"/>
  <c r="AK32" i="39"/>
  <c r="AD32" i="39" s="1"/>
  <c r="G32" i="39" s="1"/>
  <c r="H32" i="39" s="1"/>
  <c r="AB86" i="54"/>
  <c r="AG41" i="3"/>
  <c r="AH41" i="3" s="1"/>
  <c r="K41" i="3" s="1"/>
  <c r="L41" i="3" s="1"/>
  <c r="U86" i="54"/>
  <c r="AK31" i="54"/>
  <c r="AD31" i="54" s="1"/>
  <c r="AL31" i="54"/>
  <c r="AE31" i="54" s="1"/>
  <c r="AE86" i="54" s="1"/>
  <c r="AN37" i="55"/>
  <c r="AP37" i="55" s="1"/>
  <c r="AL37" i="55"/>
  <c r="AM37" i="55" s="1"/>
  <c r="B37" i="55"/>
  <c r="AQ37" i="45"/>
  <c r="AS38" i="45" s="1"/>
  <c r="AO37" i="45"/>
  <c r="V33" i="45"/>
  <c r="Q33" i="45" s="1"/>
  <c r="F33" i="45" s="1"/>
  <c r="H33" i="45" s="1"/>
  <c r="AI33" i="45"/>
  <c r="AJ33" i="45" s="1"/>
  <c r="AC33" i="45" s="1"/>
  <c r="AB32" i="45"/>
  <c r="R34" i="45"/>
  <c r="V34" i="45" s="1"/>
  <c r="Q34" i="45" s="1"/>
  <c r="F34" i="45" s="1"/>
  <c r="H34" i="45" s="1"/>
  <c r="AK32" i="45"/>
  <c r="AD32" i="45" s="1"/>
  <c r="AN82" i="67"/>
  <c r="AO82" i="67" s="1"/>
  <c r="AP82" i="67"/>
  <c r="AR82" i="67" s="1"/>
  <c r="AS81" i="67"/>
  <c r="AU82" i="67" s="1"/>
  <c r="AQ81" i="67"/>
  <c r="W79" i="67"/>
  <c r="R79" i="67" s="1"/>
  <c r="Z38" i="49"/>
  <c r="AA38" i="49" s="1"/>
  <c r="J38" i="49" s="1"/>
  <c r="L38" i="49" s="1"/>
  <c r="Y39" i="49"/>
  <c r="AG38" i="49"/>
  <c r="AH38" i="49" s="1"/>
  <c r="B75" i="47"/>
  <c r="AM76" i="47" s="1"/>
  <c r="AN76" i="47" s="1"/>
  <c r="AN35" i="39"/>
  <c r="AP35" i="39" s="1"/>
  <c r="B35" i="39"/>
  <c r="AL35" i="39"/>
  <c r="AM35" i="39" s="1"/>
  <c r="AQ34" i="39"/>
  <c r="AS35" i="39" s="1"/>
  <c r="AO34" i="39"/>
  <c r="AP74" i="47"/>
  <c r="U33" i="3"/>
  <c r="P33" i="3" s="1"/>
  <c r="AB32" i="3"/>
  <c r="V33" i="3"/>
  <c r="Q33" i="3" s="1"/>
  <c r="F33" i="3" s="1"/>
  <c r="AI33" i="3"/>
  <c r="R34" i="3"/>
  <c r="AK32" i="3"/>
  <c r="AD32" i="3" s="1"/>
  <c r="G32" i="3" s="1"/>
  <c r="H32" i="3" s="1"/>
  <c r="AJ32" i="3"/>
  <c r="AC32" i="3" s="1"/>
  <c r="AM75" i="47"/>
  <c r="AN75" i="47" s="1"/>
  <c r="AP75" i="47" s="1"/>
  <c r="V34" i="49"/>
  <c r="Q34" i="49" s="1"/>
  <c r="F34" i="49" s="1"/>
  <c r="H34" i="49" s="1"/>
  <c r="U34" i="49"/>
  <c r="P34" i="49" s="1"/>
  <c r="R35" i="49"/>
  <c r="AB33" i="49"/>
  <c r="AI34" i="49"/>
  <c r="AD30" i="54"/>
  <c r="H29" i="54"/>
  <c r="F31" i="54"/>
  <c r="H31" i="54" s="1"/>
  <c r="AC34" i="54"/>
  <c r="Y36" i="54"/>
  <c r="Y37" i="54" s="1"/>
  <c r="Y38" i="54" s="1"/>
  <c r="Y39" i="54" s="1"/>
  <c r="Y40" i="54" s="1"/>
  <c r="Y41" i="54" s="1"/>
  <c r="Y42" i="54" s="1"/>
  <c r="Y43" i="54" s="1"/>
  <c r="Y44" i="54" s="1"/>
  <c r="Y45" i="54" s="1"/>
  <c r="Y46" i="54" s="1"/>
  <c r="Y47" i="54" s="1"/>
  <c r="Y48" i="54" s="1"/>
  <c r="Y49" i="54" s="1"/>
  <c r="Y50" i="54" s="1"/>
  <c r="Y51" i="54" s="1"/>
  <c r="Y52" i="54" s="1"/>
  <c r="Y53" i="54" s="1"/>
  <c r="Y54" i="54" s="1"/>
  <c r="Y55" i="54" s="1"/>
  <c r="Y56" i="54" s="1"/>
  <c r="Y57" i="54" s="1"/>
  <c r="Y58" i="54" s="1"/>
  <c r="Y59" i="54" s="1"/>
  <c r="Y60" i="54" s="1"/>
  <c r="Y61" i="54" s="1"/>
  <c r="Y62" i="54" s="1"/>
  <c r="Y63" i="54" s="1"/>
  <c r="Y64" i="54" s="1"/>
  <c r="Y65" i="54" s="1"/>
  <c r="Y66" i="54" s="1"/>
  <c r="Y67" i="54" s="1"/>
  <c r="Y68" i="54" s="1"/>
  <c r="Y69" i="54" s="1"/>
  <c r="Y70" i="54" s="1"/>
  <c r="Y71" i="54" s="1"/>
  <c r="Y72" i="54" s="1"/>
  <c r="Y73" i="54" s="1"/>
  <c r="Y74" i="54" s="1"/>
  <c r="Y75" i="54" s="1"/>
  <c r="Y76" i="54" s="1"/>
  <c r="Y77" i="54" s="1"/>
  <c r="Y78" i="54" s="1"/>
  <c r="Y79" i="54" s="1"/>
  <c r="Y80" i="54" s="1"/>
  <c r="Y81" i="54" s="1"/>
  <c r="Y82" i="54" s="1"/>
  <c r="Y83" i="54" s="1"/>
  <c r="Y84" i="54" s="1"/>
  <c r="Y85" i="54" s="1"/>
  <c r="AK32" i="50"/>
  <c r="AD32" i="50" s="1"/>
  <c r="U33" i="50"/>
  <c r="P33" i="50" s="1"/>
  <c r="V33" i="50"/>
  <c r="Q33" i="50" s="1"/>
  <c r="F33" i="50" s="1"/>
  <c r="H33" i="50" s="1"/>
  <c r="AI33" i="50"/>
  <c r="R34" i="50"/>
  <c r="AB32" i="50"/>
  <c r="AQ35" i="46"/>
  <c r="AS36" i="46" s="1"/>
  <c r="AK33" i="46"/>
  <c r="AD33" i="46" s="1"/>
  <c r="U34" i="46"/>
  <c r="P34" i="46" s="1"/>
  <c r="R35" i="46"/>
  <c r="V35" i="46" s="1"/>
  <c r="Q35" i="46" s="1"/>
  <c r="F35" i="46" s="1"/>
  <c r="H35" i="46" s="1"/>
  <c r="AB33" i="46"/>
  <c r="AI34" i="46"/>
  <c r="AA76" i="59"/>
  <c r="AB76" i="59" s="1"/>
  <c r="K76" i="59" s="1"/>
  <c r="M76" i="59" s="1"/>
  <c r="Z44" i="48"/>
  <c r="AA44" i="48" s="1"/>
  <c r="J44" i="48" s="1"/>
  <c r="L44" i="48" s="1"/>
  <c r="AJ33" i="52"/>
  <c r="AC33" i="52" s="1"/>
  <c r="AK33" i="52"/>
  <c r="AD33" i="52" s="1"/>
  <c r="B35" i="52"/>
  <c r="AL35" i="52"/>
  <c r="AM35" i="52" s="1"/>
  <c r="AN35" i="52"/>
  <c r="AP35" i="52" s="1"/>
  <c r="AL69" i="60"/>
  <c r="AE69" i="60" s="1"/>
  <c r="AJ33" i="55"/>
  <c r="AC33" i="55" s="1"/>
  <c r="AV36" i="26"/>
  <c r="AX37" i="26" s="1"/>
  <c r="AT36" i="26"/>
  <c r="W70" i="60"/>
  <c r="R70" i="60" s="1"/>
  <c r="G70" i="60" s="1"/>
  <c r="I70" i="60" s="1"/>
  <c r="AC69" i="60"/>
  <c r="S71" i="60"/>
  <c r="V71" i="60" s="1"/>
  <c r="Q71" i="60" s="1"/>
  <c r="AK70" i="60"/>
  <c r="AM70" i="60" s="1"/>
  <c r="AF70" i="60" s="1"/>
  <c r="AQ72" i="60"/>
  <c r="AS72" i="60"/>
  <c r="AU73" i="60" s="1"/>
  <c r="R35" i="52"/>
  <c r="U34" i="52"/>
  <c r="P34" i="52" s="1"/>
  <c r="AI34" i="52"/>
  <c r="AB33" i="52"/>
  <c r="V34" i="52"/>
  <c r="Q34" i="52" s="1"/>
  <c r="F34" i="52" s="1"/>
  <c r="H34" i="52" s="1"/>
  <c r="AO34" i="52"/>
  <c r="AQ34" i="52"/>
  <c r="AS35" i="52" s="1"/>
  <c r="AI75" i="60"/>
  <c r="AJ75" i="60" s="1"/>
  <c r="Z76" i="60"/>
  <c r="AQ37" i="26"/>
  <c r="AR37" i="26" s="1"/>
  <c r="AS37" i="26"/>
  <c r="AU37" i="26" s="1"/>
  <c r="B37" i="26"/>
  <c r="AP73" i="60"/>
  <c r="AR73" i="60" s="1"/>
  <c r="AN73" i="60"/>
  <c r="AO73" i="60" s="1"/>
  <c r="B73" i="60"/>
  <c r="AG41" i="39"/>
  <c r="AH41" i="39" s="1"/>
  <c r="K41" i="39" s="1"/>
  <c r="L41" i="39" s="1"/>
  <c r="U69" i="47"/>
  <c r="P69" i="47" s="1"/>
  <c r="AN38" i="49"/>
  <c r="AP38" i="49" s="1"/>
  <c r="B38" i="49"/>
  <c r="AL38" i="49"/>
  <c r="AM38" i="49" s="1"/>
  <c r="AQ37" i="49"/>
  <c r="AS38" i="49" s="1"/>
  <c r="AO37" i="49"/>
  <c r="AL78" i="67"/>
  <c r="AE78" i="67" s="1"/>
  <c r="AQ72" i="59"/>
  <c r="AS72" i="59"/>
  <c r="AU73" i="59" s="1"/>
  <c r="AN73" i="59"/>
  <c r="AO73" i="59" s="1"/>
  <c r="B73" i="59"/>
  <c r="AP73" i="59"/>
  <c r="AR73" i="59" s="1"/>
  <c r="AG40" i="52"/>
  <c r="AH40" i="52" s="1"/>
  <c r="L39" i="51"/>
  <c r="V34" i="51"/>
  <c r="Q34" i="51" s="1"/>
  <c r="F34" i="51" s="1"/>
  <c r="H34" i="51" s="1"/>
  <c r="AI34" i="51"/>
  <c r="AK34" i="51" s="1"/>
  <c r="AD34" i="51" s="1"/>
  <c r="AB33" i="51"/>
  <c r="R35" i="51"/>
  <c r="V35" i="51" s="1"/>
  <c r="Q35" i="51" s="1"/>
  <c r="F35" i="51" s="1"/>
  <c r="H35" i="51" s="1"/>
  <c r="U34" i="51"/>
  <c r="P34" i="51" s="1"/>
  <c r="AO36" i="50"/>
  <c r="AQ36" i="50"/>
  <c r="AS37" i="50" s="1"/>
  <c r="U34" i="55"/>
  <c r="P34" i="55" s="1"/>
  <c r="AI34" i="55"/>
  <c r="AJ34" i="55" s="1"/>
  <c r="AC34" i="55" s="1"/>
  <c r="AB33" i="55"/>
  <c r="R35" i="55"/>
  <c r="U35" i="55" s="1"/>
  <c r="P35" i="55" s="1"/>
  <c r="V34" i="48"/>
  <c r="Q34" i="48" s="1"/>
  <c r="AK33" i="51"/>
  <c r="AD33" i="51" s="1"/>
  <c r="AJ33" i="51"/>
  <c r="AC33" i="51" s="1"/>
  <c r="AQ36" i="55"/>
  <c r="AS37" i="55" s="1"/>
  <c r="AO36" i="55"/>
  <c r="AN37" i="50"/>
  <c r="AP37" i="50" s="1"/>
  <c r="B37" i="50"/>
  <c r="AL37" i="50"/>
  <c r="AM37" i="50" s="1"/>
  <c r="Y38" i="50"/>
  <c r="AG38" i="50" s="1"/>
  <c r="AH38" i="50" s="1"/>
  <c r="R70" i="47"/>
  <c r="U70" i="47" s="1"/>
  <c r="P70" i="47" s="1"/>
  <c r="AB68" i="47"/>
  <c r="AJ69" i="47"/>
  <c r="AL69" i="47" s="1"/>
  <c r="AE69" i="47" s="1"/>
  <c r="Q79" i="67"/>
  <c r="G79" i="67" s="1"/>
  <c r="I79" i="67" s="1"/>
  <c r="AK79" i="67"/>
  <c r="AM79" i="67" s="1"/>
  <c r="AF79" i="67" s="1"/>
  <c r="AC78" i="67"/>
  <c r="S80" i="67"/>
  <c r="V34" i="55"/>
  <c r="Q34" i="55" s="1"/>
  <c r="F34" i="55" s="1"/>
  <c r="H34" i="55" s="1"/>
  <c r="AK33" i="48"/>
  <c r="AD33" i="48" s="1"/>
  <c r="L40" i="52"/>
  <c r="AL68" i="47"/>
  <c r="AE68" i="47" s="1"/>
  <c r="AG37" i="50"/>
  <c r="AH37" i="50" s="1"/>
  <c r="AN34" i="26"/>
  <c r="AO34" i="26" s="1"/>
  <c r="AF34" i="26" s="1"/>
  <c r="AE33" i="26"/>
  <c r="AY34" i="26"/>
  <c r="D34" i="26" s="1"/>
  <c r="W34" i="26"/>
  <c r="Q34" i="26" s="1"/>
  <c r="F34" i="26" s="1"/>
  <c r="V34" i="26"/>
  <c r="P34" i="26" s="1"/>
  <c r="AC81" i="68"/>
  <c r="S83" i="68"/>
  <c r="W83" i="68" s="1"/>
  <c r="R83" i="68" s="1"/>
  <c r="G83" i="68" s="1"/>
  <c r="I83" i="68" s="1"/>
  <c r="AK82" i="68"/>
  <c r="AM82" i="68" s="1"/>
  <c r="AF82" i="68" s="1"/>
  <c r="B53" i="61"/>
  <c r="AD32" i="48"/>
  <c r="M41" i="51"/>
  <c r="S40" i="51"/>
  <c r="T40" i="51" s="1"/>
  <c r="Y40" i="51"/>
  <c r="AG40" i="51" s="1"/>
  <c r="AH40" i="51" s="1"/>
  <c r="O40" i="51"/>
  <c r="I40" i="51"/>
  <c r="D43" i="61"/>
  <c r="AN37" i="48"/>
  <c r="AP37" i="48" s="1"/>
  <c r="B37" i="48"/>
  <c r="AL37" i="48"/>
  <c r="AM37" i="48" s="1"/>
  <c r="N93" i="68"/>
  <c r="P92" i="68"/>
  <c r="T92" i="68"/>
  <c r="U92" i="68" s="1"/>
  <c r="J92" i="68"/>
  <c r="M46" i="48"/>
  <c r="S45" i="48"/>
  <c r="T45" i="48" s="1"/>
  <c r="Y45" i="48"/>
  <c r="AG45" i="48" s="1"/>
  <c r="AH45" i="48" s="1"/>
  <c r="O45" i="48"/>
  <c r="I45" i="48"/>
  <c r="Z88" i="68"/>
  <c r="AA88" i="68" s="1"/>
  <c r="AB88" i="68" s="1"/>
  <c r="K88" i="68" s="1"/>
  <c r="M88" i="68" s="1"/>
  <c r="AY48" i="3"/>
  <c r="W47" i="3"/>
  <c r="AE47" i="3"/>
  <c r="I47" i="3"/>
  <c r="D47" i="3"/>
  <c r="H32" i="26"/>
  <c r="L32" i="26"/>
  <c r="M42" i="52"/>
  <c r="I41" i="52"/>
  <c r="O41" i="52"/>
  <c r="S41" i="52"/>
  <c r="T41" i="52" s="1"/>
  <c r="Y41" i="52"/>
  <c r="Z41" i="52" s="1"/>
  <c r="AA41" i="52" s="1"/>
  <c r="J41" i="52" s="1"/>
  <c r="M43" i="39"/>
  <c r="O42" i="39"/>
  <c r="I42" i="39"/>
  <c r="S42" i="39"/>
  <c r="T42" i="39" s="1"/>
  <c r="Y42" i="39"/>
  <c r="AG42" i="39" s="1"/>
  <c r="AH42" i="39" s="1"/>
  <c r="K42" i="39" s="1"/>
  <c r="AI34" i="48"/>
  <c r="AJ34" i="48" s="1"/>
  <c r="AC34" i="48" s="1"/>
  <c r="AB33" i="48"/>
  <c r="R35" i="48"/>
  <c r="U35" i="48" s="1"/>
  <c r="P35" i="48" s="1"/>
  <c r="H31" i="3"/>
  <c r="Y39" i="41"/>
  <c r="M40" i="41"/>
  <c r="K39" i="41"/>
  <c r="S39" i="41"/>
  <c r="T39" i="41" s="1"/>
  <c r="J39" i="41"/>
  <c r="L39" i="41" s="1"/>
  <c r="O39" i="41"/>
  <c r="B39" i="41" s="1"/>
  <c r="M43" i="26"/>
  <c r="AA42" i="26"/>
  <c r="AB42" i="26" s="1"/>
  <c r="AC42" i="26" s="1"/>
  <c r="J42" i="26" s="1"/>
  <c r="BF42" i="26"/>
  <c r="S42" i="26"/>
  <c r="T42" i="26" s="1"/>
  <c r="U42" i="26" s="1"/>
  <c r="I42" i="26" s="1"/>
  <c r="O42" i="26"/>
  <c r="AO36" i="48"/>
  <c r="AQ36" i="48"/>
  <c r="AS37" i="48" s="1"/>
  <c r="AO36" i="3"/>
  <c r="AQ36" i="3"/>
  <c r="AS37" i="3" s="1"/>
  <c r="Z42" i="57"/>
  <c r="AA42" i="57" s="1"/>
  <c r="J42" i="57" s="1"/>
  <c r="L42" i="57" s="1"/>
  <c r="AO36" i="1"/>
  <c r="AQ36" i="1"/>
  <c r="AS37" i="1" s="1"/>
  <c r="AG39" i="51"/>
  <c r="AH39" i="51" s="1"/>
  <c r="AO36" i="51"/>
  <c r="AQ36" i="51"/>
  <c r="AS37" i="51" s="1"/>
  <c r="AA87" i="68"/>
  <c r="AB87" i="68" s="1"/>
  <c r="K87" i="68" s="1"/>
  <c r="M87" i="68" s="1"/>
  <c r="L42" i="1"/>
  <c r="M44" i="1"/>
  <c r="O43" i="1"/>
  <c r="S43" i="1"/>
  <c r="T43" i="1" s="1"/>
  <c r="Y43" i="1"/>
  <c r="AG43" i="1" s="1"/>
  <c r="AH43" i="1" s="1"/>
  <c r="I43" i="1"/>
  <c r="W82" i="68"/>
  <c r="R82" i="68" s="1"/>
  <c r="G82" i="68" s="1"/>
  <c r="I82" i="68" s="1"/>
  <c r="AN39" i="41"/>
  <c r="AP39" i="41" s="1"/>
  <c r="AL39" i="41"/>
  <c r="AM39" i="41" s="1"/>
  <c r="I68" i="59"/>
  <c r="S43" i="57"/>
  <c r="T43" i="57" s="1"/>
  <c r="Y43" i="57"/>
  <c r="M44" i="57"/>
  <c r="O43" i="57"/>
  <c r="I43" i="57"/>
  <c r="B79" i="61"/>
  <c r="A80" i="61"/>
  <c r="AL82" i="68"/>
  <c r="AE82" i="68" s="1"/>
  <c r="Q33" i="26"/>
  <c r="AO33" i="26"/>
  <c r="AP33" i="26"/>
  <c r="Z39" i="41"/>
  <c r="AA39" i="41" s="1"/>
  <c r="AB36" i="57"/>
  <c r="R38" i="57"/>
  <c r="AI37" i="57"/>
  <c r="M41" i="50"/>
  <c r="O40" i="50"/>
  <c r="S40" i="50"/>
  <c r="T40" i="50" s="1"/>
  <c r="I40" i="50"/>
  <c r="AL37" i="3"/>
  <c r="AM37" i="3" s="1"/>
  <c r="AN37" i="3"/>
  <c r="AP37" i="3" s="1"/>
  <c r="B37" i="3"/>
  <c r="Z75" i="47"/>
  <c r="AA75" i="47" s="1"/>
  <c r="J75" i="47" s="1"/>
  <c r="L75" i="47" s="1"/>
  <c r="AG42" i="57"/>
  <c r="AH42" i="57" s="1"/>
  <c r="AJ36" i="57"/>
  <c r="AC36" i="57" s="1"/>
  <c r="H39" i="41"/>
  <c r="AI87" i="68"/>
  <c r="AJ87" i="68" s="1"/>
  <c r="AI40" i="41"/>
  <c r="AK40" i="41" s="1"/>
  <c r="AD40" i="41" s="1"/>
  <c r="G40" i="41" s="1"/>
  <c r="H40" i="41" s="1"/>
  <c r="AB39" i="41"/>
  <c r="R41" i="41"/>
  <c r="V41" i="41" s="1"/>
  <c r="Q41" i="41" s="1"/>
  <c r="F41" i="41" s="1"/>
  <c r="M42" i="45"/>
  <c r="O41" i="45"/>
  <c r="S41" i="45"/>
  <c r="T41" i="45" s="1"/>
  <c r="Y41" i="45"/>
  <c r="AC33" i="48"/>
  <c r="AI42" i="26"/>
  <c r="AL42" i="26" s="1"/>
  <c r="K42" i="26" s="1"/>
  <c r="M42" i="55"/>
  <c r="O41" i="55"/>
  <c r="S41" i="55"/>
  <c r="T41" i="55" s="1"/>
  <c r="Y41" i="55"/>
  <c r="AN37" i="1"/>
  <c r="AP37" i="1" s="1"/>
  <c r="AL37" i="1"/>
  <c r="AM37" i="1" s="1"/>
  <c r="B37" i="1"/>
  <c r="E78" i="61"/>
  <c r="C78" i="61"/>
  <c r="D78" i="61"/>
  <c r="V82" i="68"/>
  <c r="Q82" i="68" s="1"/>
  <c r="O48" i="3"/>
  <c r="N49" i="3"/>
  <c r="I48" i="3" s="1"/>
  <c r="P33" i="26"/>
  <c r="M77" i="47"/>
  <c r="O76" i="47"/>
  <c r="I76" i="47"/>
  <c r="S76" i="47"/>
  <c r="T76" i="47" s="1"/>
  <c r="Y76" i="47"/>
  <c r="N78" i="59"/>
  <c r="P77" i="59"/>
  <c r="T77" i="59"/>
  <c r="U77" i="59" s="1"/>
  <c r="Z77" i="59"/>
  <c r="AI77" i="59" s="1"/>
  <c r="AJ77" i="59" s="1"/>
  <c r="J77" i="59"/>
  <c r="M44" i="46"/>
  <c r="O43" i="46"/>
  <c r="Y43" i="46"/>
  <c r="S43" i="46"/>
  <c r="T43" i="46" s="1"/>
  <c r="AK36" i="57"/>
  <c r="AD36" i="57" s="1"/>
  <c r="AE68" i="59"/>
  <c r="AL37" i="51"/>
  <c r="AM37" i="51" s="1"/>
  <c r="B37" i="51"/>
  <c r="AN37" i="51"/>
  <c r="AP37" i="51" s="1"/>
  <c r="AQ38" i="41"/>
  <c r="AS39" i="41" s="1"/>
  <c r="AO38" i="41"/>
  <c r="M84" i="67" l="1"/>
  <c r="AP86" i="68"/>
  <c r="AR86" i="68" s="1"/>
  <c r="AN86" i="68"/>
  <c r="AO86" i="68" s="1"/>
  <c r="B86" i="68"/>
  <c r="AJ40" i="41"/>
  <c r="AC40" i="41" s="1"/>
  <c r="AS85" i="68"/>
  <c r="AU86" i="68" s="1"/>
  <c r="AQ85" i="68"/>
  <c r="AI88" i="68"/>
  <c r="AJ88" i="68" s="1"/>
  <c r="AL40" i="57"/>
  <c r="AM40" i="57" s="1"/>
  <c r="AN40" i="57"/>
  <c r="AP40" i="57" s="1"/>
  <c r="B40" i="57"/>
  <c r="J85" i="67"/>
  <c r="P85" i="67"/>
  <c r="Z85" i="67"/>
  <c r="AI85" i="67" s="1"/>
  <c r="AJ85" i="67" s="1"/>
  <c r="N86" i="67"/>
  <c r="T85" i="67"/>
  <c r="U85" i="67" s="1"/>
  <c r="AO39" i="57"/>
  <c r="AQ39" i="57"/>
  <c r="AS40" i="57" s="1"/>
  <c r="S71" i="59"/>
  <c r="V71" i="59" s="1"/>
  <c r="Q71" i="59" s="1"/>
  <c r="AK70" i="59"/>
  <c r="AM70" i="59" s="1"/>
  <c r="AF70" i="59" s="1"/>
  <c r="AC69" i="59"/>
  <c r="AJ33" i="49"/>
  <c r="AC33" i="49" s="1"/>
  <c r="W70" i="59"/>
  <c r="R70" i="59" s="1"/>
  <c r="G70" i="59" s="1"/>
  <c r="I70" i="59" s="1"/>
  <c r="AM69" i="59"/>
  <c r="AF69" i="59" s="1"/>
  <c r="Q35" i="1"/>
  <c r="F35" i="1" s="1"/>
  <c r="H35" i="1" s="1"/>
  <c r="AO35" i="46"/>
  <c r="AJ35" i="1"/>
  <c r="AC35" i="1" s="1"/>
  <c r="R37" i="1"/>
  <c r="U37" i="1" s="1"/>
  <c r="Q37" i="1" s="1"/>
  <c r="F37" i="1" s="1"/>
  <c r="H37" i="1" s="1"/>
  <c r="Q36" i="1"/>
  <c r="F36" i="1" s="1"/>
  <c r="H36" i="1" s="1"/>
  <c r="AI36" i="1"/>
  <c r="AJ36" i="1" s="1"/>
  <c r="AC36" i="1" s="1"/>
  <c r="AB35" i="1"/>
  <c r="V36" i="1"/>
  <c r="AL36" i="46"/>
  <c r="AM36" i="46" s="1"/>
  <c r="AO36" i="46" s="1"/>
  <c r="B36" i="46"/>
  <c r="AN37" i="46" s="1"/>
  <c r="AP37" i="46" s="1"/>
  <c r="AK33" i="39"/>
  <c r="AD33" i="39" s="1"/>
  <c r="G33" i="39" s="1"/>
  <c r="H33" i="39" s="1"/>
  <c r="AI34" i="39"/>
  <c r="AJ34" i="39" s="1"/>
  <c r="AC34" i="39" s="1"/>
  <c r="U34" i="39"/>
  <c r="P34" i="39" s="1"/>
  <c r="AB33" i="39"/>
  <c r="R35" i="39"/>
  <c r="AI35" i="39" s="1"/>
  <c r="Z42" i="3"/>
  <c r="AA42" i="3" s="1"/>
  <c r="J42" i="3" s="1"/>
  <c r="L42" i="3" s="1"/>
  <c r="Y43" i="3"/>
  <c r="Z43" i="3" s="1"/>
  <c r="AA43" i="3" s="1"/>
  <c r="J43" i="3" s="1"/>
  <c r="AD86" i="54"/>
  <c r="AL86" i="54"/>
  <c r="U34" i="45"/>
  <c r="P34" i="45" s="1"/>
  <c r="AK86" i="54"/>
  <c r="AK33" i="45"/>
  <c r="AD33" i="45" s="1"/>
  <c r="F32" i="54"/>
  <c r="H32" i="54" s="1"/>
  <c r="H22" i="54" s="1"/>
  <c r="AO37" i="55"/>
  <c r="AQ37" i="55"/>
  <c r="AS38" i="55" s="1"/>
  <c r="R35" i="45"/>
  <c r="U35" i="45" s="1"/>
  <c r="P35" i="45" s="1"/>
  <c r="AI34" i="45"/>
  <c r="AJ34" i="45" s="1"/>
  <c r="AC34" i="45" s="1"/>
  <c r="AB33" i="45"/>
  <c r="AO76" i="47"/>
  <c r="AQ76" i="47" s="1"/>
  <c r="AR76" i="47" s="1"/>
  <c r="AT77" i="47" s="1"/>
  <c r="AQ82" i="67"/>
  <c r="AS82" i="67"/>
  <c r="AU83" i="67" s="1"/>
  <c r="B83" i="67"/>
  <c r="AN83" i="67"/>
  <c r="AO83" i="67" s="1"/>
  <c r="AP83" i="67"/>
  <c r="AR83" i="67" s="1"/>
  <c r="B76" i="47"/>
  <c r="AM77" i="47" s="1"/>
  <c r="AN77" i="47" s="1"/>
  <c r="V80" i="67"/>
  <c r="Q80" i="67" s="1"/>
  <c r="Z39" i="49"/>
  <c r="AA39" i="49" s="1"/>
  <c r="J39" i="49" s="1"/>
  <c r="L39" i="49" s="1"/>
  <c r="Y40" i="49"/>
  <c r="AG39" i="49"/>
  <c r="AH39" i="49" s="1"/>
  <c r="AR75" i="47"/>
  <c r="AT76" i="47" s="1"/>
  <c r="AQ35" i="39"/>
  <c r="AS36" i="39" s="1"/>
  <c r="AO35" i="39"/>
  <c r="B36" i="39"/>
  <c r="AN36" i="39"/>
  <c r="AP36" i="39" s="1"/>
  <c r="AL36" i="39"/>
  <c r="AM36" i="39" s="1"/>
  <c r="AK33" i="3"/>
  <c r="AD33" i="3" s="1"/>
  <c r="G33" i="3" s="1"/>
  <c r="H33" i="3" s="1"/>
  <c r="AJ33" i="3"/>
  <c r="AC33" i="3" s="1"/>
  <c r="V34" i="3"/>
  <c r="Q34" i="3" s="1"/>
  <c r="F34" i="3" s="1"/>
  <c r="AB33" i="3"/>
  <c r="R35" i="3"/>
  <c r="AI34" i="3"/>
  <c r="U34" i="3"/>
  <c r="P34" i="3" s="1"/>
  <c r="U35" i="49"/>
  <c r="P35" i="49" s="1"/>
  <c r="V35" i="49"/>
  <c r="Q35" i="49" s="1"/>
  <c r="F35" i="49" s="1"/>
  <c r="AI35" i="49"/>
  <c r="AB34" i="49"/>
  <c r="R36" i="49"/>
  <c r="AK34" i="49"/>
  <c r="AD34" i="49" s="1"/>
  <c r="AJ34" i="49"/>
  <c r="AC34" i="49" s="1"/>
  <c r="AI34" i="50"/>
  <c r="R35" i="50"/>
  <c r="AB33" i="50"/>
  <c r="V34" i="50"/>
  <c r="Q34" i="50" s="1"/>
  <c r="F34" i="50" s="1"/>
  <c r="H34" i="50" s="1"/>
  <c r="AJ33" i="50"/>
  <c r="AC33" i="50" s="1"/>
  <c r="AK33" i="50"/>
  <c r="AD33" i="50" s="1"/>
  <c r="U34" i="50"/>
  <c r="P34" i="50" s="1"/>
  <c r="AJ34" i="46"/>
  <c r="AC34" i="46" s="1"/>
  <c r="AK34" i="46"/>
  <c r="AD34" i="46" s="1"/>
  <c r="U35" i="46"/>
  <c r="P35" i="46" s="1"/>
  <c r="R36" i="46"/>
  <c r="AI35" i="46"/>
  <c r="AK35" i="46" s="1"/>
  <c r="AD35" i="46" s="1"/>
  <c r="AB34" i="46"/>
  <c r="AL70" i="60"/>
  <c r="AE70" i="60" s="1"/>
  <c r="Z45" i="48"/>
  <c r="AA45" i="48" s="1"/>
  <c r="J45" i="48" s="1"/>
  <c r="L45" i="48" s="1"/>
  <c r="AK34" i="48"/>
  <c r="AD34" i="48" s="1"/>
  <c r="AN74" i="60"/>
  <c r="AO74" i="60" s="1"/>
  <c r="B74" i="60"/>
  <c r="AP74" i="60"/>
  <c r="AR74" i="60" s="1"/>
  <c r="AJ34" i="52"/>
  <c r="AC34" i="52" s="1"/>
  <c r="AN36" i="52"/>
  <c r="AP36" i="52" s="1"/>
  <c r="AL36" i="52"/>
  <c r="AM36" i="52" s="1"/>
  <c r="B36" i="52"/>
  <c r="AQ73" i="60"/>
  <c r="AS73" i="60"/>
  <c r="AU74" i="60" s="1"/>
  <c r="AT37" i="26"/>
  <c r="AV37" i="26"/>
  <c r="AX38" i="26" s="1"/>
  <c r="AK34" i="52"/>
  <c r="AD34" i="52" s="1"/>
  <c r="U35" i="51"/>
  <c r="P35" i="51" s="1"/>
  <c r="AI76" i="60"/>
  <c r="AJ76" i="60" s="1"/>
  <c r="AA76" i="60"/>
  <c r="AB76" i="60" s="1"/>
  <c r="K76" i="60" s="1"/>
  <c r="M76" i="60" s="1"/>
  <c r="Z77" i="60"/>
  <c r="AA77" i="60" s="1"/>
  <c r="AB77" i="60" s="1"/>
  <c r="K77" i="60" s="1"/>
  <c r="M77" i="60" s="1"/>
  <c r="U35" i="52"/>
  <c r="P35" i="52" s="1"/>
  <c r="AB34" i="52"/>
  <c r="R36" i="52"/>
  <c r="V36" i="52" s="1"/>
  <c r="Q36" i="52" s="1"/>
  <c r="F36" i="52" s="1"/>
  <c r="H36" i="52" s="1"/>
  <c r="V35" i="52"/>
  <c r="Q35" i="52" s="1"/>
  <c r="F35" i="52" s="1"/>
  <c r="H35" i="52" s="1"/>
  <c r="AI35" i="52"/>
  <c r="AJ35" i="52" s="1"/>
  <c r="AC35" i="52" s="1"/>
  <c r="B38" i="26"/>
  <c r="AQ38" i="26"/>
  <c r="AR38" i="26" s="1"/>
  <c r="AS38" i="26"/>
  <c r="AU38" i="26" s="1"/>
  <c r="W71" i="60"/>
  <c r="R71" i="60" s="1"/>
  <c r="G71" i="60" s="1"/>
  <c r="I71" i="60" s="1"/>
  <c r="AK71" i="60"/>
  <c r="AM71" i="60" s="1"/>
  <c r="AF71" i="60" s="1"/>
  <c r="S72" i="60"/>
  <c r="W72" i="60" s="1"/>
  <c r="R72" i="60" s="1"/>
  <c r="G72" i="60" s="1"/>
  <c r="I72" i="60" s="1"/>
  <c r="AC70" i="60"/>
  <c r="AQ35" i="52"/>
  <c r="AS36" i="52" s="1"/>
  <c r="AO35" i="52"/>
  <c r="V35" i="48"/>
  <c r="Q35" i="48" s="1"/>
  <c r="F35" i="48" s="1"/>
  <c r="H35" i="48" s="1"/>
  <c r="AL39" i="49"/>
  <c r="AM39" i="49" s="1"/>
  <c r="B39" i="49"/>
  <c r="AN39" i="49"/>
  <c r="AP39" i="49" s="1"/>
  <c r="AO38" i="49"/>
  <c r="AQ38" i="49"/>
  <c r="AS39" i="49" s="1"/>
  <c r="AG41" i="52"/>
  <c r="AH41" i="52" s="1"/>
  <c r="AP74" i="59"/>
  <c r="AR74" i="59" s="1"/>
  <c r="B74" i="59"/>
  <c r="AN74" i="59"/>
  <c r="AO74" i="59" s="1"/>
  <c r="AQ73" i="59"/>
  <c r="AS73" i="59"/>
  <c r="AU74" i="59" s="1"/>
  <c r="AN38" i="50"/>
  <c r="AP38" i="50" s="1"/>
  <c r="B38" i="50"/>
  <c r="AL38" i="50"/>
  <c r="AM38" i="50" s="1"/>
  <c r="Z42" i="39"/>
  <c r="AA42" i="39" s="1"/>
  <c r="J42" i="39" s="1"/>
  <c r="L42" i="39" s="1"/>
  <c r="AK69" i="47"/>
  <c r="AD69" i="47" s="1"/>
  <c r="AJ34" i="51"/>
  <c r="AC34" i="51" s="1"/>
  <c r="W80" i="67"/>
  <c r="R80" i="67" s="1"/>
  <c r="AK80" i="67"/>
  <c r="AM80" i="67" s="1"/>
  <c r="AF80" i="67" s="1"/>
  <c r="S81" i="67"/>
  <c r="AC79" i="67"/>
  <c r="Z38" i="50"/>
  <c r="AA38" i="50" s="1"/>
  <c r="J38" i="50" s="1"/>
  <c r="L38" i="50" s="1"/>
  <c r="Y39" i="50"/>
  <c r="AG39" i="50" s="1"/>
  <c r="AH39" i="50" s="1"/>
  <c r="AK34" i="55"/>
  <c r="AD34" i="55" s="1"/>
  <c r="V35" i="55"/>
  <c r="Q35" i="55" s="1"/>
  <c r="F35" i="55" s="1"/>
  <c r="H35" i="55" s="1"/>
  <c r="AB34" i="55"/>
  <c r="R36" i="55"/>
  <c r="AI35" i="55"/>
  <c r="AK35" i="55" s="1"/>
  <c r="AD35" i="55" s="1"/>
  <c r="AB34" i="51"/>
  <c r="R36" i="51"/>
  <c r="AI35" i="51"/>
  <c r="AP34" i="26"/>
  <c r="AG34" i="26" s="1"/>
  <c r="G34" i="26" s="1"/>
  <c r="L34" i="26" s="1"/>
  <c r="AL79" i="67"/>
  <c r="AE79" i="67" s="1"/>
  <c r="V70" i="47"/>
  <c r="Q70" i="47" s="1"/>
  <c r="F70" i="47" s="1"/>
  <c r="H70" i="47" s="1"/>
  <c r="AJ70" i="47"/>
  <c r="AL70" i="47" s="1"/>
  <c r="AE70" i="47" s="1"/>
  <c r="R71" i="47"/>
  <c r="U71" i="47" s="1"/>
  <c r="P71" i="47" s="1"/>
  <c r="AB69" i="47"/>
  <c r="AQ37" i="50"/>
  <c r="AS38" i="50" s="1"/>
  <c r="AO37" i="50"/>
  <c r="AK37" i="57"/>
  <c r="AD37" i="57" s="1"/>
  <c r="AL40" i="41"/>
  <c r="AM40" i="41" s="1"/>
  <c r="AN40" i="41"/>
  <c r="AP40" i="41" s="1"/>
  <c r="L41" i="52"/>
  <c r="M47" i="48"/>
  <c r="O46" i="48"/>
  <c r="S46" i="48"/>
  <c r="T46" i="48" s="1"/>
  <c r="Y46" i="48"/>
  <c r="AG46" i="48" s="1"/>
  <c r="AH46" i="48" s="1"/>
  <c r="I46" i="48"/>
  <c r="AN38" i="48"/>
  <c r="AP38" i="48" s="1"/>
  <c r="AL38" i="48"/>
  <c r="AM38" i="48" s="1"/>
  <c r="B38" i="48"/>
  <c r="R35" i="26"/>
  <c r="B38" i="51"/>
  <c r="AN38" i="51"/>
  <c r="AP38" i="51" s="1"/>
  <c r="AL38" i="51"/>
  <c r="AM38" i="51" s="1"/>
  <c r="M45" i="46"/>
  <c r="O44" i="46"/>
  <c r="Y44" i="46"/>
  <c r="S44" i="46"/>
  <c r="T44" i="46" s="1"/>
  <c r="AQ37" i="1"/>
  <c r="AS38" i="1" s="1"/>
  <c r="AO37" i="1"/>
  <c r="F33" i="26"/>
  <c r="AQ39" i="41"/>
  <c r="AS40" i="41" s="1"/>
  <c r="AO39" i="41"/>
  <c r="BF43" i="26"/>
  <c r="M44" i="26"/>
  <c r="S43" i="26"/>
  <c r="T43" i="26" s="1"/>
  <c r="U43" i="26" s="1"/>
  <c r="I43" i="26" s="1"/>
  <c r="AA43" i="26"/>
  <c r="AI43" i="26" s="1"/>
  <c r="AL43" i="26" s="1"/>
  <c r="K43" i="26" s="1"/>
  <c r="O43" i="26"/>
  <c r="X47" i="3"/>
  <c r="AO37" i="51"/>
  <c r="AQ37" i="51"/>
  <c r="AS38" i="51" s="1"/>
  <c r="AI38" i="57"/>
  <c r="AJ38" i="57" s="1"/>
  <c r="AC38" i="57" s="1"/>
  <c r="R39" i="57"/>
  <c r="U39" i="57" s="1"/>
  <c r="P39" i="57" s="1"/>
  <c r="AB37" i="57"/>
  <c r="E79" i="61"/>
  <c r="D79" i="61"/>
  <c r="C79" i="61"/>
  <c r="Y44" i="57"/>
  <c r="AG44" i="57" s="1"/>
  <c r="AH44" i="57" s="1"/>
  <c r="I44" i="57"/>
  <c r="S44" i="57"/>
  <c r="T44" i="57" s="1"/>
  <c r="O44" i="57"/>
  <c r="M45" i="57"/>
  <c r="M78" i="47"/>
  <c r="O77" i="47"/>
  <c r="S77" i="47"/>
  <c r="T77" i="47" s="1"/>
  <c r="I77" i="47"/>
  <c r="Y77" i="47"/>
  <c r="AB40" i="41"/>
  <c r="R42" i="41"/>
  <c r="V42" i="41" s="1"/>
  <c r="Q42" i="41" s="1"/>
  <c r="F42" i="41" s="1"/>
  <c r="AI41" i="41"/>
  <c r="AK41" i="41" s="1"/>
  <c r="AD41" i="41" s="1"/>
  <c r="G41" i="41" s="1"/>
  <c r="H41" i="41" s="1"/>
  <c r="AO37" i="3"/>
  <c r="AQ37" i="3"/>
  <c r="AS38" i="3" s="1"/>
  <c r="U38" i="57"/>
  <c r="P38" i="57" s="1"/>
  <c r="AH76" i="47"/>
  <c r="AI76" i="47" s="1"/>
  <c r="AJ37" i="57"/>
  <c r="AC37" i="57" s="1"/>
  <c r="M44" i="39"/>
  <c r="O43" i="39"/>
  <c r="I43" i="39"/>
  <c r="S43" i="39"/>
  <c r="T43" i="39" s="1"/>
  <c r="Y43" i="39"/>
  <c r="M43" i="52"/>
  <c r="O42" i="52"/>
  <c r="I42" i="52"/>
  <c r="S42" i="52"/>
  <c r="T42" i="52" s="1"/>
  <c r="Y42" i="52"/>
  <c r="Z42" i="52" s="1"/>
  <c r="AA42" i="52" s="1"/>
  <c r="J42" i="52" s="1"/>
  <c r="D48" i="3"/>
  <c r="Z89" i="68"/>
  <c r="AI89" i="68" s="1"/>
  <c r="AJ89" i="68" s="1"/>
  <c r="AG43" i="57"/>
  <c r="AH43" i="57" s="1"/>
  <c r="P93" i="68"/>
  <c r="T93" i="68"/>
  <c r="U93" i="68" s="1"/>
  <c r="N94" i="68"/>
  <c r="J93" i="68"/>
  <c r="M42" i="51"/>
  <c r="S41" i="51"/>
  <c r="T41" i="51" s="1"/>
  <c r="Y41" i="51"/>
  <c r="Z41" i="51" s="1"/>
  <c r="AA41" i="51" s="1"/>
  <c r="J41" i="51" s="1"/>
  <c r="O41" i="51"/>
  <c r="I41" i="51"/>
  <c r="B54" i="61"/>
  <c r="V83" i="68"/>
  <c r="Q83" i="68" s="1"/>
  <c r="M43" i="45"/>
  <c r="S42" i="45"/>
  <c r="T42" i="45" s="1"/>
  <c r="Y42" i="45"/>
  <c r="O42" i="45"/>
  <c r="AN38" i="3"/>
  <c r="AP38" i="3" s="1"/>
  <c r="B38" i="3"/>
  <c r="AL38" i="3"/>
  <c r="AM38" i="3" s="1"/>
  <c r="AF33" i="26"/>
  <c r="A81" i="61"/>
  <c r="B80" i="61"/>
  <c r="O44" i="1"/>
  <c r="M45" i="1"/>
  <c r="S44" i="1"/>
  <c r="T44" i="1" s="1"/>
  <c r="Y44" i="1"/>
  <c r="AG44" i="1" s="1"/>
  <c r="AH44" i="1" s="1"/>
  <c r="I44" i="1"/>
  <c r="O40" i="41"/>
  <c r="Y40" i="41"/>
  <c r="AG40" i="41" s="1"/>
  <c r="AH40" i="41" s="1"/>
  <c r="K40" i="41"/>
  <c r="S40" i="41"/>
  <c r="T40" i="41" s="1"/>
  <c r="J40" i="41"/>
  <c r="M41" i="41"/>
  <c r="B40" i="41"/>
  <c r="S47" i="3"/>
  <c r="T47" i="3" s="1"/>
  <c r="AO37" i="48"/>
  <c r="AQ37" i="48"/>
  <c r="AS38" i="48" s="1"/>
  <c r="AC82" i="68"/>
  <c r="AK83" i="68"/>
  <c r="AL83" i="68" s="1"/>
  <c r="AE83" i="68" s="1"/>
  <c r="S84" i="68"/>
  <c r="W84" i="68" s="1"/>
  <c r="R84" i="68" s="1"/>
  <c r="G84" i="68" s="1"/>
  <c r="I84" i="68" s="1"/>
  <c r="N79" i="59"/>
  <c r="T78" i="59"/>
  <c r="U78" i="59" s="1"/>
  <c r="P78" i="59"/>
  <c r="Z78" i="59"/>
  <c r="AA78" i="59" s="1"/>
  <c r="AB78" i="59" s="1"/>
  <c r="K78" i="59" s="1"/>
  <c r="J78" i="59"/>
  <c r="F34" i="48"/>
  <c r="AY49" i="3"/>
  <c r="I49" i="3"/>
  <c r="AE48" i="3"/>
  <c r="AF48" i="3" s="1"/>
  <c r="W48" i="3"/>
  <c r="X48" i="3" s="1"/>
  <c r="D49" i="3"/>
  <c r="AN38" i="1"/>
  <c r="AP38" i="1" s="1"/>
  <c r="AL38" i="1"/>
  <c r="AM38" i="1" s="1"/>
  <c r="B38" i="1"/>
  <c r="M43" i="55"/>
  <c r="O42" i="55"/>
  <c r="S42" i="55"/>
  <c r="T42" i="55" s="1"/>
  <c r="Y42" i="55"/>
  <c r="U41" i="41"/>
  <c r="P41" i="41" s="1"/>
  <c r="Z43" i="1"/>
  <c r="AA43" i="1" s="1"/>
  <c r="J43" i="1" s="1"/>
  <c r="L43" i="1" s="1"/>
  <c r="M42" i="50"/>
  <c r="O41" i="50"/>
  <c r="I41" i="50"/>
  <c r="S41" i="50"/>
  <c r="T41" i="50" s="1"/>
  <c r="V38" i="57"/>
  <c r="Q38" i="57" s="1"/>
  <c r="F38" i="57" s="1"/>
  <c r="H38" i="57" s="1"/>
  <c r="AG39" i="41"/>
  <c r="AH39" i="41" s="1"/>
  <c r="AA77" i="59"/>
  <c r="AB77" i="59" s="1"/>
  <c r="K77" i="59" s="1"/>
  <c r="M77" i="59" s="1"/>
  <c r="AG33" i="26"/>
  <c r="G33" i="26" s="1"/>
  <c r="Z76" i="47"/>
  <c r="AA76" i="47" s="1"/>
  <c r="J76" i="47" s="1"/>
  <c r="L76" i="47" s="1"/>
  <c r="AI35" i="48"/>
  <c r="AB34" i="48"/>
  <c r="R36" i="48"/>
  <c r="V36" i="48" s="1"/>
  <c r="Q36" i="48" s="1"/>
  <c r="F36" i="48" s="1"/>
  <c r="H36" i="48" s="1"/>
  <c r="Z40" i="51"/>
  <c r="AA40" i="51" s="1"/>
  <c r="J40" i="51" s="1"/>
  <c r="L40" i="51" s="1"/>
  <c r="AF47" i="3"/>
  <c r="Z43" i="57"/>
  <c r="AA43" i="57" s="1"/>
  <c r="J43" i="57" s="1"/>
  <c r="L43" i="57" s="1"/>
  <c r="C43" i="61"/>
  <c r="AS86" i="68" l="1"/>
  <c r="AU87" i="68" s="1"/>
  <c r="AQ86" i="68"/>
  <c r="Z40" i="41"/>
  <c r="AA40" i="41" s="1"/>
  <c r="B87" i="68"/>
  <c r="AN87" i="68"/>
  <c r="AO87" i="68" s="1"/>
  <c r="AP87" i="68"/>
  <c r="AR87" i="68" s="1"/>
  <c r="AL70" i="59"/>
  <c r="AE70" i="59" s="1"/>
  <c r="J86" i="67"/>
  <c r="Z86" i="67"/>
  <c r="T86" i="67"/>
  <c r="U86" i="67" s="1"/>
  <c r="P86" i="67"/>
  <c r="N87" i="67"/>
  <c r="AN41" i="57"/>
  <c r="AP41" i="57" s="1"/>
  <c r="B41" i="57"/>
  <c r="AL41" i="57"/>
  <c r="AM41" i="57" s="1"/>
  <c r="AQ40" i="57"/>
  <c r="AS41" i="57" s="1"/>
  <c r="AO40" i="57"/>
  <c r="AB43" i="26"/>
  <c r="AC43" i="26" s="1"/>
  <c r="J43" i="26" s="1"/>
  <c r="AM83" i="68"/>
  <c r="AF83" i="68" s="1"/>
  <c r="Z44" i="57"/>
  <c r="AA44" i="57" s="1"/>
  <c r="J44" i="57" s="1"/>
  <c r="L44" i="57" s="1"/>
  <c r="AA85" i="67"/>
  <c r="AB85" i="67" s="1"/>
  <c r="K85" i="67" s="1"/>
  <c r="M85" i="67" s="1"/>
  <c r="AI86" i="67"/>
  <c r="AJ86" i="67" s="1"/>
  <c r="AK36" i="1"/>
  <c r="AD36" i="1" s="1"/>
  <c r="B37" i="46"/>
  <c r="AL37" i="46"/>
  <c r="AM37" i="46" s="1"/>
  <c r="AQ37" i="46" s="1"/>
  <c r="AS38" i="46" s="1"/>
  <c r="S72" i="59"/>
  <c r="S73" i="59" s="1"/>
  <c r="W71" i="59"/>
  <c r="R71" i="59" s="1"/>
  <c r="G71" i="59" s="1"/>
  <c r="I71" i="59" s="1"/>
  <c r="AK71" i="59"/>
  <c r="AL71" i="59" s="1"/>
  <c r="AC70" i="59"/>
  <c r="AB36" i="1"/>
  <c r="V37" i="1"/>
  <c r="AI37" i="1"/>
  <c r="AK37" i="1" s="1"/>
  <c r="AD37" i="1" s="1"/>
  <c r="R38" i="1"/>
  <c r="AI38" i="1" s="1"/>
  <c r="P37" i="1"/>
  <c r="AQ36" i="46"/>
  <c r="AS37" i="46" s="1"/>
  <c r="AK34" i="39"/>
  <c r="AD34" i="39" s="1"/>
  <c r="G34" i="39" s="1"/>
  <c r="H34" i="39" s="1"/>
  <c r="R36" i="39"/>
  <c r="U36" i="39" s="1"/>
  <c r="P36" i="39" s="1"/>
  <c r="AJ35" i="39"/>
  <c r="AC35" i="39" s="1"/>
  <c r="U35" i="39"/>
  <c r="P35" i="39" s="1"/>
  <c r="AB34" i="39"/>
  <c r="Y44" i="3"/>
  <c r="AG44" i="3" s="1"/>
  <c r="AH44" i="3" s="1"/>
  <c r="K44" i="3" s="1"/>
  <c r="V35" i="39"/>
  <c r="Q35" i="39" s="1"/>
  <c r="F35" i="39" s="1"/>
  <c r="AG43" i="3"/>
  <c r="AH43" i="3" s="1"/>
  <c r="K43" i="3" s="1"/>
  <c r="L43" i="3" s="1"/>
  <c r="F22" i="54"/>
  <c r="H10" i="54" s="1"/>
  <c r="B77" i="47"/>
  <c r="AM78" i="47" s="1"/>
  <c r="AN78" i="47" s="1"/>
  <c r="AB34" i="45"/>
  <c r="R36" i="45"/>
  <c r="R37" i="45" s="1"/>
  <c r="V35" i="45"/>
  <c r="Q35" i="45" s="1"/>
  <c r="F35" i="45" s="1"/>
  <c r="H35" i="45" s="1"/>
  <c r="AI35" i="45"/>
  <c r="AJ35" i="45" s="1"/>
  <c r="AC35" i="45" s="1"/>
  <c r="R37" i="55"/>
  <c r="V37" i="55" s="1"/>
  <c r="Q37" i="55" s="1"/>
  <c r="R37" i="46"/>
  <c r="U37" i="46" s="1"/>
  <c r="P37" i="46" s="1"/>
  <c r="AP76" i="47"/>
  <c r="AK34" i="45"/>
  <c r="AD34" i="45" s="1"/>
  <c r="AO77" i="47"/>
  <c r="AQ77" i="47" s="1"/>
  <c r="AR77" i="47" s="1"/>
  <c r="AT78" i="47" s="1"/>
  <c r="AS83" i="67"/>
  <c r="AU84" i="67" s="1"/>
  <c r="AQ83" i="67"/>
  <c r="AP84" i="67"/>
  <c r="AR84" i="67" s="1"/>
  <c r="B84" i="67"/>
  <c r="AN84" i="67"/>
  <c r="AO84" i="67" s="1"/>
  <c r="W81" i="67"/>
  <c r="R81" i="67" s="1"/>
  <c r="V81" i="67"/>
  <c r="Q81" i="67" s="1"/>
  <c r="G81" i="67" s="1"/>
  <c r="I81" i="67" s="1"/>
  <c r="Z40" i="49"/>
  <c r="AA40" i="49" s="1"/>
  <c r="J40" i="49" s="1"/>
  <c r="L40" i="49" s="1"/>
  <c r="Y41" i="49"/>
  <c r="AG40" i="49"/>
  <c r="AH40" i="49" s="1"/>
  <c r="AN37" i="39"/>
  <c r="AP37" i="39" s="1"/>
  <c r="AL37" i="39"/>
  <c r="AM37" i="39" s="1"/>
  <c r="B37" i="39"/>
  <c r="AQ36" i="39"/>
  <c r="AS37" i="39" s="1"/>
  <c r="AO36" i="39"/>
  <c r="G80" i="67"/>
  <c r="I80" i="67" s="1"/>
  <c r="AK34" i="3"/>
  <c r="AD34" i="3" s="1"/>
  <c r="G34" i="3" s="1"/>
  <c r="H34" i="3" s="1"/>
  <c r="AJ34" i="3"/>
  <c r="AC34" i="3" s="1"/>
  <c r="U35" i="3"/>
  <c r="P35" i="3" s="1"/>
  <c r="V35" i="3"/>
  <c r="Q35" i="3" s="1"/>
  <c r="F35" i="3" s="1"/>
  <c r="AB34" i="3"/>
  <c r="AI35" i="3"/>
  <c r="R36" i="3"/>
  <c r="AJ35" i="49"/>
  <c r="AC35" i="49" s="1"/>
  <c r="AK35" i="49"/>
  <c r="AD35" i="49" s="1"/>
  <c r="U36" i="49"/>
  <c r="P36" i="49" s="1"/>
  <c r="V36" i="49"/>
  <c r="Q36" i="49" s="1"/>
  <c r="F36" i="49" s="1"/>
  <c r="H36" i="49" s="1"/>
  <c r="AB35" i="49"/>
  <c r="R37" i="49"/>
  <c r="AI36" i="49"/>
  <c r="V35" i="50"/>
  <c r="Q35" i="50" s="1"/>
  <c r="F35" i="50" s="1"/>
  <c r="H35" i="50" s="1"/>
  <c r="AI35" i="50"/>
  <c r="R36" i="50"/>
  <c r="U35" i="50"/>
  <c r="P35" i="50" s="1"/>
  <c r="AB34" i="50"/>
  <c r="AK34" i="50"/>
  <c r="AD34" i="50" s="1"/>
  <c r="AJ34" i="50"/>
  <c r="AC34" i="50" s="1"/>
  <c r="AJ35" i="46"/>
  <c r="AC35" i="46" s="1"/>
  <c r="AB35" i="46"/>
  <c r="U36" i="46"/>
  <c r="P36" i="46" s="1"/>
  <c r="AI36" i="46"/>
  <c r="V36" i="46"/>
  <c r="Q36" i="46" s="1"/>
  <c r="F36" i="46" s="1"/>
  <c r="U36" i="52"/>
  <c r="P36" i="52" s="1"/>
  <c r="H34" i="26"/>
  <c r="AK35" i="39"/>
  <c r="AD35" i="39" s="1"/>
  <c r="G35" i="39" s="1"/>
  <c r="AL80" i="67"/>
  <c r="AE80" i="67" s="1"/>
  <c r="AL71" i="60"/>
  <c r="AE71" i="60" s="1"/>
  <c r="AI77" i="60"/>
  <c r="AJ77" i="60" s="1"/>
  <c r="V72" i="60"/>
  <c r="Q72" i="60" s="1"/>
  <c r="AK72" i="60"/>
  <c r="AL72" i="60" s="1"/>
  <c r="AE72" i="60" s="1"/>
  <c r="S73" i="60"/>
  <c r="W73" i="60" s="1"/>
  <c r="R73" i="60" s="1"/>
  <c r="G73" i="60" s="1"/>
  <c r="I73" i="60" s="1"/>
  <c r="AC71" i="60"/>
  <c r="AV38" i="26"/>
  <c r="AX39" i="26" s="1"/>
  <c r="AT38" i="26"/>
  <c r="AI36" i="52"/>
  <c r="AK36" i="52" s="1"/>
  <c r="AD36" i="52" s="1"/>
  <c r="R37" i="52"/>
  <c r="AB35" i="52"/>
  <c r="Z78" i="60"/>
  <c r="B75" i="60"/>
  <c r="AP75" i="60"/>
  <c r="AR75" i="60" s="1"/>
  <c r="AN75" i="60"/>
  <c r="AO75" i="60" s="1"/>
  <c r="AS39" i="26"/>
  <c r="AU39" i="26" s="1"/>
  <c r="B39" i="26"/>
  <c r="AQ39" i="26"/>
  <c r="AR39" i="26" s="1"/>
  <c r="AN37" i="52"/>
  <c r="AP37" i="52" s="1"/>
  <c r="B37" i="52"/>
  <c r="AL37" i="52"/>
  <c r="AM37" i="52" s="1"/>
  <c r="AK35" i="52"/>
  <c r="AD35" i="52" s="1"/>
  <c r="AQ74" i="60"/>
  <c r="AS74" i="60"/>
  <c r="AU75" i="60" s="1"/>
  <c r="AQ36" i="52"/>
  <c r="AS37" i="52" s="1"/>
  <c r="AO36" i="52"/>
  <c r="AL40" i="49"/>
  <c r="AM40" i="49" s="1"/>
  <c r="AN40" i="49"/>
  <c r="AP40" i="49" s="1"/>
  <c r="B40" i="49"/>
  <c r="AQ39" i="49"/>
  <c r="AS40" i="49" s="1"/>
  <c r="AO39" i="49"/>
  <c r="D73" i="3"/>
  <c r="V71" i="47"/>
  <c r="Q71" i="47" s="1"/>
  <c r="F71" i="47" s="1"/>
  <c r="H71" i="47" s="1"/>
  <c r="Z39" i="50"/>
  <c r="AA39" i="50" s="1"/>
  <c r="J39" i="50" s="1"/>
  <c r="L39" i="50" s="1"/>
  <c r="AN75" i="59"/>
  <c r="AO75" i="59" s="1"/>
  <c r="AP75" i="59"/>
  <c r="AR75" i="59" s="1"/>
  <c r="B75" i="59"/>
  <c r="U36" i="48"/>
  <c r="P36" i="48" s="1"/>
  <c r="AQ74" i="59"/>
  <c r="AS74" i="59"/>
  <c r="AU75" i="59" s="1"/>
  <c r="Y40" i="50"/>
  <c r="AG40" i="50" s="1"/>
  <c r="AH40" i="50" s="1"/>
  <c r="AE86" i="3"/>
  <c r="W86" i="3"/>
  <c r="AJ71" i="47"/>
  <c r="AL71" i="47" s="1"/>
  <c r="AE71" i="47" s="1"/>
  <c r="AB70" i="47"/>
  <c r="R72" i="47"/>
  <c r="U72" i="47" s="1"/>
  <c r="P72" i="47" s="1"/>
  <c r="AJ35" i="55"/>
  <c r="AC35" i="55" s="1"/>
  <c r="AO38" i="50"/>
  <c r="AQ38" i="50"/>
  <c r="AS39" i="50" s="1"/>
  <c r="X86" i="3"/>
  <c r="AK35" i="51"/>
  <c r="AD35" i="51" s="1"/>
  <c r="AJ35" i="51"/>
  <c r="AC35" i="51" s="1"/>
  <c r="B39" i="50"/>
  <c r="AN39" i="50"/>
  <c r="AP39" i="50" s="1"/>
  <c r="AL39" i="50"/>
  <c r="AM39" i="50" s="1"/>
  <c r="AI36" i="51"/>
  <c r="V36" i="51"/>
  <c r="Q36" i="51" s="1"/>
  <c r="F36" i="51" s="1"/>
  <c r="H36" i="51" s="1"/>
  <c r="AB35" i="51"/>
  <c r="R37" i="51"/>
  <c r="U36" i="51"/>
  <c r="P36" i="51" s="1"/>
  <c r="AI36" i="55"/>
  <c r="U36" i="55"/>
  <c r="P36" i="55" s="1"/>
  <c r="AB35" i="55"/>
  <c r="V36" i="55"/>
  <c r="Q36" i="55" s="1"/>
  <c r="F36" i="55" s="1"/>
  <c r="S82" i="67"/>
  <c r="AK81" i="67"/>
  <c r="AL81" i="67" s="1"/>
  <c r="AE81" i="67" s="1"/>
  <c r="AC80" i="67"/>
  <c r="AK70" i="47"/>
  <c r="AD70" i="47" s="1"/>
  <c r="M46" i="46"/>
  <c r="O45" i="46"/>
  <c r="Y45" i="46"/>
  <c r="S45" i="46"/>
  <c r="T45" i="46" s="1"/>
  <c r="E43" i="61"/>
  <c r="L43" i="61"/>
  <c r="AO38" i="1"/>
  <c r="AQ38" i="1"/>
  <c r="AS39" i="1" s="1"/>
  <c r="B81" i="61"/>
  <c r="A82" i="61"/>
  <c r="AF86" i="3"/>
  <c r="AL41" i="41"/>
  <c r="AM41" i="41" s="1"/>
  <c r="AN41" i="41"/>
  <c r="AP41" i="41" s="1"/>
  <c r="AA89" i="68"/>
  <c r="AB89" i="68" s="1"/>
  <c r="K89" i="68" s="1"/>
  <c r="M89" i="68" s="1"/>
  <c r="AG42" i="52"/>
  <c r="AH42" i="52" s="1"/>
  <c r="M45" i="39"/>
  <c r="O44" i="39"/>
  <c r="I44" i="39"/>
  <c r="S44" i="39"/>
  <c r="T44" i="39" s="1"/>
  <c r="Y44" i="39"/>
  <c r="AG44" i="39" s="1"/>
  <c r="AH44" i="39" s="1"/>
  <c r="K44" i="39" s="1"/>
  <c r="AK35" i="48"/>
  <c r="AD35" i="48" s="1"/>
  <c r="Z46" i="48"/>
  <c r="AA46" i="48" s="1"/>
  <c r="J46" i="48" s="1"/>
  <c r="L46" i="48" s="1"/>
  <c r="AB35" i="48"/>
  <c r="AI36" i="48"/>
  <c r="R37" i="48"/>
  <c r="U37" i="48" s="1"/>
  <c r="P37" i="48" s="1"/>
  <c r="M43" i="50"/>
  <c r="O42" i="50"/>
  <c r="I42" i="50"/>
  <c r="S42" i="50"/>
  <c r="T42" i="50" s="1"/>
  <c r="O43" i="55"/>
  <c r="M44" i="55"/>
  <c r="S43" i="55"/>
  <c r="T43" i="55" s="1"/>
  <c r="Y43" i="55"/>
  <c r="S49" i="3"/>
  <c r="T49" i="3" s="1"/>
  <c r="M78" i="59"/>
  <c r="N80" i="59"/>
  <c r="T79" i="59"/>
  <c r="U79" i="59" s="1"/>
  <c r="P79" i="59"/>
  <c r="Z79" i="59"/>
  <c r="AA79" i="59" s="1"/>
  <c r="AB79" i="59" s="1"/>
  <c r="K79" i="59" s="1"/>
  <c r="J79" i="59"/>
  <c r="Y41" i="41"/>
  <c r="O41" i="41"/>
  <c r="B41" i="41" s="1"/>
  <c r="K41" i="41"/>
  <c r="S41" i="41"/>
  <c r="T41" i="41" s="1"/>
  <c r="M42" i="41"/>
  <c r="J41" i="41"/>
  <c r="Z41" i="41"/>
  <c r="AA41" i="41" s="1"/>
  <c r="AL39" i="3"/>
  <c r="AM39" i="3" s="1"/>
  <c r="B39" i="3"/>
  <c r="AN39" i="3"/>
  <c r="AP39" i="3" s="1"/>
  <c r="B55" i="61"/>
  <c r="L41" i="51"/>
  <c r="M43" i="51"/>
  <c r="S42" i="51"/>
  <c r="T42" i="51" s="1"/>
  <c r="Y42" i="51"/>
  <c r="Z42" i="51" s="1"/>
  <c r="AA42" i="51" s="1"/>
  <c r="J42" i="51" s="1"/>
  <c r="O42" i="51"/>
  <c r="I42" i="51"/>
  <c r="L42" i="52"/>
  <c r="Z43" i="39"/>
  <c r="AA43" i="39" s="1"/>
  <c r="J43" i="39" s="1"/>
  <c r="AH77" i="47"/>
  <c r="AI77" i="47" s="1"/>
  <c r="AI39" i="57"/>
  <c r="AJ39" i="57" s="1"/>
  <c r="AC39" i="57" s="1"/>
  <c r="R40" i="57"/>
  <c r="AB38" i="57"/>
  <c r="AE34" i="26"/>
  <c r="AN35" i="26"/>
  <c r="AY35" i="26"/>
  <c r="D35" i="26" s="1"/>
  <c r="V35" i="26"/>
  <c r="P35" i="26" s="1"/>
  <c r="W35" i="26"/>
  <c r="Q35" i="26" s="1"/>
  <c r="F35" i="26" s="1"/>
  <c r="AC83" i="68"/>
  <c r="AK84" i="68"/>
  <c r="AM84" i="68" s="1"/>
  <c r="AF84" i="68" s="1"/>
  <c r="S85" i="68"/>
  <c r="Z90" i="68"/>
  <c r="AA90" i="68" s="1"/>
  <c r="AB90" i="68" s="1"/>
  <c r="K90" i="68" s="1"/>
  <c r="M90" i="68" s="1"/>
  <c r="M44" i="52"/>
  <c r="O43" i="52"/>
  <c r="I43" i="52"/>
  <c r="S43" i="52"/>
  <c r="T43" i="52" s="1"/>
  <c r="Y43" i="52"/>
  <c r="Z43" i="52" s="1"/>
  <c r="AA43" i="52" s="1"/>
  <c r="J43" i="52" s="1"/>
  <c r="AJ35" i="48"/>
  <c r="AC35" i="48" s="1"/>
  <c r="AJ42" i="41"/>
  <c r="AC42" i="41" s="1"/>
  <c r="M79" i="47"/>
  <c r="O78" i="47"/>
  <c r="I78" i="47"/>
  <c r="Y78" i="47"/>
  <c r="AH78" i="47" s="1"/>
  <c r="AI78" i="47" s="1"/>
  <c r="S78" i="47"/>
  <c r="T78" i="47" s="1"/>
  <c r="I45" i="57"/>
  <c r="Y45" i="57"/>
  <c r="O45" i="57"/>
  <c r="S45" i="57"/>
  <c r="T45" i="57" s="1"/>
  <c r="M46" i="57"/>
  <c r="AO38" i="48"/>
  <c r="AQ38" i="48"/>
  <c r="AS39" i="48" s="1"/>
  <c r="M48" i="48"/>
  <c r="Y47" i="48"/>
  <c r="O47" i="48"/>
  <c r="N48" i="48"/>
  <c r="AK38" i="57"/>
  <c r="AD38" i="57" s="1"/>
  <c r="H35" i="49"/>
  <c r="AO38" i="3"/>
  <c r="AQ38" i="3"/>
  <c r="AS39" i="3" s="1"/>
  <c r="AJ41" i="41"/>
  <c r="AC41" i="41" s="1"/>
  <c r="AB41" i="41"/>
  <c r="AI42" i="41"/>
  <c r="R43" i="41"/>
  <c r="U43" i="41" s="1"/>
  <c r="P43" i="41" s="1"/>
  <c r="Z77" i="47"/>
  <c r="AA77" i="47" s="1"/>
  <c r="J77" i="47" s="1"/>
  <c r="L77" i="47" s="1"/>
  <c r="BF44" i="26"/>
  <c r="AA44" i="26"/>
  <c r="AI44" i="26" s="1"/>
  <c r="AL44" i="26" s="1"/>
  <c r="K44" i="26" s="1"/>
  <c r="M45" i="26"/>
  <c r="O44" i="26"/>
  <c r="S44" i="26"/>
  <c r="T44" i="26" s="1"/>
  <c r="U44" i="26" s="1"/>
  <c r="I44" i="26" s="1"/>
  <c r="H33" i="26"/>
  <c r="L33" i="26"/>
  <c r="AN39" i="51"/>
  <c r="AP39" i="51" s="1"/>
  <c r="B39" i="51"/>
  <c r="AL39" i="51"/>
  <c r="AM39" i="51" s="1"/>
  <c r="B39" i="1"/>
  <c r="AL39" i="1"/>
  <c r="AM39" i="1" s="1"/>
  <c r="AN39" i="1"/>
  <c r="AP39" i="1" s="1"/>
  <c r="Z44" i="1"/>
  <c r="AA44" i="1" s="1"/>
  <c r="J44" i="1" s="1"/>
  <c r="L44" i="1" s="1"/>
  <c r="H34" i="48"/>
  <c r="V84" i="68"/>
  <c r="Q84" i="68" s="1"/>
  <c r="AG41" i="51"/>
  <c r="AH41" i="51" s="1"/>
  <c r="L40" i="41"/>
  <c r="M46" i="1"/>
  <c r="O45" i="1"/>
  <c r="S45" i="1"/>
  <c r="T45" i="1" s="1"/>
  <c r="Y45" i="1"/>
  <c r="AG45" i="1" s="1"/>
  <c r="AH45" i="1" s="1"/>
  <c r="I45" i="1"/>
  <c r="E80" i="61"/>
  <c r="C80" i="61"/>
  <c r="D80" i="61"/>
  <c r="M44" i="45"/>
  <c r="S43" i="45"/>
  <c r="T43" i="45" s="1"/>
  <c r="Y43" i="45"/>
  <c r="O43" i="45"/>
  <c r="N95" i="68"/>
  <c r="P94" i="68"/>
  <c r="O95" i="68"/>
  <c r="S48" i="3"/>
  <c r="T48" i="3" s="1"/>
  <c r="AG43" i="39"/>
  <c r="AH43" i="39" s="1"/>
  <c r="K43" i="39" s="1"/>
  <c r="U42" i="41"/>
  <c r="P42" i="41" s="1"/>
  <c r="AI78" i="59"/>
  <c r="AJ78" i="59" s="1"/>
  <c r="V39" i="57"/>
  <c r="Q39" i="57" s="1"/>
  <c r="F39" i="57" s="1"/>
  <c r="H39" i="57" s="1"/>
  <c r="AO38" i="51"/>
  <c r="AQ38" i="51"/>
  <c r="AS39" i="51" s="1"/>
  <c r="AL39" i="48"/>
  <c r="AM39" i="48" s="1"/>
  <c r="AN39" i="48"/>
  <c r="AP39" i="48" s="1"/>
  <c r="B39" i="48"/>
  <c r="AQ40" i="41"/>
  <c r="AS41" i="41" s="1"/>
  <c r="AO40" i="41"/>
  <c r="AP88" i="68" l="1"/>
  <c r="AR88" i="68" s="1"/>
  <c r="AN88" i="68"/>
  <c r="AO88" i="68" s="1"/>
  <c r="B88" i="68"/>
  <c r="AB44" i="26"/>
  <c r="AC44" i="26" s="1"/>
  <c r="J44" i="26" s="1"/>
  <c r="V43" i="41"/>
  <c r="Q43" i="41" s="1"/>
  <c r="F43" i="41" s="1"/>
  <c r="AS87" i="68"/>
  <c r="AU88" i="68" s="1"/>
  <c r="AQ87" i="68"/>
  <c r="AQ41" i="57"/>
  <c r="AS42" i="57" s="1"/>
  <c r="AO41" i="57"/>
  <c r="AL42" i="57"/>
  <c r="AM42" i="57" s="1"/>
  <c r="AN42" i="57"/>
  <c r="AP42" i="57" s="1"/>
  <c r="B42" i="57"/>
  <c r="J87" i="67"/>
  <c r="Z87" i="67"/>
  <c r="P87" i="67"/>
  <c r="N88" i="67"/>
  <c r="T87" i="67"/>
  <c r="U87" i="67" s="1"/>
  <c r="AA86" i="67"/>
  <c r="AB86" i="67" s="1"/>
  <c r="K86" i="67" s="1"/>
  <c r="M86" i="67" s="1"/>
  <c r="V72" i="59"/>
  <c r="Q72" i="59" s="1"/>
  <c r="AC71" i="59"/>
  <c r="AO37" i="46"/>
  <c r="AK72" i="59"/>
  <c r="AL72" i="59" s="1"/>
  <c r="AE72" i="59" s="1"/>
  <c r="AJ37" i="1"/>
  <c r="AC37" i="1" s="1"/>
  <c r="AM71" i="59"/>
  <c r="AF71" i="59" s="1"/>
  <c r="W72" i="59"/>
  <c r="R72" i="59" s="1"/>
  <c r="G72" i="59" s="1"/>
  <c r="I72" i="59" s="1"/>
  <c r="AJ38" i="1"/>
  <c r="AC38" i="1" s="1"/>
  <c r="R39" i="1"/>
  <c r="U39" i="1" s="1"/>
  <c r="Q39" i="1" s="1"/>
  <c r="F39" i="1" s="1"/>
  <c r="H39" i="1" s="1"/>
  <c r="V38" i="1"/>
  <c r="AB37" i="1"/>
  <c r="U38" i="1"/>
  <c r="Q38" i="1" s="1"/>
  <c r="F38" i="1" s="1"/>
  <c r="H38" i="1" s="1"/>
  <c r="AI36" i="39"/>
  <c r="AJ36" i="39" s="1"/>
  <c r="AC36" i="39" s="1"/>
  <c r="Z44" i="3"/>
  <c r="AA44" i="3" s="1"/>
  <c r="J44" i="3" s="1"/>
  <c r="L44" i="3" s="1"/>
  <c r="AB35" i="39"/>
  <c r="V36" i="39"/>
  <c r="Q36" i="39" s="1"/>
  <c r="F36" i="39" s="1"/>
  <c r="R37" i="39"/>
  <c r="V37" i="39" s="1"/>
  <c r="Q37" i="39" s="1"/>
  <c r="F37" i="39" s="1"/>
  <c r="Y45" i="3"/>
  <c r="AG45" i="3" s="1"/>
  <c r="AH45" i="3" s="1"/>
  <c r="K45" i="3" s="1"/>
  <c r="H35" i="39"/>
  <c r="AO78" i="47"/>
  <c r="AQ78" i="47" s="1"/>
  <c r="AR78" i="47" s="1"/>
  <c r="AT79" i="47" s="1"/>
  <c r="AB35" i="45"/>
  <c r="B78" i="47"/>
  <c r="AO79" i="47" s="1"/>
  <c r="AQ79" i="47" s="1"/>
  <c r="U36" i="45"/>
  <c r="P36" i="45" s="1"/>
  <c r="AI36" i="45"/>
  <c r="AK36" i="45" s="1"/>
  <c r="AD36" i="45" s="1"/>
  <c r="V36" i="45"/>
  <c r="Q36" i="45" s="1"/>
  <c r="F36" i="45" s="1"/>
  <c r="H36" i="45" s="1"/>
  <c r="AB36" i="46"/>
  <c r="V37" i="46"/>
  <c r="Q37" i="46" s="1"/>
  <c r="F37" i="46" s="1"/>
  <c r="H37" i="46" s="1"/>
  <c r="AK35" i="45"/>
  <c r="AD35" i="45" s="1"/>
  <c r="AP77" i="47"/>
  <c r="U37" i="45"/>
  <c r="P37" i="45" s="1"/>
  <c r="AB36" i="45"/>
  <c r="AB36" i="55"/>
  <c r="U37" i="55"/>
  <c r="P37" i="55" s="1"/>
  <c r="V37" i="45"/>
  <c r="Q37" i="45" s="1"/>
  <c r="S73" i="3"/>
  <c r="T73" i="3" s="1"/>
  <c r="D74" i="3"/>
  <c r="D22" i="3" s="1"/>
  <c r="AI37" i="55"/>
  <c r="AB37" i="55"/>
  <c r="AI37" i="45"/>
  <c r="AB37" i="45"/>
  <c r="AI37" i="46"/>
  <c r="AB37" i="46"/>
  <c r="AP85" i="67"/>
  <c r="AR85" i="67" s="1"/>
  <c r="B85" i="67"/>
  <c r="AN85" i="67"/>
  <c r="AO85" i="67" s="1"/>
  <c r="AQ84" i="67"/>
  <c r="AS84" i="67"/>
  <c r="AU85" i="67" s="1"/>
  <c r="W82" i="67"/>
  <c r="R82" i="67" s="1"/>
  <c r="V82" i="67"/>
  <c r="Q82" i="67" s="1"/>
  <c r="G82" i="67" s="1"/>
  <c r="I82" i="67" s="1"/>
  <c r="Z41" i="49"/>
  <c r="AA41" i="49" s="1"/>
  <c r="J41" i="49" s="1"/>
  <c r="L41" i="49" s="1"/>
  <c r="AG41" i="49"/>
  <c r="AH41" i="49" s="1"/>
  <c r="Y42" i="49"/>
  <c r="AK71" i="47"/>
  <c r="AD71" i="47" s="1"/>
  <c r="AL38" i="39"/>
  <c r="AM38" i="39" s="1"/>
  <c r="AN38" i="39"/>
  <c r="AP38" i="39" s="1"/>
  <c r="B38" i="39"/>
  <c r="AO37" i="39"/>
  <c r="AQ37" i="39"/>
  <c r="AS38" i="39" s="1"/>
  <c r="AJ35" i="3"/>
  <c r="AC35" i="3" s="1"/>
  <c r="AK35" i="3"/>
  <c r="AD35" i="3" s="1"/>
  <c r="G35" i="3" s="1"/>
  <c r="H35" i="3" s="1"/>
  <c r="V36" i="3"/>
  <c r="Q36" i="3" s="1"/>
  <c r="F36" i="3" s="1"/>
  <c r="AI36" i="3"/>
  <c r="R37" i="3"/>
  <c r="U36" i="3"/>
  <c r="P36" i="3" s="1"/>
  <c r="AB35" i="3"/>
  <c r="AJ36" i="49"/>
  <c r="AC36" i="49" s="1"/>
  <c r="AK36" i="49"/>
  <c r="AD36" i="49" s="1"/>
  <c r="U37" i="49"/>
  <c r="P37" i="49" s="1"/>
  <c r="AB36" i="49"/>
  <c r="R38" i="49"/>
  <c r="V37" i="49"/>
  <c r="Q37" i="49" s="1"/>
  <c r="F37" i="49" s="1"/>
  <c r="H37" i="49" s="1"/>
  <c r="AI37" i="49"/>
  <c r="U36" i="50"/>
  <c r="P36" i="50" s="1"/>
  <c r="AB35" i="50"/>
  <c r="AI36" i="50"/>
  <c r="R37" i="50"/>
  <c r="V36" i="50"/>
  <c r="Q36" i="50" s="1"/>
  <c r="F36" i="50" s="1"/>
  <c r="H36" i="50" s="1"/>
  <c r="AJ35" i="50"/>
  <c r="AC35" i="50" s="1"/>
  <c r="AK35" i="50"/>
  <c r="AD35" i="50" s="1"/>
  <c r="H36" i="46"/>
  <c r="AK36" i="46"/>
  <c r="AD36" i="46" s="1"/>
  <c r="AJ36" i="46"/>
  <c r="AC36" i="46" s="1"/>
  <c r="AJ36" i="52"/>
  <c r="AC36" i="52" s="1"/>
  <c r="AG43" i="52"/>
  <c r="AH43" i="52" s="1"/>
  <c r="AQ37" i="52"/>
  <c r="AS38" i="52" s="1"/>
  <c r="AO37" i="52"/>
  <c r="AV39" i="26"/>
  <c r="AX40" i="26" s="1"/>
  <c r="AT39" i="26"/>
  <c r="AQ75" i="60"/>
  <c r="AS75" i="60"/>
  <c r="AU76" i="60" s="1"/>
  <c r="AI78" i="60"/>
  <c r="AJ78" i="60" s="1"/>
  <c r="AN38" i="52"/>
  <c r="AP38" i="52" s="1"/>
  <c r="B38" i="52"/>
  <c r="AL38" i="52"/>
  <c r="AM38" i="52" s="1"/>
  <c r="AQ40" i="26"/>
  <c r="AR40" i="26" s="1"/>
  <c r="AS40" i="26"/>
  <c r="AU40" i="26" s="1"/>
  <c r="B40" i="26"/>
  <c r="AA78" i="60"/>
  <c r="AB78" i="60" s="1"/>
  <c r="K78" i="60" s="1"/>
  <c r="M78" i="60" s="1"/>
  <c r="V73" i="60"/>
  <c r="Q73" i="60" s="1"/>
  <c r="AC72" i="60"/>
  <c r="AK73" i="60"/>
  <c r="AM73" i="60" s="1"/>
  <c r="AF73" i="60" s="1"/>
  <c r="S74" i="60"/>
  <c r="V74" i="60" s="1"/>
  <c r="Q74" i="60" s="1"/>
  <c r="AN76" i="60"/>
  <c r="AO76" i="60" s="1"/>
  <c r="B76" i="60"/>
  <c r="AP76" i="60"/>
  <c r="AR76" i="60" s="1"/>
  <c r="AM72" i="60"/>
  <c r="AF72" i="60" s="1"/>
  <c r="Z79" i="60"/>
  <c r="AA79" i="60" s="1"/>
  <c r="AB79" i="60" s="1"/>
  <c r="K79" i="60" s="1"/>
  <c r="M79" i="60" s="1"/>
  <c r="V37" i="52"/>
  <c r="Q37" i="52" s="1"/>
  <c r="F37" i="52" s="1"/>
  <c r="H37" i="52" s="1"/>
  <c r="U37" i="52"/>
  <c r="P37" i="52" s="1"/>
  <c r="R38" i="52"/>
  <c r="AB36" i="52"/>
  <c r="AI37" i="52"/>
  <c r="V39" i="1"/>
  <c r="Z40" i="50"/>
  <c r="AA40" i="50" s="1"/>
  <c r="J40" i="50" s="1"/>
  <c r="L40" i="50" s="1"/>
  <c r="AN41" i="49"/>
  <c r="AP41" i="49" s="1"/>
  <c r="AL41" i="49"/>
  <c r="AM41" i="49" s="1"/>
  <c r="B41" i="49"/>
  <c r="AQ40" i="49"/>
  <c r="AS41" i="49" s="1"/>
  <c r="AO40" i="49"/>
  <c r="AQ75" i="59"/>
  <c r="AS75" i="59"/>
  <c r="AU76" i="59" s="1"/>
  <c r="Z45" i="1"/>
  <c r="AA45" i="1" s="1"/>
  <c r="J45" i="1" s="1"/>
  <c r="L45" i="1" s="1"/>
  <c r="M79" i="59"/>
  <c r="AM81" i="67"/>
  <c r="AF81" i="67" s="1"/>
  <c r="AN76" i="59"/>
  <c r="AO76" i="59" s="1"/>
  <c r="B76" i="59"/>
  <c r="AP76" i="59"/>
  <c r="AR76" i="59" s="1"/>
  <c r="AK36" i="55"/>
  <c r="AD36" i="55" s="1"/>
  <c r="AJ36" i="55"/>
  <c r="AC36" i="55" s="1"/>
  <c r="AL40" i="50"/>
  <c r="AM40" i="50" s="1"/>
  <c r="B40" i="50"/>
  <c r="AN40" i="50"/>
  <c r="AP40" i="50" s="1"/>
  <c r="H36" i="55"/>
  <c r="F37" i="55"/>
  <c r="H37" i="55" s="1"/>
  <c r="V37" i="51"/>
  <c r="Q37" i="51" s="1"/>
  <c r="F37" i="51" s="1"/>
  <c r="H37" i="51" s="1"/>
  <c r="R38" i="51"/>
  <c r="V38" i="51" s="1"/>
  <c r="Q38" i="51" s="1"/>
  <c r="F38" i="51" s="1"/>
  <c r="H38" i="51" s="1"/>
  <c r="AI37" i="51"/>
  <c r="AK37" i="51" s="1"/>
  <c r="AD37" i="51" s="1"/>
  <c r="AB36" i="51"/>
  <c r="V72" i="47"/>
  <c r="Q72" i="47" s="1"/>
  <c r="F72" i="47" s="1"/>
  <c r="H72" i="47" s="1"/>
  <c r="R73" i="47"/>
  <c r="AJ72" i="47"/>
  <c r="AL72" i="47" s="1"/>
  <c r="AE72" i="47" s="1"/>
  <c r="AB71" i="47"/>
  <c r="Y41" i="50"/>
  <c r="AG41" i="50" s="1"/>
  <c r="AH41" i="50" s="1"/>
  <c r="L43" i="39"/>
  <c r="AK82" i="67"/>
  <c r="AL82" i="67" s="1"/>
  <c r="AE82" i="67" s="1"/>
  <c r="S83" i="67"/>
  <c r="AC81" i="67"/>
  <c r="AB36" i="39"/>
  <c r="AQ39" i="50"/>
  <c r="AS40" i="50" s="1"/>
  <c r="AO39" i="50"/>
  <c r="AK36" i="51"/>
  <c r="AD36" i="51" s="1"/>
  <c r="AJ36" i="51"/>
  <c r="AC36" i="51" s="1"/>
  <c r="U37" i="51"/>
  <c r="P37" i="51" s="1"/>
  <c r="R36" i="26"/>
  <c r="AN40" i="51"/>
  <c r="AP40" i="51" s="1"/>
  <c r="AL40" i="51"/>
  <c r="AM40" i="51" s="1"/>
  <c r="B40" i="51"/>
  <c r="AG94" i="68"/>
  <c r="X94" i="68"/>
  <c r="BA95" i="68"/>
  <c r="J94" i="68"/>
  <c r="D94" i="68"/>
  <c r="AQ39" i="51"/>
  <c r="AS40" i="51" s="1"/>
  <c r="AO39" i="51"/>
  <c r="AC84" i="68"/>
  <c r="AK85" i="68"/>
  <c r="S86" i="68"/>
  <c r="V86" i="68" s="1"/>
  <c r="Q86" i="68" s="1"/>
  <c r="AB39" i="57"/>
  <c r="AI40" i="57"/>
  <c r="R41" i="57"/>
  <c r="AQ41" i="41"/>
  <c r="AS42" i="41" s="1"/>
  <c r="AO41" i="41"/>
  <c r="L43" i="52"/>
  <c r="V85" i="68"/>
  <c r="Q85" i="68" s="1"/>
  <c r="D81" i="61"/>
  <c r="C81" i="61"/>
  <c r="E81" i="61"/>
  <c r="AE47" i="48"/>
  <c r="AY48" i="48"/>
  <c r="W47" i="48"/>
  <c r="Z47" i="48"/>
  <c r="AA47" i="48" s="1"/>
  <c r="J47" i="48" s="1"/>
  <c r="AG47" i="48"/>
  <c r="AH47" i="48" s="1"/>
  <c r="D47" i="48"/>
  <c r="I47" i="48"/>
  <c r="O48" i="48"/>
  <c r="N49" i="48"/>
  <c r="I48" i="48" s="1"/>
  <c r="S42" i="41"/>
  <c r="T42" i="41" s="1"/>
  <c r="M43" i="41"/>
  <c r="O42" i="41"/>
  <c r="B42" i="41" s="1"/>
  <c r="Y42" i="41"/>
  <c r="Z42" i="41" s="1"/>
  <c r="AA42" i="41" s="1"/>
  <c r="J42" i="41"/>
  <c r="A83" i="61"/>
  <c r="B82" i="61"/>
  <c r="D44" i="61"/>
  <c r="C44" i="61" s="1"/>
  <c r="E44" i="61" s="1"/>
  <c r="AC72" i="59"/>
  <c r="AK73" i="59"/>
  <c r="S74" i="59"/>
  <c r="W74" i="59" s="1"/>
  <c r="R74" i="59" s="1"/>
  <c r="G74" i="59" s="1"/>
  <c r="I74" i="59" s="1"/>
  <c r="M47" i="46"/>
  <c r="O46" i="46"/>
  <c r="S46" i="46"/>
  <c r="T46" i="46" s="1"/>
  <c r="Y46" i="46"/>
  <c r="AO39" i="48"/>
  <c r="AQ39" i="48"/>
  <c r="AS40" i="48" s="1"/>
  <c r="M45" i="45"/>
  <c r="Y44" i="45"/>
  <c r="S44" i="45"/>
  <c r="T44" i="45" s="1"/>
  <c r="O44" i="45"/>
  <c r="M47" i="1"/>
  <c r="O46" i="1"/>
  <c r="S46" i="1"/>
  <c r="T46" i="1" s="1"/>
  <c r="Y46" i="1"/>
  <c r="Z46" i="1" s="1"/>
  <c r="AA46" i="1" s="1"/>
  <c r="J46" i="1" s="1"/>
  <c r="I46" i="1"/>
  <c r="Z45" i="57"/>
  <c r="AA45" i="57" s="1"/>
  <c r="J45" i="57" s="1"/>
  <c r="L45" i="57" s="1"/>
  <c r="I46" i="57"/>
  <c r="Y46" i="57"/>
  <c r="Z46" i="57" s="1"/>
  <c r="AA46" i="57" s="1"/>
  <c r="J46" i="57" s="1"/>
  <c r="M47" i="57"/>
  <c r="S46" i="57"/>
  <c r="T46" i="57" s="1"/>
  <c r="O46" i="57"/>
  <c r="AO35" i="26"/>
  <c r="AF35" i="26" s="1"/>
  <c r="AP35" i="26"/>
  <c r="AG35" i="26" s="1"/>
  <c r="G35" i="26" s="1"/>
  <c r="L35" i="26" s="1"/>
  <c r="AK40" i="57"/>
  <c r="AD40" i="57" s="1"/>
  <c r="AJ40" i="57"/>
  <c r="AC40" i="57" s="1"/>
  <c r="AG41" i="41"/>
  <c r="AH41" i="41" s="1"/>
  <c r="N81" i="59"/>
  <c r="T80" i="59"/>
  <c r="U80" i="59" s="1"/>
  <c r="P80" i="59"/>
  <c r="Z80" i="59"/>
  <c r="AI80" i="59" s="1"/>
  <c r="AJ80" i="59" s="1"/>
  <c r="J80" i="59"/>
  <c r="AK39" i="57"/>
  <c r="AD39" i="57" s="1"/>
  <c r="AQ39" i="1"/>
  <c r="AS40" i="1" s="1"/>
  <c r="AO39" i="1"/>
  <c r="M46" i="26"/>
  <c r="BF45" i="26"/>
  <c r="S45" i="26"/>
  <c r="T45" i="26" s="1"/>
  <c r="U45" i="26" s="1"/>
  <c r="I45" i="26" s="1"/>
  <c r="O45" i="26"/>
  <c r="AA45" i="26"/>
  <c r="AG45" i="57"/>
  <c r="AH45" i="57" s="1"/>
  <c r="AI43" i="41"/>
  <c r="AB42" i="41"/>
  <c r="R44" i="41"/>
  <c r="M80" i="47"/>
  <c r="O79" i="47"/>
  <c r="S79" i="47"/>
  <c r="T79" i="47" s="1"/>
  <c r="I79" i="47"/>
  <c r="Y79" i="47"/>
  <c r="AH79" i="47" s="1"/>
  <c r="AI79" i="47" s="1"/>
  <c r="Z91" i="68"/>
  <c r="AG42" i="51"/>
  <c r="AH42" i="51" s="1"/>
  <c r="AM85" i="68"/>
  <c r="AF85" i="68" s="1"/>
  <c r="AL85" i="68"/>
  <c r="AE85" i="68" s="1"/>
  <c r="V40" i="57"/>
  <c r="Q40" i="57" s="1"/>
  <c r="F40" i="57" s="1"/>
  <c r="H40" i="57" s="1"/>
  <c r="AN40" i="3"/>
  <c r="AP40" i="3" s="1"/>
  <c r="B40" i="3"/>
  <c r="AL40" i="3"/>
  <c r="AM40" i="3" s="1"/>
  <c r="AN42" i="41"/>
  <c r="AP42" i="41" s="1"/>
  <c r="AL42" i="41"/>
  <c r="AM42" i="41" s="1"/>
  <c r="AB36" i="48"/>
  <c r="AI37" i="48"/>
  <c r="AJ37" i="48" s="1"/>
  <c r="AC37" i="48" s="1"/>
  <c r="R38" i="48"/>
  <c r="V38" i="48" s="1"/>
  <c r="Q38" i="48" s="1"/>
  <c r="F38" i="48" s="1"/>
  <c r="H38" i="48" s="1"/>
  <c r="M46" i="39"/>
  <c r="O45" i="39"/>
  <c r="I45" i="39"/>
  <c r="S45" i="39"/>
  <c r="T45" i="39" s="1"/>
  <c r="Y45" i="39"/>
  <c r="AK36" i="48"/>
  <c r="AD36" i="48" s="1"/>
  <c r="V73" i="59"/>
  <c r="Q73" i="59" s="1"/>
  <c r="AL84" i="68"/>
  <c r="AE84" i="68" s="1"/>
  <c r="B40" i="48"/>
  <c r="AL40" i="48"/>
  <c r="AM40" i="48" s="1"/>
  <c r="AN40" i="48"/>
  <c r="AP40" i="48" s="1"/>
  <c r="O96" i="68"/>
  <c r="J95" i="68" s="1"/>
  <c r="P95" i="68"/>
  <c r="AI79" i="59"/>
  <c r="AJ79" i="59" s="1"/>
  <c r="AL40" i="1"/>
  <c r="AM40" i="1" s="1"/>
  <c r="B40" i="1"/>
  <c r="AN40" i="1"/>
  <c r="AP40" i="1" s="1"/>
  <c r="AE71" i="59"/>
  <c r="AB45" i="26"/>
  <c r="AC45" i="26" s="1"/>
  <c r="J45" i="26" s="1"/>
  <c r="AI45" i="26"/>
  <c r="AL45" i="26" s="1"/>
  <c r="K45" i="26" s="1"/>
  <c r="AK43" i="41"/>
  <c r="AD43" i="41" s="1"/>
  <c r="G43" i="41" s="1"/>
  <c r="H43" i="41" s="1"/>
  <c r="AJ43" i="41"/>
  <c r="AC43" i="41" s="1"/>
  <c r="AK42" i="41"/>
  <c r="AD42" i="41" s="1"/>
  <c r="G42" i="41" s="1"/>
  <c r="H42" i="41" s="1"/>
  <c r="M45" i="52"/>
  <c r="O44" i="52"/>
  <c r="I44" i="52"/>
  <c r="S44" i="52"/>
  <c r="T44" i="52" s="1"/>
  <c r="Y44" i="52"/>
  <c r="Z44" i="52" s="1"/>
  <c r="AA44" i="52" s="1"/>
  <c r="J44" i="52" s="1"/>
  <c r="AI90" i="68"/>
  <c r="AJ90" i="68" s="1"/>
  <c r="W85" i="68"/>
  <c r="R85" i="68" s="1"/>
  <c r="G85" i="68" s="1"/>
  <c r="I85" i="68" s="1"/>
  <c r="U40" i="57"/>
  <c r="P40" i="57" s="1"/>
  <c r="L42" i="51"/>
  <c r="M44" i="51"/>
  <c r="O43" i="51"/>
  <c r="S43" i="51"/>
  <c r="T43" i="51" s="1"/>
  <c r="Y43" i="51"/>
  <c r="AG43" i="51" s="1"/>
  <c r="AH43" i="51" s="1"/>
  <c r="I43" i="51"/>
  <c r="B56" i="61"/>
  <c r="AQ39" i="3"/>
  <c r="AS40" i="3" s="1"/>
  <c r="AO39" i="3"/>
  <c r="L41" i="41"/>
  <c r="M45" i="55"/>
  <c r="O44" i="55"/>
  <c r="S44" i="55"/>
  <c r="T44" i="55" s="1"/>
  <c r="Y44" i="55"/>
  <c r="M44" i="50"/>
  <c r="O43" i="50"/>
  <c r="S43" i="50"/>
  <c r="T43" i="50" s="1"/>
  <c r="I43" i="50"/>
  <c r="V37" i="48"/>
  <c r="Q37" i="48" s="1"/>
  <c r="F37" i="48" s="1"/>
  <c r="Z44" i="39"/>
  <c r="AA44" i="39" s="1"/>
  <c r="J44" i="39" s="1"/>
  <c r="L44" i="39" s="1"/>
  <c r="AK38" i="1"/>
  <c r="AD38" i="1" s="1"/>
  <c r="Z78" i="47"/>
  <c r="AA78" i="47" s="1"/>
  <c r="J78" i="47" s="1"/>
  <c r="L78" i="47" s="1"/>
  <c r="AJ36" i="48"/>
  <c r="AC36" i="48" s="1"/>
  <c r="W73" i="59"/>
  <c r="R73" i="59" s="1"/>
  <c r="G73" i="59" s="1"/>
  <c r="AQ88" i="68" l="1"/>
  <c r="AS88" i="68"/>
  <c r="AU89" i="68" s="1"/>
  <c r="AN89" i="68"/>
  <c r="AO89" i="68" s="1"/>
  <c r="AP89" i="68"/>
  <c r="AR89" i="68" s="1"/>
  <c r="B89" i="68"/>
  <c r="W86" i="68"/>
  <c r="R86" i="68" s="1"/>
  <c r="G86" i="68" s="1"/>
  <c r="I86" i="68" s="1"/>
  <c r="AI87" i="67"/>
  <c r="AJ87" i="67" s="1"/>
  <c r="B43" i="57"/>
  <c r="AN43" i="57"/>
  <c r="AP43" i="57" s="1"/>
  <c r="AL43" i="57"/>
  <c r="AM43" i="57" s="1"/>
  <c r="J88" i="67"/>
  <c r="N89" i="67"/>
  <c r="T88" i="67"/>
  <c r="U88" i="67" s="1"/>
  <c r="P88" i="67"/>
  <c r="Z88" i="67"/>
  <c r="AO42" i="57"/>
  <c r="AQ42" i="57"/>
  <c r="AS43" i="57" s="1"/>
  <c r="AA87" i="67"/>
  <c r="AB87" i="67" s="1"/>
  <c r="K87" i="67" s="1"/>
  <c r="M87" i="67" s="1"/>
  <c r="AM72" i="59"/>
  <c r="AF72" i="59" s="1"/>
  <c r="AM73" i="59"/>
  <c r="AF73" i="59" s="1"/>
  <c r="R40" i="1"/>
  <c r="U40" i="1" s="1"/>
  <c r="P40" i="1" s="1"/>
  <c r="P39" i="1"/>
  <c r="P38" i="1"/>
  <c r="AI39" i="1"/>
  <c r="AK39" i="1" s="1"/>
  <c r="AD39" i="1" s="1"/>
  <c r="AB38" i="1"/>
  <c r="AK36" i="39"/>
  <c r="AD36" i="39" s="1"/>
  <c r="G36" i="39" s="1"/>
  <c r="H36" i="39" s="1"/>
  <c r="AM79" i="47"/>
  <c r="AN79" i="47" s="1"/>
  <c r="AP79" i="47" s="1"/>
  <c r="AP78" i="47"/>
  <c r="AI37" i="39"/>
  <c r="AK37" i="39" s="1"/>
  <c r="AD37" i="39" s="1"/>
  <c r="G37" i="39" s="1"/>
  <c r="H37" i="39" s="1"/>
  <c r="U37" i="39"/>
  <c r="P37" i="39" s="1"/>
  <c r="R38" i="39"/>
  <c r="V38" i="39" s="1"/>
  <c r="Q38" i="39" s="1"/>
  <c r="F38" i="39" s="1"/>
  <c r="Y46" i="3"/>
  <c r="Z46" i="3" s="1"/>
  <c r="AA46" i="3" s="1"/>
  <c r="J46" i="3" s="1"/>
  <c r="Z45" i="3"/>
  <c r="AA45" i="3" s="1"/>
  <c r="J45" i="3" s="1"/>
  <c r="L45" i="3" s="1"/>
  <c r="F37" i="45"/>
  <c r="H37" i="45" s="1"/>
  <c r="B79" i="47"/>
  <c r="AM80" i="47" s="1"/>
  <c r="AN80" i="47" s="1"/>
  <c r="AJ36" i="45"/>
  <c r="AC36" i="45" s="1"/>
  <c r="S74" i="3"/>
  <c r="T74" i="3" s="1"/>
  <c r="AK37" i="45"/>
  <c r="AD37" i="45" s="1"/>
  <c r="AJ37" i="45"/>
  <c r="AC37" i="45" s="1"/>
  <c r="F38" i="46"/>
  <c r="H38" i="46" s="1"/>
  <c r="AK37" i="46"/>
  <c r="AD37" i="46" s="1"/>
  <c r="AJ37" i="46"/>
  <c r="AC37" i="46" s="1"/>
  <c r="AK37" i="55"/>
  <c r="AD37" i="55" s="1"/>
  <c r="AJ37" i="55"/>
  <c r="AC37" i="55" s="1"/>
  <c r="F38" i="55"/>
  <c r="H38" i="55" s="1"/>
  <c r="AQ85" i="67"/>
  <c r="AS85" i="67"/>
  <c r="AU86" i="67" s="1"/>
  <c r="AP86" i="67"/>
  <c r="AR86" i="67" s="1"/>
  <c r="B86" i="67"/>
  <c r="AN86" i="67"/>
  <c r="AO86" i="67" s="1"/>
  <c r="V83" i="67"/>
  <c r="Q83" i="67" s="1"/>
  <c r="Z42" i="49"/>
  <c r="AA42" i="49" s="1"/>
  <c r="J42" i="49" s="1"/>
  <c r="L42" i="49" s="1"/>
  <c r="Y43" i="49"/>
  <c r="AG42" i="49"/>
  <c r="AH42" i="49" s="1"/>
  <c r="AL39" i="39"/>
  <c r="AM39" i="39" s="1"/>
  <c r="AN39" i="39"/>
  <c r="AP39" i="39" s="1"/>
  <c r="B39" i="39"/>
  <c r="AQ38" i="39"/>
  <c r="AS39" i="39" s="1"/>
  <c r="AO38" i="39"/>
  <c r="V37" i="3"/>
  <c r="Q37" i="3" s="1"/>
  <c r="F37" i="3" s="1"/>
  <c r="U37" i="3"/>
  <c r="P37" i="3" s="1"/>
  <c r="R38" i="3"/>
  <c r="AI37" i="3"/>
  <c r="AB36" i="3"/>
  <c r="AJ36" i="3"/>
  <c r="AC36" i="3" s="1"/>
  <c r="AK36" i="3"/>
  <c r="AD36" i="3" s="1"/>
  <c r="G36" i="3" s="1"/>
  <c r="H36" i="3" s="1"/>
  <c r="AK37" i="49"/>
  <c r="AD37" i="49" s="1"/>
  <c r="AJ37" i="49"/>
  <c r="AC37" i="49" s="1"/>
  <c r="U38" i="49"/>
  <c r="P38" i="49" s="1"/>
  <c r="R39" i="49"/>
  <c r="V38" i="49"/>
  <c r="Q38" i="49" s="1"/>
  <c r="F38" i="49" s="1"/>
  <c r="H38" i="49" s="1"/>
  <c r="AI38" i="49"/>
  <c r="AB37" i="49"/>
  <c r="AM82" i="67"/>
  <c r="AF82" i="67" s="1"/>
  <c r="U37" i="50"/>
  <c r="P37" i="50" s="1"/>
  <c r="R38" i="50"/>
  <c r="U38" i="50" s="1"/>
  <c r="P38" i="50" s="1"/>
  <c r="AI37" i="50"/>
  <c r="AB36" i="50"/>
  <c r="AJ36" i="50"/>
  <c r="AC36" i="50" s="1"/>
  <c r="AK36" i="50"/>
  <c r="AD36" i="50" s="1"/>
  <c r="V37" i="50"/>
  <c r="Q37" i="50" s="1"/>
  <c r="F37" i="50" s="1"/>
  <c r="H37" i="50" s="1"/>
  <c r="AG46" i="1"/>
  <c r="AH46" i="1" s="1"/>
  <c r="AL73" i="60"/>
  <c r="AE73" i="60" s="1"/>
  <c r="AA80" i="59"/>
  <c r="AB80" i="59" s="1"/>
  <c r="K80" i="59" s="1"/>
  <c r="M80" i="59" s="1"/>
  <c r="AK72" i="47"/>
  <c r="AD72" i="47" s="1"/>
  <c r="AI79" i="60"/>
  <c r="AJ79" i="60" s="1"/>
  <c r="Z79" i="47"/>
  <c r="AA79" i="47" s="1"/>
  <c r="J79" i="47" s="1"/>
  <c r="L79" i="47" s="1"/>
  <c r="Z41" i="50"/>
  <c r="AA41" i="50" s="1"/>
  <c r="J41" i="50" s="1"/>
  <c r="L41" i="50" s="1"/>
  <c r="U38" i="52"/>
  <c r="P38" i="52" s="1"/>
  <c r="AB37" i="52"/>
  <c r="V38" i="52"/>
  <c r="Q38" i="52" s="1"/>
  <c r="F38" i="52" s="1"/>
  <c r="H38" i="52" s="1"/>
  <c r="R39" i="52"/>
  <c r="V39" i="52" s="1"/>
  <c r="Q39" i="52" s="1"/>
  <c r="F39" i="52" s="1"/>
  <c r="H39" i="52" s="1"/>
  <c r="AI38" i="52"/>
  <c r="Z80" i="60"/>
  <c r="Z81" i="60" s="1"/>
  <c r="AI81" i="60" s="1"/>
  <c r="AJ81" i="60" s="1"/>
  <c r="AV40" i="26"/>
  <c r="AX41" i="26" s="1"/>
  <c r="AT40" i="26"/>
  <c r="AP77" i="60"/>
  <c r="AR77" i="60" s="1"/>
  <c r="B77" i="60"/>
  <c r="AN77" i="60"/>
  <c r="AO77" i="60" s="1"/>
  <c r="W74" i="60"/>
  <c r="R74" i="60" s="1"/>
  <c r="G74" i="60" s="1"/>
  <c r="I74" i="60" s="1"/>
  <c r="AC73" i="60"/>
  <c r="S75" i="60"/>
  <c r="W75" i="60" s="1"/>
  <c r="R75" i="60" s="1"/>
  <c r="G75" i="60" s="1"/>
  <c r="I75" i="60" s="1"/>
  <c r="AK74" i="60"/>
  <c r="AL74" i="60" s="1"/>
  <c r="AE74" i="60" s="1"/>
  <c r="AQ38" i="52"/>
  <c r="AS39" i="52" s="1"/>
  <c r="AO38" i="52"/>
  <c r="AK37" i="52"/>
  <c r="AD37" i="52" s="1"/>
  <c r="AJ37" i="52"/>
  <c r="AC37" i="52" s="1"/>
  <c r="AS76" i="60"/>
  <c r="AU77" i="60" s="1"/>
  <c r="AQ76" i="60"/>
  <c r="B41" i="26"/>
  <c r="AS41" i="26"/>
  <c r="AU41" i="26" s="1"/>
  <c r="AQ41" i="26"/>
  <c r="AR41" i="26" s="1"/>
  <c r="B39" i="52"/>
  <c r="AL39" i="52"/>
  <c r="AM39" i="52" s="1"/>
  <c r="AN39" i="52"/>
  <c r="AP39" i="52" s="1"/>
  <c r="AQ41" i="49"/>
  <c r="AS42" i="49" s="1"/>
  <c r="AO41" i="49"/>
  <c r="B42" i="49"/>
  <c r="AN42" i="49"/>
  <c r="AP42" i="49" s="1"/>
  <c r="AL42" i="49"/>
  <c r="AM42" i="49" s="1"/>
  <c r="V74" i="59"/>
  <c r="Q74" i="59" s="1"/>
  <c r="AJ37" i="51"/>
  <c r="AC37" i="51" s="1"/>
  <c r="AP77" i="59"/>
  <c r="AR77" i="59" s="1"/>
  <c r="B77" i="59"/>
  <c r="AN77" i="59"/>
  <c r="AO77" i="59" s="1"/>
  <c r="W83" i="67"/>
  <c r="R83" i="67" s="1"/>
  <c r="AQ76" i="59"/>
  <c r="AS76" i="59"/>
  <c r="AU77" i="59" s="1"/>
  <c r="L47" i="48"/>
  <c r="AK83" i="67"/>
  <c r="AM83" i="67" s="1"/>
  <c r="AF83" i="67" s="1"/>
  <c r="AC82" i="67"/>
  <c r="S84" i="67"/>
  <c r="Y42" i="50"/>
  <c r="AG42" i="50" s="1"/>
  <c r="AH42" i="50" s="1"/>
  <c r="U73" i="47"/>
  <c r="P73" i="47" s="1"/>
  <c r="AJ73" i="47"/>
  <c r="AK73" i="47" s="1"/>
  <c r="AD73" i="47" s="1"/>
  <c r="AB72" i="47"/>
  <c r="R74" i="47"/>
  <c r="U74" i="47" s="1"/>
  <c r="P74" i="47" s="1"/>
  <c r="AL41" i="50"/>
  <c r="AM41" i="50" s="1"/>
  <c r="AN41" i="50"/>
  <c r="AP41" i="50" s="1"/>
  <c r="B41" i="50"/>
  <c r="Y48" i="48"/>
  <c r="Y49" i="48" s="1"/>
  <c r="AG49" i="48" s="1"/>
  <c r="AH49" i="48" s="1"/>
  <c r="V73" i="47"/>
  <c r="Q73" i="47" s="1"/>
  <c r="F73" i="47" s="1"/>
  <c r="H73" i="47" s="1"/>
  <c r="R39" i="51"/>
  <c r="U39" i="51" s="1"/>
  <c r="P39" i="51" s="1"/>
  <c r="AB37" i="51"/>
  <c r="AI38" i="51"/>
  <c r="U38" i="51"/>
  <c r="P38" i="51" s="1"/>
  <c r="AO40" i="50"/>
  <c r="AQ40" i="50"/>
  <c r="AS41" i="50" s="1"/>
  <c r="M45" i="50"/>
  <c r="O44" i="50"/>
  <c r="S44" i="50"/>
  <c r="T44" i="50" s="1"/>
  <c r="I44" i="50"/>
  <c r="M45" i="51"/>
  <c r="O44" i="51"/>
  <c r="S44" i="51"/>
  <c r="T44" i="51" s="1"/>
  <c r="Y44" i="51"/>
  <c r="Z44" i="51" s="1"/>
  <c r="AA44" i="51" s="1"/>
  <c r="J44" i="51" s="1"/>
  <c r="I44" i="51"/>
  <c r="M46" i="52"/>
  <c r="O45" i="52"/>
  <c r="I45" i="52"/>
  <c r="S45" i="52"/>
  <c r="T45" i="52" s="1"/>
  <c r="Y45" i="52"/>
  <c r="Z45" i="52" s="1"/>
  <c r="AA45" i="52" s="1"/>
  <c r="J45" i="52" s="1"/>
  <c r="AI44" i="41"/>
  <c r="AB43" i="41"/>
  <c r="R45" i="41"/>
  <c r="U45" i="41" s="1"/>
  <c r="P45" i="41" s="1"/>
  <c r="N82" i="59"/>
  <c r="T81" i="59"/>
  <c r="U81" i="59" s="1"/>
  <c r="P81" i="59"/>
  <c r="Z81" i="59"/>
  <c r="AI81" i="59" s="1"/>
  <c r="AJ81" i="59" s="1"/>
  <c r="J81" i="59"/>
  <c r="L46" i="1"/>
  <c r="M48" i="1"/>
  <c r="O47" i="1"/>
  <c r="S47" i="1"/>
  <c r="T47" i="1" s="1"/>
  <c r="Y47" i="1"/>
  <c r="AG47" i="1" s="1"/>
  <c r="AH47" i="1" s="1"/>
  <c r="I47" i="1"/>
  <c r="M46" i="45"/>
  <c r="S45" i="45"/>
  <c r="T45" i="45" s="1"/>
  <c r="Y45" i="45"/>
  <c r="O45" i="45"/>
  <c r="A84" i="61"/>
  <c r="B83" i="61"/>
  <c r="S47" i="48"/>
  <c r="T47" i="48" s="1"/>
  <c r="D48" i="48"/>
  <c r="AF47" i="48"/>
  <c r="AG46" i="57"/>
  <c r="AH46" i="57" s="1"/>
  <c r="D95" i="68"/>
  <c r="AH94" i="68"/>
  <c r="AN41" i="51"/>
  <c r="AP41" i="51" s="1"/>
  <c r="B41" i="51"/>
  <c r="AL41" i="51"/>
  <c r="AM41" i="51" s="1"/>
  <c r="B57" i="61"/>
  <c r="M47" i="39"/>
  <c r="O46" i="39"/>
  <c r="I46" i="39"/>
  <c r="S46" i="39"/>
  <c r="T46" i="39" s="1"/>
  <c r="Y46" i="39"/>
  <c r="AG46" i="39" s="1"/>
  <c r="AH46" i="39" s="1"/>
  <c r="K46" i="39" s="1"/>
  <c r="AB37" i="48"/>
  <c r="AI38" i="48"/>
  <c r="AK38" i="48" s="1"/>
  <c r="AD38" i="48" s="1"/>
  <c r="R39" i="48"/>
  <c r="U39" i="48" s="1"/>
  <c r="P39" i="48" s="1"/>
  <c r="AQ40" i="3"/>
  <c r="AS41" i="3" s="1"/>
  <c r="AO40" i="3"/>
  <c r="Z92" i="68"/>
  <c r="AA92" i="68" s="1"/>
  <c r="AB92" i="68" s="1"/>
  <c r="K92" i="68" s="1"/>
  <c r="M92" i="68" s="1"/>
  <c r="M81" i="47"/>
  <c r="O80" i="47"/>
  <c r="S80" i="47"/>
  <c r="T80" i="47" s="1"/>
  <c r="I80" i="47"/>
  <c r="Y80" i="47"/>
  <c r="Z80" i="47" s="1"/>
  <c r="AA80" i="47" s="1"/>
  <c r="J80" i="47" s="1"/>
  <c r="U44" i="41"/>
  <c r="P44" i="41" s="1"/>
  <c r="M47" i="26"/>
  <c r="BF46" i="26"/>
  <c r="S46" i="26"/>
  <c r="T46" i="26" s="1"/>
  <c r="U46" i="26" s="1"/>
  <c r="I46" i="26" s="1"/>
  <c r="AA46" i="26"/>
  <c r="AB46" i="26" s="1"/>
  <c r="AC46" i="26" s="1"/>
  <c r="J46" i="26" s="1"/>
  <c r="O46" i="26"/>
  <c r="O47" i="57"/>
  <c r="N48" i="57"/>
  <c r="M48" i="57"/>
  <c r="Y47" i="57"/>
  <c r="O43" i="41"/>
  <c r="S43" i="41"/>
  <c r="T43" i="41" s="1"/>
  <c r="Y43" i="41"/>
  <c r="AG43" i="41" s="1"/>
  <c r="AH43" i="41" s="1"/>
  <c r="J43" i="41"/>
  <c r="B43" i="41"/>
  <c r="K43" i="41"/>
  <c r="M44" i="41"/>
  <c r="X47" i="48"/>
  <c r="T94" i="68"/>
  <c r="U94" i="68" s="1"/>
  <c r="Y94" i="68"/>
  <c r="AO40" i="51"/>
  <c r="AQ40" i="51"/>
  <c r="AS41" i="51" s="1"/>
  <c r="AE35" i="26"/>
  <c r="AY36" i="26"/>
  <c r="D36" i="26" s="1"/>
  <c r="AN36" i="26"/>
  <c r="W36" i="26"/>
  <c r="Q36" i="26" s="1"/>
  <c r="F36" i="26" s="1"/>
  <c r="V36" i="26"/>
  <c r="P36" i="26" s="1"/>
  <c r="M46" i="55"/>
  <c r="O45" i="55"/>
  <c r="S45" i="55"/>
  <c r="T45" i="55" s="1"/>
  <c r="Y45" i="55"/>
  <c r="L44" i="52"/>
  <c r="AG44" i="52"/>
  <c r="AH44" i="52" s="1"/>
  <c r="AL41" i="1"/>
  <c r="AM41" i="1" s="1"/>
  <c r="B41" i="1"/>
  <c r="AN41" i="1"/>
  <c r="AP41" i="1" s="1"/>
  <c r="AO40" i="48"/>
  <c r="AQ40" i="48"/>
  <c r="AS41" i="48" s="1"/>
  <c r="Z45" i="39"/>
  <c r="AA45" i="39" s="1"/>
  <c r="J45" i="39" s="1"/>
  <c r="U38" i="48"/>
  <c r="P38" i="48" s="1"/>
  <c r="AL41" i="3"/>
  <c r="AM41" i="3" s="1"/>
  <c r="AN41" i="3"/>
  <c r="AP41" i="3" s="1"/>
  <c r="B41" i="3"/>
  <c r="AA91" i="68"/>
  <c r="AB91" i="68" s="1"/>
  <c r="K91" i="68" s="1"/>
  <c r="M91" i="68" s="1"/>
  <c r="AC73" i="59"/>
  <c r="AK74" i="59"/>
  <c r="AL74" i="59" s="1"/>
  <c r="AE74" i="59" s="1"/>
  <c r="S75" i="59"/>
  <c r="L44" i="61"/>
  <c r="Z43" i="41"/>
  <c r="AA43" i="41" s="1"/>
  <c r="AL43" i="41"/>
  <c r="AM43" i="41" s="1"/>
  <c r="AN43" i="41"/>
  <c r="AP43" i="41" s="1"/>
  <c r="Z43" i="51"/>
  <c r="AA43" i="51" s="1"/>
  <c r="J43" i="51" s="1"/>
  <c r="L43" i="51" s="1"/>
  <c r="AG42" i="41"/>
  <c r="AH42" i="41" s="1"/>
  <c r="R42" i="57"/>
  <c r="U42" i="57" s="1"/>
  <c r="P42" i="57" s="1"/>
  <c r="AI41" i="57"/>
  <c r="AB40" i="57"/>
  <c r="U41" i="57"/>
  <c r="P41" i="57" s="1"/>
  <c r="H35" i="26"/>
  <c r="I73" i="59"/>
  <c r="H37" i="48"/>
  <c r="AQ40" i="1"/>
  <c r="AS41" i="1" s="1"/>
  <c r="AO40" i="1"/>
  <c r="BA96" i="68"/>
  <c r="D96" i="68"/>
  <c r="X95" i="68"/>
  <c r="Y95" i="68" s="1"/>
  <c r="J96" i="68"/>
  <c r="AG95" i="68"/>
  <c r="AH95" i="68" s="1"/>
  <c r="AL41" i="48"/>
  <c r="AM41" i="48" s="1"/>
  <c r="AN41" i="48"/>
  <c r="AP41" i="48" s="1"/>
  <c r="B41" i="48"/>
  <c r="AG45" i="39"/>
  <c r="AH45" i="39" s="1"/>
  <c r="K45" i="39" s="1"/>
  <c r="AQ42" i="41"/>
  <c r="AS43" i="41" s="1"/>
  <c r="AO42" i="41"/>
  <c r="AI91" i="68"/>
  <c r="AJ91" i="68" s="1"/>
  <c r="V44" i="41"/>
  <c r="Q44" i="41" s="1"/>
  <c r="F44" i="41" s="1"/>
  <c r="AJ44" i="41"/>
  <c r="AC44" i="41" s="1"/>
  <c r="AK44" i="41"/>
  <c r="AD44" i="41" s="1"/>
  <c r="G44" i="41" s="1"/>
  <c r="L46" i="57"/>
  <c r="M48" i="46"/>
  <c r="O47" i="46"/>
  <c r="N48" i="46"/>
  <c r="S47" i="46"/>
  <c r="T47" i="46" s="1"/>
  <c r="Y47" i="46"/>
  <c r="E82" i="61"/>
  <c r="C82" i="61"/>
  <c r="D82" i="61"/>
  <c r="K42" i="41"/>
  <c r="L42" i="41" s="1"/>
  <c r="AY49" i="48"/>
  <c r="I49" i="48"/>
  <c r="W48" i="48"/>
  <c r="X48" i="48" s="1"/>
  <c r="AE48" i="48"/>
  <c r="AF48" i="48" s="1"/>
  <c r="D49" i="48"/>
  <c r="AL73" i="59"/>
  <c r="AE73" i="59" s="1"/>
  <c r="AK37" i="48"/>
  <c r="AD37" i="48" s="1"/>
  <c r="V41" i="57"/>
  <c r="Q41" i="57" s="1"/>
  <c r="F41" i="57" s="1"/>
  <c r="H41" i="57" s="1"/>
  <c r="AK86" i="68"/>
  <c r="AM86" i="68" s="1"/>
  <c r="AF86" i="68" s="1"/>
  <c r="S87" i="68"/>
  <c r="V87" i="68" s="1"/>
  <c r="Q87" i="68" s="1"/>
  <c r="AC85" i="68"/>
  <c r="W87" i="68"/>
  <c r="R87" i="68" s="1"/>
  <c r="G87" i="68" s="1"/>
  <c r="I87" i="68" s="1"/>
  <c r="B90" i="68" l="1"/>
  <c r="AN90" i="68"/>
  <c r="AO90" i="68" s="1"/>
  <c r="AP90" i="68"/>
  <c r="AR90" i="68" s="1"/>
  <c r="AQ89" i="68"/>
  <c r="AS89" i="68"/>
  <c r="AU90" i="68" s="1"/>
  <c r="AI88" i="67"/>
  <c r="AJ88" i="67" s="1"/>
  <c r="AN44" i="57"/>
  <c r="AP44" i="57" s="1"/>
  <c r="B44" i="57"/>
  <c r="AL44" i="57"/>
  <c r="AM44" i="57" s="1"/>
  <c r="AA88" i="67"/>
  <c r="AB88" i="67" s="1"/>
  <c r="K88" i="67" s="1"/>
  <c r="M88" i="67" s="1"/>
  <c r="Y133" i="68"/>
  <c r="H44" i="41"/>
  <c r="L43" i="41"/>
  <c r="AQ43" i="57"/>
  <c r="AS44" i="57" s="1"/>
  <c r="AO43" i="57"/>
  <c r="J89" i="67"/>
  <c r="P89" i="67"/>
  <c r="T89" i="67"/>
  <c r="U89" i="67" s="1"/>
  <c r="Z89" i="67"/>
  <c r="AI89" i="67" s="1"/>
  <c r="AJ89" i="67" s="1"/>
  <c r="N90" i="67"/>
  <c r="AG46" i="3"/>
  <c r="AH46" i="3" s="1"/>
  <c r="K46" i="3" s="1"/>
  <c r="L46" i="3" s="1"/>
  <c r="U38" i="39"/>
  <c r="P38" i="39" s="1"/>
  <c r="V40" i="1"/>
  <c r="AJ37" i="39"/>
  <c r="AC37" i="39" s="1"/>
  <c r="F38" i="45"/>
  <c r="H38" i="45" s="1"/>
  <c r="AR79" i="47"/>
  <c r="AT80" i="47" s="1"/>
  <c r="R41" i="1"/>
  <c r="V41" i="1" s="1"/>
  <c r="AI40" i="1"/>
  <c r="AK40" i="1" s="1"/>
  <c r="AD40" i="1" s="1"/>
  <c r="AB39" i="1"/>
  <c r="AJ39" i="1"/>
  <c r="AC39" i="1" s="1"/>
  <c r="Q40" i="1"/>
  <c r="F40" i="1" s="1"/>
  <c r="H40" i="1" s="1"/>
  <c r="Y47" i="3"/>
  <c r="Z47" i="3" s="1"/>
  <c r="AA47" i="3" s="1"/>
  <c r="J47" i="3" s="1"/>
  <c r="AB37" i="39"/>
  <c r="R39" i="39"/>
  <c r="U39" i="39" s="1"/>
  <c r="P39" i="39" s="1"/>
  <c r="AI38" i="39"/>
  <c r="AK38" i="39" s="1"/>
  <c r="AD38" i="39" s="1"/>
  <c r="G38" i="39" s="1"/>
  <c r="H38" i="39" s="1"/>
  <c r="B80" i="47"/>
  <c r="AM81" i="47" s="1"/>
  <c r="AN81" i="47" s="1"/>
  <c r="AO80" i="47"/>
  <c r="AQ80" i="47" s="1"/>
  <c r="AP87" i="67"/>
  <c r="AR87" i="67" s="1"/>
  <c r="B87" i="67"/>
  <c r="AN87" i="67"/>
  <c r="AO87" i="67" s="1"/>
  <c r="AQ86" i="67"/>
  <c r="AS86" i="67"/>
  <c r="AU87" i="67" s="1"/>
  <c r="G83" i="67"/>
  <c r="I83" i="67" s="1"/>
  <c r="V84" i="67"/>
  <c r="Q84" i="67" s="1"/>
  <c r="AG43" i="49"/>
  <c r="AH43" i="49" s="1"/>
  <c r="Z43" i="49"/>
  <c r="AA43" i="49" s="1"/>
  <c r="J43" i="49" s="1"/>
  <c r="L43" i="49" s="1"/>
  <c r="Y44" i="49"/>
  <c r="AN40" i="39"/>
  <c r="AP40" i="39" s="1"/>
  <c r="AL40" i="39"/>
  <c r="AM40" i="39" s="1"/>
  <c r="B40" i="39"/>
  <c r="AQ39" i="39"/>
  <c r="AS40" i="39" s="1"/>
  <c r="AO39" i="39"/>
  <c r="AK37" i="3"/>
  <c r="AD37" i="3" s="1"/>
  <c r="G37" i="3" s="1"/>
  <c r="H37" i="3" s="1"/>
  <c r="AJ37" i="3"/>
  <c r="AC37" i="3" s="1"/>
  <c r="R39" i="3"/>
  <c r="U38" i="3"/>
  <c r="P38" i="3" s="1"/>
  <c r="V38" i="3"/>
  <c r="Q38" i="3" s="1"/>
  <c r="F38" i="3" s="1"/>
  <c r="AI38" i="3"/>
  <c r="AB37" i="3"/>
  <c r="Z48" i="48"/>
  <c r="AA48" i="48" s="1"/>
  <c r="J48" i="48" s="1"/>
  <c r="L48" i="48" s="1"/>
  <c r="U39" i="49"/>
  <c r="P39" i="49" s="1"/>
  <c r="R40" i="49"/>
  <c r="U40" i="49" s="1"/>
  <c r="P40" i="49" s="1"/>
  <c r="V39" i="49"/>
  <c r="Q39" i="49" s="1"/>
  <c r="F39" i="49" s="1"/>
  <c r="H39" i="49" s="1"/>
  <c r="AB38" i="49"/>
  <c r="AI39" i="49"/>
  <c r="AK38" i="49"/>
  <c r="AD38" i="49" s="1"/>
  <c r="AJ38" i="49"/>
  <c r="AC38" i="49" s="1"/>
  <c r="AK37" i="50"/>
  <c r="AD37" i="50" s="1"/>
  <c r="AJ37" i="50"/>
  <c r="AC37" i="50" s="1"/>
  <c r="V38" i="50"/>
  <c r="Q38" i="50" s="1"/>
  <c r="F38" i="50" s="1"/>
  <c r="H38" i="50" s="1"/>
  <c r="AI38" i="50"/>
  <c r="R39" i="50"/>
  <c r="AB37" i="50"/>
  <c r="AG48" i="48"/>
  <c r="AH48" i="48" s="1"/>
  <c r="AM74" i="60"/>
  <c r="AF74" i="60" s="1"/>
  <c r="AA81" i="59"/>
  <c r="AB81" i="59" s="1"/>
  <c r="K81" i="59" s="1"/>
  <c r="M81" i="59" s="1"/>
  <c r="Z82" i="60"/>
  <c r="AI82" i="60" s="1"/>
  <c r="AJ82" i="60" s="1"/>
  <c r="W84" i="67"/>
  <c r="R84" i="67" s="1"/>
  <c r="Z42" i="50"/>
  <c r="AA42" i="50" s="1"/>
  <c r="J42" i="50" s="1"/>
  <c r="L42" i="50" s="1"/>
  <c r="AA81" i="60"/>
  <c r="AB81" i="60" s="1"/>
  <c r="K81" i="60" s="1"/>
  <c r="M81" i="60" s="1"/>
  <c r="AI80" i="60"/>
  <c r="AJ80" i="60" s="1"/>
  <c r="AA80" i="60"/>
  <c r="AB80" i="60" s="1"/>
  <c r="K80" i="60" s="1"/>
  <c r="M80" i="60" s="1"/>
  <c r="AM74" i="59"/>
  <c r="AF74" i="59" s="1"/>
  <c r="AT41" i="26"/>
  <c r="AV41" i="26"/>
  <c r="AX42" i="26" s="1"/>
  <c r="AS77" i="60"/>
  <c r="AU78" i="60" s="1"/>
  <c r="AQ77" i="60"/>
  <c r="V75" i="60"/>
  <c r="Q75" i="60" s="1"/>
  <c r="S76" i="60"/>
  <c r="V76" i="60" s="1"/>
  <c r="Q76" i="60" s="1"/>
  <c r="AC74" i="60"/>
  <c r="AK75" i="60"/>
  <c r="AM75" i="60" s="1"/>
  <c r="AF75" i="60" s="1"/>
  <c r="AN78" i="60"/>
  <c r="AO78" i="60" s="1"/>
  <c r="AP78" i="60"/>
  <c r="AR78" i="60" s="1"/>
  <c r="B78" i="60"/>
  <c r="AK38" i="52"/>
  <c r="AD38" i="52" s="1"/>
  <c r="AJ38" i="52"/>
  <c r="AC38" i="52" s="1"/>
  <c r="AO39" i="52"/>
  <c r="AQ39" i="52"/>
  <c r="AS40" i="52" s="1"/>
  <c r="AS42" i="26"/>
  <c r="AU42" i="26" s="1"/>
  <c r="B42" i="26"/>
  <c r="AQ42" i="26"/>
  <c r="AR42" i="26" s="1"/>
  <c r="R40" i="52"/>
  <c r="U40" i="52" s="1"/>
  <c r="P40" i="52" s="1"/>
  <c r="U39" i="52"/>
  <c r="P39" i="52" s="1"/>
  <c r="AI39" i="52"/>
  <c r="AB38" i="52"/>
  <c r="AN40" i="52"/>
  <c r="AP40" i="52" s="1"/>
  <c r="B40" i="52"/>
  <c r="AL40" i="52"/>
  <c r="AM40" i="52" s="1"/>
  <c r="AL43" i="49"/>
  <c r="AM43" i="49" s="1"/>
  <c r="B43" i="49"/>
  <c r="AN43" i="49"/>
  <c r="AP43" i="49" s="1"/>
  <c r="AQ42" i="49"/>
  <c r="AS43" i="49" s="1"/>
  <c r="AO42" i="49"/>
  <c r="AJ38" i="48"/>
  <c r="AC38" i="48" s="1"/>
  <c r="AG44" i="51"/>
  <c r="AH44" i="51" s="1"/>
  <c r="D73" i="48"/>
  <c r="L45" i="52"/>
  <c r="AG45" i="52"/>
  <c r="AH45" i="52" s="1"/>
  <c r="V39" i="51"/>
  <c r="Q39" i="51" s="1"/>
  <c r="F39" i="51" s="1"/>
  <c r="H39" i="51" s="1"/>
  <c r="L45" i="39"/>
  <c r="AQ77" i="59"/>
  <c r="AS77" i="59"/>
  <c r="AU78" i="59" s="1"/>
  <c r="Z47" i="1"/>
  <c r="AA47" i="1" s="1"/>
  <c r="J47" i="1" s="1"/>
  <c r="L47" i="1" s="1"/>
  <c r="AN78" i="59"/>
  <c r="AO78" i="59" s="1"/>
  <c r="AP78" i="59"/>
  <c r="AR78" i="59" s="1"/>
  <c r="B78" i="59"/>
  <c r="W86" i="48"/>
  <c r="V39" i="48"/>
  <c r="Q39" i="48" s="1"/>
  <c r="F39" i="48" s="1"/>
  <c r="H39" i="48" s="1"/>
  <c r="V74" i="47"/>
  <c r="Q74" i="47" s="1"/>
  <c r="F74" i="47" s="1"/>
  <c r="H74" i="47" s="1"/>
  <c r="Y43" i="50"/>
  <c r="AL42" i="50"/>
  <c r="AM42" i="50" s="1"/>
  <c r="B42" i="50"/>
  <c r="AN42" i="50"/>
  <c r="AP42" i="50" s="1"/>
  <c r="AK84" i="67"/>
  <c r="AL84" i="67" s="1"/>
  <c r="AE84" i="67" s="1"/>
  <c r="AC83" i="67"/>
  <c r="S85" i="67"/>
  <c r="R40" i="51"/>
  <c r="V40" i="51" s="1"/>
  <c r="Q40" i="51" s="1"/>
  <c r="F40" i="51" s="1"/>
  <c r="H40" i="51" s="1"/>
  <c r="AI39" i="51"/>
  <c r="AB38" i="51"/>
  <c r="R75" i="47"/>
  <c r="V75" i="47" s="1"/>
  <c r="Q75" i="47" s="1"/>
  <c r="F75" i="47" s="1"/>
  <c r="H75" i="47" s="1"/>
  <c r="AB73" i="47"/>
  <c r="AJ74" i="47"/>
  <c r="AL74" i="47" s="1"/>
  <c r="AE74" i="47" s="1"/>
  <c r="AL83" i="67"/>
  <c r="AE83" i="67" s="1"/>
  <c r="AL73" i="47"/>
  <c r="AE73" i="47" s="1"/>
  <c r="AJ38" i="51"/>
  <c r="AC38" i="51" s="1"/>
  <c r="AK38" i="51"/>
  <c r="AD38" i="51" s="1"/>
  <c r="AO41" i="50"/>
  <c r="AQ41" i="50"/>
  <c r="AS42" i="50" s="1"/>
  <c r="R37" i="26"/>
  <c r="S49" i="48"/>
  <c r="T49" i="48" s="1"/>
  <c r="AO41" i="48"/>
  <c r="AQ41" i="48"/>
  <c r="AS42" i="48" s="1"/>
  <c r="AI42" i="57"/>
  <c r="R43" i="57"/>
  <c r="U43" i="57" s="1"/>
  <c r="P43" i="57" s="1"/>
  <c r="AB41" i="57"/>
  <c r="AC74" i="59"/>
  <c r="AK75" i="59"/>
  <c r="AM75" i="59" s="1"/>
  <c r="AF75" i="59" s="1"/>
  <c r="S76" i="59"/>
  <c r="V76" i="59" s="1"/>
  <c r="Q76" i="59" s="1"/>
  <c r="I48" i="46"/>
  <c r="U47" i="46"/>
  <c r="P47" i="46" s="1"/>
  <c r="B48" i="46"/>
  <c r="AE47" i="46"/>
  <c r="D48" i="46"/>
  <c r="S48" i="46" s="1"/>
  <c r="T48" i="46" s="1"/>
  <c r="AL48" i="46"/>
  <c r="AM48" i="46" s="1"/>
  <c r="AK47" i="46"/>
  <c r="AD47" i="46" s="1"/>
  <c r="Z47" i="46"/>
  <c r="AA47" i="46" s="1"/>
  <c r="J47" i="46" s="1"/>
  <c r="L47" i="46" s="1"/>
  <c r="F48" i="46"/>
  <c r="W47" i="46"/>
  <c r="AN48" i="46"/>
  <c r="AP48" i="46" s="1"/>
  <c r="AY48" i="46"/>
  <c r="AJ47" i="46"/>
  <c r="AC47" i="46" s="1"/>
  <c r="AG47" i="46"/>
  <c r="AH47" i="46" s="1"/>
  <c r="V47" i="46"/>
  <c r="Q47" i="46" s="1"/>
  <c r="R48" i="46"/>
  <c r="AL86" i="68"/>
  <c r="AE86" i="68" s="1"/>
  <c r="AC86" i="68"/>
  <c r="AK87" i="68"/>
  <c r="AM87" i="68" s="1"/>
  <c r="AF87" i="68" s="1"/>
  <c r="S88" i="68"/>
  <c r="W88" i="68" s="1"/>
  <c r="R88" i="68" s="1"/>
  <c r="G88" i="68" s="1"/>
  <c r="I88" i="68" s="1"/>
  <c r="V88" i="68"/>
  <c r="Q88" i="68" s="1"/>
  <c r="AL42" i="48"/>
  <c r="AM42" i="48" s="1"/>
  <c r="B42" i="48"/>
  <c r="AN42" i="48"/>
  <c r="AP42" i="48" s="1"/>
  <c r="J69" i="68"/>
  <c r="J133" i="68" s="1"/>
  <c r="T96" i="68"/>
  <c r="U96" i="68" s="1"/>
  <c r="V42" i="57"/>
  <c r="Q42" i="57" s="1"/>
  <c r="F42" i="57" s="1"/>
  <c r="H42" i="57" s="1"/>
  <c r="V75" i="59"/>
  <c r="Q75" i="59" s="1"/>
  <c r="AQ41" i="3"/>
  <c r="AS42" i="3" s="1"/>
  <c r="AO41" i="3"/>
  <c r="O46" i="55"/>
  <c r="M47" i="55"/>
  <c r="S46" i="55"/>
  <c r="T46" i="55" s="1"/>
  <c r="Y46" i="55"/>
  <c r="Z49" i="48"/>
  <c r="AA49" i="48" s="1"/>
  <c r="J49" i="48" s="1"/>
  <c r="L49" i="48" s="1"/>
  <c r="N49" i="57"/>
  <c r="O48" i="57"/>
  <c r="AI46" i="26"/>
  <c r="AL46" i="26" s="1"/>
  <c r="K46" i="26" s="1"/>
  <c r="L80" i="47"/>
  <c r="AH80" i="47"/>
  <c r="AI80" i="47" s="1"/>
  <c r="AI92" i="68"/>
  <c r="AJ92" i="68" s="1"/>
  <c r="Z46" i="39"/>
  <c r="AA46" i="39" s="1"/>
  <c r="J46" i="39" s="1"/>
  <c r="L46" i="39" s="1"/>
  <c r="B58" i="61"/>
  <c r="AO41" i="51"/>
  <c r="AQ41" i="51"/>
  <c r="AS42" i="51" s="1"/>
  <c r="AE86" i="48"/>
  <c r="E83" i="61"/>
  <c r="C83" i="61"/>
  <c r="D83" i="61"/>
  <c r="N83" i="59"/>
  <c r="T82" i="59"/>
  <c r="U82" i="59" s="1"/>
  <c r="P82" i="59"/>
  <c r="Z82" i="59"/>
  <c r="AI82" i="59" s="1"/>
  <c r="AJ82" i="59" s="1"/>
  <c r="J82" i="59"/>
  <c r="M47" i="52"/>
  <c r="O46" i="52"/>
  <c r="I46" i="52"/>
  <c r="S46" i="52"/>
  <c r="T46" i="52" s="1"/>
  <c r="Y46" i="52"/>
  <c r="AG46" i="52" s="1"/>
  <c r="AH46" i="52" s="1"/>
  <c r="AL87" i="68"/>
  <c r="AE87" i="68" s="1"/>
  <c r="N49" i="46"/>
  <c r="O48" i="46"/>
  <c r="Y48" i="46"/>
  <c r="AJ42" i="57"/>
  <c r="AC42" i="57" s="1"/>
  <c r="AK42" i="57"/>
  <c r="AD42" i="57" s="1"/>
  <c r="D45" i="61"/>
  <c r="C45" i="61" s="1"/>
  <c r="E45" i="61" s="1"/>
  <c r="AL42" i="1"/>
  <c r="AM42" i="1" s="1"/>
  <c r="AN42" i="1"/>
  <c r="AP42" i="1" s="1"/>
  <c r="B42" i="1"/>
  <c r="X133" i="68"/>
  <c r="D109" i="68"/>
  <c r="AL44" i="41"/>
  <c r="AM44" i="41" s="1"/>
  <c r="AN44" i="41"/>
  <c r="AP44" i="41" s="1"/>
  <c r="AE47" i="57"/>
  <c r="I48" i="57"/>
  <c r="AY48" i="57"/>
  <c r="I47" i="57"/>
  <c r="D48" i="57"/>
  <c r="S48" i="57" s="1"/>
  <c r="T48" i="57" s="1"/>
  <c r="AG47" i="57"/>
  <c r="AH47" i="57" s="1"/>
  <c r="Z47" i="57"/>
  <c r="AA47" i="57" s="1"/>
  <c r="J47" i="57" s="1"/>
  <c r="D47" i="57"/>
  <c r="W47" i="57"/>
  <c r="AB38" i="48"/>
  <c r="AI39" i="48"/>
  <c r="AK39" i="48" s="1"/>
  <c r="AD39" i="48" s="1"/>
  <c r="R40" i="48"/>
  <c r="U40" i="48" s="1"/>
  <c r="P40" i="48" s="1"/>
  <c r="AL42" i="51"/>
  <c r="AM42" i="51" s="1"/>
  <c r="B42" i="51"/>
  <c r="AN42" i="51"/>
  <c r="AP42" i="51" s="1"/>
  <c r="AG133" i="68"/>
  <c r="AK41" i="57"/>
  <c r="AD41" i="57" s="1"/>
  <c r="AF86" i="48"/>
  <c r="B84" i="61"/>
  <c r="A85" i="61"/>
  <c r="B85" i="61" s="1"/>
  <c r="M47" i="45"/>
  <c r="S46" i="45"/>
  <c r="T46" i="45" s="1"/>
  <c r="Y46" i="45"/>
  <c r="O46" i="45"/>
  <c r="O45" i="50"/>
  <c r="M46" i="50"/>
  <c r="S45" i="50"/>
  <c r="T45" i="50" s="1"/>
  <c r="I45" i="50"/>
  <c r="AR80" i="47"/>
  <c r="AT81" i="47" s="1"/>
  <c r="AQ43" i="41"/>
  <c r="AS44" i="41" s="1"/>
  <c r="AO43" i="41"/>
  <c r="AO36" i="26"/>
  <c r="AF36" i="26" s="1"/>
  <c r="AP36" i="26"/>
  <c r="AG36" i="26" s="1"/>
  <c r="G36" i="26" s="1"/>
  <c r="L36" i="26" s="1"/>
  <c r="Y50" i="48"/>
  <c r="M48" i="39"/>
  <c r="N48" i="39"/>
  <c r="O47" i="39"/>
  <c r="Y47" i="39"/>
  <c r="AH133" i="68"/>
  <c r="AJ41" i="57"/>
  <c r="AC41" i="57" s="1"/>
  <c r="S48" i="48"/>
  <c r="T48" i="48" s="1"/>
  <c r="M49" i="1"/>
  <c r="O48" i="1"/>
  <c r="Y48" i="1"/>
  <c r="N49" i="1"/>
  <c r="AB44" i="41"/>
  <c r="AI45" i="41"/>
  <c r="AK45" i="41" s="1"/>
  <c r="AD45" i="41" s="1"/>
  <c r="G45" i="41" s="1"/>
  <c r="R46" i="41"/>
  <c r="V46" i="41" s="1"/>
  <c r="Q46" i="41" s="1"/>
  <c r="F46" i="41" s="1"/>
  <c r="AL42" i="3"/>
  <c r="AM42" i="3" s="1"/>
  <c r="AN42" i="3"/>
  <c r="AP42" i="3" s="1"/>
  <c r="B42" i="3"/>
  <c r="AQ41" i="1"/>
  <c r="AS42" i="1" s="1"/>
  <c r="AO41" i="1"/>
  <c r="W75" i="59"/>
  <c r="R75" i="59" s="1"/>
  <c r="G75" i="59" s="1"/>
  <c r="I75" i="59" s="1"/>
  <c r="X86" i="48"/>
  <c r="M45" i="41"/>
  <c r="S44" i="41"/>
  <c r="T44" i="41" s="1"/>
  <c r="J44" i="41"/>
  <c r="Y44" i="41"/>
  <c r="AG44" i="41" s="1"/>
  <c r="AH44" i="41" s="1"/>
  <c r="K44" i="41"/>
  <c r="O44" i="41"/>
  <c r="B44" i="41" s="1"/>
  <c r="M48" i="26"/>
  <c r="BF47" i="26"/>
  <c r="O47" i="26"/>
  <c r="S47" i="26"/>
  <c r="T47" i="26" s="1"/>
  <c r="U47" i="26" s="1"/>
  <c r="I47" i="26" s="1"/>
  <c r="AA47" i="26"/>
  <c r="AI47" i="26" s="1"/>
  <c r="AL47" i="26" s="1"/>
  <c r="K47" i="26" s="1"/>
  <c r="M82" i="47"/>
  <c r="O81" i="47"/>
  <c r="S81" i="47"/>
  <c r="T81" i="47" s="1"/>
  <c r="I81" i="47"/>
  <c r="Y81" i="47"/>
  <c r="AH81" i="47" s="1"/>
  <c r="AI81" i="47" s="1"/>
  <c r="Z93" i="68"/>
  <c r="T95" i="68"/>
  <c r="U95" i="68" s="1"/>
  <c r="V45" i="41"/>
  <c r="Q45" i="41" s="1"/>
  <c r="F45" i="41" s="1"/>
  <c r="L44" i="51"/>
  <c r="M46" i="51"/>
  <c r="O45" i="51"/>
  <c r="S45" i="51"/>
  <c r="T45" i="51" s="1"/>
  <c r="Y45" i="51"/>
  <c r="I45" i="51"/>
  <c r="AS90" i="68" l="1"/>
  <c r="AU91" i="68" s="1"/>
  <c r="AQ90" i="68"/>
  <c r="Z44" i="41"/>
  <c r="AA44" i="41" s="1"/>
  <c r="AP91" i="68"/>
  <c r="AR91" i="68" s="1"/>
  <c r="B91" i="68"/>
  <c r="AN91" i="68"/>
  <c r="AO91" i="68" s="1"/>
  <c r="AO44" i="57"/>
  <c r="AQ44" i="57"/>
  <c r="AS45" i="57" s="1"/>
  <c r="J90" i="67"/>
  <c r="T90" i="67"/>
  <c r="U90" i="67" s="1"/>
  <c r="P90" i="67"/>
  <c r="N91" i="67"/>
  <c r="Z90" i="67"/>
  <c r="AA90" i="67" s="1"/>
  <c r="AB90" i="67" s="1"/>
  <c r="K90" i="67" s="1"/>
  <c r="M90" i="67" s="1"/>
  <c r="B45" i="57"/>
  <c r="AN45" i="57"/>
  <c r="AP45" i="57" s="1"/>
  <c r="AL45" i="57"/>
  <c r="AM45" i="57" s="1"/>
  <c r="L44" i="41"/>
  <c r="V43" i="57"/>
  <c r="Q43" i="57" s="1"/>
  <c r="F43" i="57" s="1"/>
  <c r="H43" i="57" s="1"/>
  <c r="AA89" i="67"/>
  <c r="AB89" i="67" s="1"/>
  <c r="K89" i="67" s="1"/>
  <c r="M89" i="67" s="1"/>
  <c r="AI41" i="1"/>
  <c r="AK41" i="1" s="1"/>
  <c r="AD41" i="1" s="1"/>
  <c r="AB40" i="1"/>
  <c r="AJ40" i="1"/>
  <c r="AC40" i="1" s="1"/>
  <c r="R42" i="1"/>
  <c r="V42" i="1" s="1"/>
  <c r="U41" i="1"/>
  <c r="P41" i="1" s="1"/>
  <c r="Y48" i="3"/>
  <c r="AG48" i="3" s="1"/>
  <c r="AH48" i="3" s="1"/>
  <c r="K48" i="3" s="1"/>
  <c r="AJ38" i="39"/>
  <c r="AC38" i="39" s="1"/>
  <c r="AI39" i="39"/>
  <c r="AJ39" i="39" s="1"/>
  <c r="AC39" i="39" s="1"/>
  <c r="AG47" i="3"/>
  <c r="AH47" i="3" s="1"/>
  <c r="K47" i="3" s="1"/>
  <c r="L47" i="3" s="1"/>
  <c r="R40" i="39"/>
  <c r="U40" i="39" s="1"/>
  <c r="P40" i="39" s="1"/>
  <c r="V39" i="39"/>
  <c r="Q39" i="39" s="1"/>
  <c r="F39" i="39" s="1"/>
  <c r="AB38" i="39"/>
  <c r="B81" i="47"/>
  <c r="AM82" i="47" s="1"/>
  <c r="AN82" i="47" s="1"/>
  <c r="AO81" i="47"/>
  <c r="AQ81" i="47" s="1"/>
  <c r="AR81" i="47" s="1"/>
  <c r="AT82" i="47" s="1"/>
  <c r="AP80" i="47"/>
  <c r="S73" i="48"/>
  <c r="T73" i="48" s="1"/>
  <c r="D74" i="48"/>
  <c r="D22" i="48" s="1"/>
  <c r="AP88" i="67"/>
  <c r="AR88" i="67" s="1"/>
  <c r="AN88" i="67"/>
  <c r="AO88" i="67" s="1"/>
  <c r="B88" i="67"/>
  <c r="G84" i="67"/>
  <c r="I84" i="67" s="1"/>
  <c r="AQ87" i="67"/>
  <c r="AS87" i="67"/>
  <c r="AU88" i="67" s="1"/>
  <c r="W85" i="67"/>
  <c r="R85" i="67" s="1"/>
  <c r="V85" i="67"/>
  <c r="Q85" i="67" s="1"/>
  <c r="G85" i="67" s="1"/>
  <c r="I85" i="67" s="1"/>
  <c r="Z44" i="49"/>
  <c r="AA44" i="49" s="1"/>
  <c r="J44" i="49" s="1"/>
  <c r="L44" i="49" s="1"/>
  <c r="Y45" i="49"/>
  <c r="AG44" i="49"/>
  <c r="AH44" i="49" s="1"/>
  <c r="AN41" i="39"/>
  <c r="AP41" i="39" s="1"/>
  <c r="B41" i="39"/>
  <c r="AL41" i="39"/>
  <c r="AM41" i="39" s="1"/>
  <c r="AO40" i="39"/>
  <c r="AQ40" i="39"/>
  <c r="AS41" i="39" s="1"/>
  <c r="V39" i="3"/>
  <c r="Q39" i="3" s="1"/>
  <c r="F39" i="3" s="1"/>
  <c r="AB38" i="3"/>
  <c r="AI39" i="3"/>
  <c r="R40" i="3"/>
  <c r="U39" i="3"/>
  <c r="P39" i="3" s="1"/>
  <c r="AJ38" i="3"/>
  <c r="AC38" i="3" s="1"/>
  <c r="AK38" i="3"/>
  <c r="AD38" i="3" s="1"/>
  <c r="G38" i="3" s="1"/>
  <c r="H38" i="3" s="1"/>
  <c r="AA82" i="60"/>
  <c r="AB82" i="60" s="1"/>
  <c r="K82" i="60" s="1"/>
  <c r="M82" i="60" s="1"/>
  <c r="R41" i="49"/>
  <c r="AI40" i="49"/>
  <c r="AK40" i="49" s="1"/>
  <c r="AD40" i="49" s="1"/>
  <c r="AB39" i="49"/>
  <c r="V40" i="49"/>
  <c r="Q40" i="49" s="1"/>
  <c r="F40" i="49" s="1"/>
  <c r="H40" i="49" s="1"/>
  <c r="AJ39" i="49"/>
  <c r="AC39" i="49" s="1"/>
  <c r="AK39" i="49"/>
  <c r="AD39" i="49" s="1"/>
  <c r="AJ38" i="50"/>
  <c r="AC38" i="50" s="1"/>
  <c r="AK38" i="50"/>
  <c r="AD38" i="50" s="1"/>
  <c r="V39" i="50"/>
  <c r="Q39" i="50" s="1"/>
  <c r="F39" i="50" s="1"/>
  <c r="H39" i="50" s="1"/>
  <c r="R40" i="50"/>
  <c r="AB38" i="50"/>
  <c r="U39" i="50"/>
  <c r="P39" i="50" s="1"/>
  <c r="AI39" i="50"/>
  <c r="Z83" i="60"/>
  <c r="Z84" i="60" s="1"/>
  <c r="W76" i="60"/>
  <c r="R76" i="60" s="1"/>
  <c r="G76" i="60" s="1"/>
  <c r="I76" i="60" s="1"/>
  <c r="AL75" i="59"/>
  <c r="AE75" i="59" s="1"/>
  <c r="Y49" i="46"/>
  <c r="Z46" i="52"/>
  <c r="AA46" i="52" s="1"/>
  <c r="J46" i="52" s="1"/>
  <c r="L46" i="52" s="1"/>
  <c r="AM84" i="67"/>
  <c r="AF84" i="67" s="1"/>
  <c r="AT42" i="26"/>
  <c r="AV42" i="26"/>
  <c r="AX43" i="26" s="1"/>
  <c r="AN79" i="60"/>
  <c r="AO79" i="60" s="1"/>
  <c r="B79" i="60"/>
  <c r="AP79" i="60"/>
  <c r="AR79" i="60" s="1"/>
  <c r="AL75" i="60"/>
  <c r="AE75" i="60" s="1"/>
  <c r="AO40" i="52"/>
  <c r="AQ40" i="52"/>
  <c r="AS41" i="52" s="1"/>
  <c r="AJ39" i="52"/>
  <c r="AC39" i="52" s="1"/>
  <c r="AK39" i="52"/>
  <c r="AD39" i="52" s="1"/>
  <c r="AQ43" i="26"/>
  <c r="AR43" i="26" s="1"/>
  <c r="AS43" i="26"/>
  <c r="AU43" i="26" s="1"/>
  <c r="B43" i="26"/>
  <c r="AL41" i="52"/>
  <c r="AM41" i="52" s="1"/>
  <c r="B41" i="52"/>
  <c r="AN41" i="52"/>
  <c r="AP41" i="52" s="1"/>
  <c r="AQ78" i="60"/>
  <c r="AS78" i="60"/>
  <c r="AU79" i="60" s="1"/>
  <c r="V40" i="52"/>
  <c r="Q40" i="52" s="1"/>
  <c r="F40" i="52" s="1"/>
  <c r="H40" i="52" s="1"/>
  <c r="R41" i="52"/>
  <c r="AI40" i="52"/>
  <c r="AB39" i="52"/>
  <c r="S77" i="60"/>
  <c r="W77" i="60" s="1"/>
  <c r="R77" i="60" s="1"/>
  <c r="G77" i="60" s="1"/>
  <c r="I77" i="60" s="1"/>
  <c r="AC75" i="60"/>
  <c r="AK76" i="60"/>
  <c r="AL76" i="60" s="1"/>
  <c r="AE76" i="60" s="1"/>
  <c r="V40" i="48"/>
  <c r="Q40" i="48" s="1"/>
  <c r="F40" i="48" s="1"/>
  <c r="H40" i="48" s="1"/>
  <c r="AL44" i="49"/>
  <c r="AM44" i="49" s="1"/>
  <c r="AN44" i="49"/>
  <c r="AP44" i="49" s="1"/>
  <c r="B44" i="49"/>
  <c r="AO43" i="49"/>
  <c r="AQ43" i="49"/>
  <c r="AS44" i="49" s="1"/>
  <c r="AQ78" i="59"/>
  <c r="AS78" i="59"/>
  <c r="AU79" i="59" s="1"/>
  <c r="Z81" i="47"/>
  <c r="AA81" i="47" s="1"/>
  <c r="J81" i="47" s="1"/>
  <c r="L81" i="47" s="1"/>
  <c r="AK74" i="47"/>
  <c r="AD74" i="47" s="1"/>
  <c r="AP79" i="59"/>
  <c r="AR79" i="59" s="1"/>
  <c r="AN79" i="59"/>
  <c r="AO79" i="59" s="1"/>
  <c r="B79" i="59"/>
  <c r="AA82" i="59"/>
  <c r="AB82" i="59" s="1"/>
  <c r="K82" i="59" s="1"/>
  <c r="M82" i="59" s="1"/>
  <c r="W76" i="59"/>
  <c r="R76" i="59" s="1"/>
  <c r="G76" i="59" s="1"/>
  <c r="I76" i="59" s="1"/>
  <c r="U75" i="47"/>
  <c r="P75" i="47" s="1"/>
  <c r="AJ75" i="47"/>
  <c r="AL75" i="47" s="1"/>
  <c r="AE75" i="47" s="1"/>
  <c r="AB74" i="47"/>
  <c r="R76" i="47"/>
  <c r="U76" i="47" s="1"/>
  <c r="P76" i="47" s="1"/>
  <c r="B43" i="50"/>
  <c r="AL43" i="50"/>
  <c r="AM43" i="50" s="1"/>
  <c r="AN43" i="50"/>
  <c r="AP43" i="50" s="1"/>
  <c r="AK39" i="51"/>
  <c r="AD39" i="51" s="1"/>
  <c r="AJ39" i="51"/>
  <c r="AC39" i="51" s="1"/>
  <c r="AO42" i="50"/>
  <c r="AQ42" i="50"/>
  <c r="AS43" i="50" s="1"/>
  <c r="Y44" i="50"/>
  <c r="AG43" i="50"/>
  <c r="AH43" i="50" s="1"/>
  <c r="U40" i="51"/>
  <c r="P40" i="51" s="1"/>
  <c r="R41" i="51"/>
  <c r="V41" i="51" s="1"/>
  <c r="Q41" i="51" s="1"/>
  <c r="F41" i="51" s="1"/>
  <c r="H41" i="51" s="1"/>
  <c r="AB39" i="51"/>
  <c r="AI40" i="51"/>
  <c r="AC84" i="67"/>
  <c r="AK85" i="67"/>
  <c r="AM85" i="67" s="1"/>
  <c r="AF85" i="67" s="1"/>
  <c r="S86" i="67"/>
  <c r="V86" i="67" s="1"/>
  <c r="Z43" i="50"/>
  <c r="AA43" i="50" s="1"/>
  <c r="J43" i="50" s="1"/>
  <c r="L43" i="50" s="1"/>
  <c r="M47" i="51"/>
  <c r="Y46" i="51"/>
  <c r="AG46" i="51" s="1"/>
  <c r="AH46" i="51" s="1"/>
  <c r="S46" i="51"/>
  <c r="T46" i="51" s="1"/>
  <c r="O46" i="51"/>
  <c r="I46" i="51"/>
  <c r="Z94" i="68"/>
  <c r="AA94" i="68" s="1"/>
  <c r="AB94" i="68" s="1"/>
  <c r="K94" i="68" s="1"/>
  <c r="M94" i="68" s="1"/>
  <c r="AY49" i="1"/>
  <c r="AE48" i="1"/>
  <c r="W48" i="1"/>
  <c r="Z48" i="1"/>
  <c r="AA48" i="1" s="1"/>
  <c r="J48" i="1" s="1"/>
  <c r="AG48" i="1"/>
  <c r="AH48" i="1" s="1"/>
  <c r="D48" i="1"/>
  <c r="I48" i="1"/>
  <c r="Y49" i="1" s="1"/>
  <c r="Y51" i="48"/>
  <c r="AG51" i="48" s="1"/>
  <c r="AH51" i="48" s="1"/>
  <c r="H45" i="41"/>
  <c r="AL45" i="41"/>
  <c r="AM45" i="41" s="1"/>
  <c r="AN45" i="41"/>
  <c r="AP45" i="41" s="1"/>
  <c r="AJ45" i="41"/>
  <c r="AC45" i="41" s="1"/>
  <c r="M47" i="50"/>
  <c r="O46" i="50"/>
  <c r="S46" i="50"/>
  <c r="T46" i="50" s="1"/>
  <c r="I46" i="50"/>
  <c r="AI93" i="68"/>
  <c r="AJ93" i="68" s="1"/>
  <c r="AA48" i="26"/>
  <c r="BF48" i="26"/>
  <c r="O48" i="26"/>
  <c r="S48" i="26"/>
  <c r="T48" i="26" s="1"/>
  <c r="U48" i="26" s="1"/>
  <c r="I48" i="26" s="1"/>
  <c r="M49" i="26"/>
  <c r="N49" i="26"/>
  <c r="AY48" i="39"/>
  <c r="W47" i="39"/>
  <c r="I47" i="39"/>
  <c r="Y48" i="39" s="1"/>
  <c r="AE47" i="39"/>
  <c r="D47" i="39"/>
  <c r="AG47" i="39"/>
  <c r="AH47" i="39" s="1"/>
  <c r="K47" i="39" s="1"/>
  <c r="Z47" i="39"/>
  <c r="AA47" i="39" s="1"/>
  <c r="J47" i="39" s="1"/>
  <c r="Z50" i="48"/>
  <c r="AA50" i="48" s="1"/>
  <c r="J50" i="48" s="1"/>
  <c r="L50" i="48" s="1"/>
  <c r="C85" i="61"/>
  <c r="D85" i="61"/>
  <c r="E85" i="61"/>
  <c r="S47" i="57"/>
  <c r="T47" i="57" s="1"/>
  <c r="D49" i="46"/>
  <c r="AJ48" i="46"/>
  <c r="AC48" i="46" s="1"/>
  <c r="F49" i="46"/>
  <c r="U49" i="46"/>
  <c r="AJ49" i="46"/>
  <c r="AG49" i="46"/>
  <c r="AH49" i="46" s="1"/>
  <c r="Z49" i="46"/>
  <c r="AA49" i="46" s="1"/>
  <c r="J49" i="46" s="1"/>
  <c r="B50" i="46"/>
  <c r="AK49" i="46"/>
  <c r="D50" i="46"/>
  <c r="AL49" i="46"/>
  <c r="AM49" i="46" s="1"/>
  <c r="AK48" i="46"/>
  <c r="AD48" i="46" s="1"/>
  <c r="R49" i="46"/>
  <c r="B49" i="46"/>
  <c r="AY49" i="46"/>
  <c r="F50" i="46"/>
  <c r="AN49" i="46"/>
  <c r="AP49" i="46" s="1"/>
  <c r="I49" i="46"/>
  <c r="AE48" i="46"/>
  <c r="AF48" i="46" s="1"/>
  <c r="U48" i="46"/>
  <c r="P48" i="46" s="1"/>
  <c r="W49" i="46"/>
  <c r="X49" i="46" s="1"/>
  <c r="V49" i="46"/>
  <c r="AE49" i="46"/>
  <c r="AF49" i="46" s="1"/>
  <c r="Z48" i="46"/>
  <c r="AA48" i="46" s="1"/>
  <c r="J48" i="46" s="1"/>
  <c r="L48" i="46" s="1"/>
  <c r="AG48" i="46"/>
  <c r="AH48" i="46" s="1"/>
  <c r="V48" i="46"/>
  <c r="Q48" i="46" s="1"/>
  <c r="W48" i="46"/>
  <c r="X48" i="46" s="1"/>
  <c r="M48" i="52"/>
  <c r="N48" i="52"/>
  <c r="O47" i="52"/>
  <c r="Y47" i="52"/>
  <c r="AB47" i="26"/>
  <c r="AC47" i="26" s="1"/>
  <c r="J47" i="26" s="1"/>
  <c r="I49" i="57"/>
  <c r="W48" i="57"/>
  <c r="X48" i="57" s="1"/>
  <c r="AE48" i="57"/>
  <c r="AF48" i="57" s="1"/>
  <c r="D49" i="57"/>
  <c r="W49" i="57"/>
  <c r="X49" i="57" s="1"/>
  <c r="AE49" i="57"/>
  <c r="AF49" i="57" s="1"/>
  <c r="B50" i="57"/>
  <c r="AY49" i="57"/>
  <c r="AK88" i="68"/>
  <c r="AC87" i="68"/>
  <c r="S89" i="68"/>
  <c r="X47" i="46"/>
  <c r="AO48" i="46"/>
  <c r="AQ48" i="46"/>
  <c r="AS49" i="46" s="1"/>
  <c r="AC75" i="59"/>
  <c r="AK76" i="59"/>
  <c r="AM76" i="59" s="1"/>
  <c r="AF76" i="59" s="1"/>
  <c r="S77" i="59"/>
  <c r="W77" i="59" s="1"/>
  <c r="R77" i="59" s="1"/>
  <c r="G77" i="59" s="1"/>
  <c r="I77" i="59" s="1"/>
  <c r="M83" i="47"/>
  <c r="O82" i="47"/>
  <c r="S82" i="47"/>
  <c r="T82" i="47" s="1"/>
  <c r="I82" i="47"/>
  <c r="Y82" i="47"/>
  <c r="Z82" i="47" s="1"/>
  <c r="AA82" i="47" s="1"/>
  <c r="J82" i="47" s="1"/>
  <c r="Y45" i="41"/>
  <c r="K45" i="41"/>
  <c r="S45" i="41"/>
  <c r="T45" i="41" s="1"/>
  <c r="J45" i="41"/>
  <c r="M46" i="41"/>
  <c r="O45" i="41"/>
  <c r="B45" i="41" s="1"/>
  <c r="AL43" i="3"/>
  <c r="AM43" i="3" s="1"/>
  <c r="AN43" i="3"/>
  <c r="AP43" i="3" s="1"/>
  <c r="B43" i="3"/>
  <c r="AB45" i="41"/>
  <c r="R47" i="41"/>
  <c r="AI46" i="41"/>
  <c r="AK46" i="41" s="1"/>
  <c r="AD46" i="41" s="1"/>
  <c r="G46" i="41" s="1"/>
  <c r="H46" i="41" s="1"/>
  <c r="U46" i="41"/>
  <c r="P46" i="41" s="1"/>
  <c r="O48" i="39"/>
  <c r="N49" i="39"/>
  <c r="I48" i="39" s="1"/>
  <c r="AG50" i="48"/>
  <c r="AH50" i="48" s="1"/>
  <c r="C84" i="61"/>
  <c r="D84" i="61"/>
  <c r="E84" i="61"/>
  <c r="AN43" i="51"/>
  <c r="AP43" i="51" s="1"/>
  <c r="AL43" i="51"/>
  <c r="AM43" i="51" s="1"/>
  <c r="B43" i="51"/>
  <c r="AB39" i="48"/>
  <c r="AI40" i="48"/>
  <c r="AJ40" i="48" s="1"/>
  <c r="AC40" i="48" s="1"/>
  <c r="R41" i="48"/>
  <c r="V41" i="48" s="1"/>
  <c r="Q41" i="48" s="1"/>
  <c r="F41" i="48" s="1"/>
  <c r="H41" i="48" s="1"/>
  <c r="L47" i="57"/>
  <c r="AQ44" i="41"/>
  <c r="AS45" i="41" s="1"/>
  <c r="AO44" i="41"/>
  <c r="T109" i="68"/>
  <c r="U109" i="68" s="1"/>
  <c r="D69" i="68"/>
  <c r="D133" i="68" s="1"/>
  <c r="B43" i="1"/>
  <c r="AN43" i="1"/>
  <c r="AP43" i="1" s="1"/>
  <c r="AL43" i="1"/>
  <c r="AM43" i="1" s="1"/>
  <c r="N84" i="59"/>
  <c r="T83" i="59"/>
  <c r="U83" i="59" s="1"/>
  <c r="Z83" i="59"/>
  <c r="AA83" i="59" s="1"/>
  <c r="AB83" i="59" s="1"/>
  <c r="K83" i="59" s="1"/>
  <c r="P83" i="59"/>
  <c r="J83" i="59"/>
  <c r="AJ39" i="48"/>
  <c r="AC39" i="48" s="1"/>
  <c r="Y48" i="57"/>
  <c r="Y49" i="57" s="1"/>
  <c r="Y50" i="57" s="1"/>
  <c r="Y51" i="57" s="1"/>
  <c r="Y52" i="57" s="1"/>
  <c r="Y53" i="57" s="1"/>
  <c r="Y54" i="57" s="1"/>
  <c r="Y55" i="57" s="1"/>
  <c r="Y56" i="57" s="1"/>
  <c r="Y57" i="57" s="1"/>
  <c r="Y58" i="57" s="1"/>
  <c r="Y59" i="57" s="1"/>
  <c r="Y60" i="57" s="1"/>
  <c r="Y61" i="57" s="1"/>
  <c r="Y62" i="57" s="1"/>
  <c r="Y63" i="57" s="1"/>
  <c r="Y64" i="57" s="1"/>
  <c r="Y65" i="57" s="1"/>
  <c r="Y66" i="57" s="1"/>
  <c r="Y67" i="57" s="1"/>
  <c r="Y68" i="57" s="1"/>
  <c r="Y69" i="57" s="1"/>
  <c r="Y70" i="57" s="1"/>
  <c r="Y71" i="57" s="1"/>
  <c r="Y72" i="57" s="1"/>
  <c r="Y73" i="57" s="1"/>
  <c r="Y74" i="57" s="1"/>
  <c r="Y75" i="57" s="1"/>
  <c r="Y76" i="57" s="1"/>
  <c r="Y77" i="57" s="1"/>
  <c r="Y78" i="57" s="1"/>
  <c r="Y79" i="57" s="1"/>
  <c r="Y80" i="57" s="1"/>
  <c r="Y81" i="57" s="1"/>
  <c r="Y82" i="57" s="1"/>
  <c r="Y83" i="57" s="1"/>
  <c r="Y84" i="57" s="1"/>
  <c r="Y85" i="57" s="1"/>
  <c r="M48" i="55"/>
  <c r="O47" i="55"/>
  <c r="N48" i="55"/>
  <c r="S47" i="55"/>
  <c r="T47" i="55" s="1"/>
  <c r="Y47" i="55"/>
  <c r="B43" i="48"/>
  <c r="AN43" i="48"/>
  <c r="AP43" i="48" s="1"/>
  <c r="AL43" i="48"/>
  <c r="AM43" i="48" s="1"/>
  <c r="H48" i="46"/>
  <c r="AN37" i="26"/>
  <c r="AE36" i="26"/>
  <c r="AY37" i="26"/>
  <c r="D37" i="26" s="1"/>
  <c r="R38" i="26" s="1"/>
  <c r="W37" i="26"/>
  <c r="Q37" i="26" s="1"/>
  <c r="F37" i="26" s="1"/>
  <c r="V37" i="26"/>
  <c r="P37" i="26" s="1"/>
  <c r="AG45" i="41"/>
  <c r="AH45" i="41" s="1"/>
  <c r="Z45" i="41"/>
  <c r="AA45" i="41" s="1"/>
  <c r="O49" i="1"/>
  <c r="N50" i="1"/>
  <c r="X47" i="57"/>
  <c r="X86" i="57" s="1"/>
  <c r="W86" i="57"/>
  <c r="Z45" i="51"/>
  <c r="AA45" i="51" s="1"/>
  <c r="J45" i="51" s="1"/>
  <c r="L45" i="51" s="1"/>
  <c r="B59" i="61"/>
  <c r="AO42" i="48"/>
  <c r="AQ42" i="48"/>
  <c r="AS43" i="48" s="1"/>
  <c r="AL88" i="68"/>
  <c r="AE88" i="68" s="1"/>
  <c r="AM88" i="68"/>
  <c r="AF88" i="68" s="1"/>
  <c r="AI48" i="46"/>
  <c r="AB47" i="46"/>
  <c r="AF47" i="46"/>
  <c r="H36" i="26"/>
  <c r="AO42" i="51"/>
  <c r="AQ42" i="51"/>
  <c r="AS43" i="51" s="1"/>
  <c r="AA93" i="68"/>
  <c r="AB93" i="68" s="1"/>
  <c r="K93" i="68" s="1"/>
  <c r="M93" i="68" s="1"/>
  <c r="AQ42" i="3"/>
  <c r="AS43" i="3" s="1"/>
  <c r="AO42" i="3"/>
  <c r="M48" i="45"/>
  <c r="N48" i="45"/>
  <c r="S47" i="45"/>
  <c r="T47" i="45" s="1"/>
  <c r="Y47" i="45"/>
  <c r="O47" i="45"/>
  <c r="AF47" i="57"/>
  <c r="AF86" i="57" s="1"/>
  <c r="AE86" i="57"/>
  <c r="AO42" i="1"/>
  <c r="AQ42" i="1"/>
  <c r="AS43" i="1" s="1"/>
  <c r="L45" i="61"/>
  <c r="AG45" i="51"/>
  <c r="AH45" i="51" s="1"/>
  <c r="AB42" i="57"/>
  <c r="R44" i="57"/>
  <c r="AI43" i="57"/>
  <c r="AK43" i="57" s="1"/>
  <c r="AD43" i="57" s="1"/>
  <c r="V44" i="57"/>
  <c r="Q44" i="57" s="1"/>
  <c r="F44" i="57" s="1"/>
  <c r="H44" i="57" s="1"/>
  <c r="AQ91" i="68" l="1"/>
  <c r="AS91" i="68"/>
  <c r="AU92" i="68" s="1"/>
  <c r="AP92" i="68"/>
  <c r="AR92" i="68" s="1"/>
  <c r="AN92" i="68"/>
  <c r="AO92" i="68" s="1"/>
  <c r="B92" i="68"/>
  <c r="L45" i="41"/>
  <c r="B46" i="57"/>
  <c r="AL46" i="57"/>
  <c r="AM46" i="57" s="1"/>
  <c r="AN46" i="57"/>
  <c r="AP46" i="57" s="1"/>
  <c r="AI94" i="68"/>
  <c r="AJ94" i="68" s="1"/>
  <c r="AI90" i="67"/>
  <c r="AJ90" i="67" s="1"/>
  <c r="AJ46" i="41"/>
  <c r="AC46" i="41" s="1"/>
  <c r="AQ45" i="57"/>
  <c r="AS46" i="57" s="1"/>
  <c r="AO45" i="57"/>
  <c r="J91" i="67"/>
  <c r="N92" i="67"/>
  <c r="P91" i="67"/>
  <c r="Z91" i="67"/>
  <c r="AA91" i="67" s="1"/>
  <c r="AB91" i="67" s="1"/>
  <c r="K91" i="67" s="1"/>
  <c r="T91" i="67"/>
  <c r="U91" i="67" s="1"/>
  <c r="AJ41" i="1"/>
  <c r="AC41" i="1" s="1"/>
  <c r="R43" i="1"/>
  <c r="U43" i="1" s="1"/>
  <c r="Q43" i="1" s="1"/>
  <c r="F43" i="1" s="1"/>
  <c r="H43" i="1" s="1"/>
  <c r="AI42" i="1"/>
  <c r="AK42" i="1" s="1"/>
  <c r="AD42" i="1" s="1"/>
  <c r="AB41" i="1"/>
  <c r="Z48" i="3"/>
  <c r="AA48" i="3" s="1"/>
  <c r="J48" i="3" s="1"/>
  <c r="L48" i="3" s="1"/>
  <c r="U42" i="1"/>
  <c r="P42" i="1" s="1"/>
  <c r="Q41" i="1"/>
  <c r="F41" i="1" s="1"/>
  <c r="H41" i="1" s="1"/>
  <c r="Y49" i="3"/>
  <c r="AG49" i="3" s="1"/>
  <c r="AH49" i="3" s="1"/>
  <c r="K49" i="3" s="1"/>
  <c r="R41" i="39"/>
  <c r="V41" i="39" s="1"/>
  <c r="Q41" i="39" s="1"/>
  <c r="F41" i="39" s="1"/>
  <c r="AO82" i="47"/>
  <c r="AQ82" i="47" s="1"/>
  <c r="AK39" i="39"/>
  <c r="AD39" i="39" s="1"/>
  <c r="G39" i="39" s="1"/>
  <c r="H39" i="39" s="1"/>
  <c r="B82" i="47"/>
  <c r="AM83" i="47" s="1"/>
  <c r="AN83" i="47" s="1"/>
  <c r="AB39" i="39"/>
  <c r="V40" i="39"/>
  <c r="Q40" i="39" s="1"/>
  <c r="F40" i="39" s="1"/>
  <c r="AI40" i="39"/>
  <c r="AJ40" i="39" s="1"/>
  <c r="AC40" i="39" s="1"/>
  <c r="AP81" i="47"/>
  <c r="Z85" i="60"/>
  <c r="AA85" i="60" s="1"/>
  <c r="AB85" i="60" s="1"/>
  <c r="K85" i="60" s="1"/>
  <c r="M85" i="60" s="1"/>
  <c r="S74" i="48"/>
  <c r="T74" i="48" s="1"/>
  <c r="B89" i="67"/>
  <c r="AP89" i="67"/>
  <c r="AR89" i="67" s="1"/>
  <c r="AN89" i="67"/>
  <c r="AO89" i="67" s="1"/>
  <c r="AS88" i="67"/>
  <c r="AU89" i="67" s="1"/>
  <c r="AQ88" i="67"/>
  <c r="Z45" i="49"/>
  <c r="AA45" i="49" s="1"/>
  <c r="J45" i="49" s="1"/>
  <c r="L45" i="49" s="1"/>
  <c r="AG45" i="49"/>
  <c r="AH45" i="49" s="1"/>
  <c r="Y46" i="49"/>
  <c r="AO41" i="39"/>
  <c r="AQ41" i="39"/>
  <c r="AS42" i="39" s="1"/>
  <c r="AL42" i="39"/>
  <c r="AM42" i="39" s="1"/>
  <c r="B42" i="39"/>
  <c r="AN42" i="39"/>
  <c r="AP42" i="39" s="1"/>
  <c r="V40" i="3"/>
  <c r="Q40" i="3" s="1"/>
  <c r="F40" i="3" s="1"/>
  <c r="AI40" i="3"/>
  <c r="U40" i="3"/>
  <c r="P40" i="3" s="1"/>
  <c r="AB39" i="3"/>
  <c r="R41" i="3"/>
  <c r="AJ39" i="3"/>
  <c r="AC39" i="3" s="1"/>
  <c r="AK39" i="3"/>
  <c r="AD39" i="3" s="1"/>
  <c r="G39" i="3" s="1"/>
  <c r="H39" i="3" s="1"/>
  <c r="AI84" i="60"/>
  <c r="AJ84" i="60" s="1"/>
  <c r="AL76" i="59"/>
  <c r="AE76" i="59" s="1"/>
  <c r="U41" i="49"/>
  <c r="P41" i="49" s="1"/>
  <c r="AB40" i="49"/>
  <c r="R42" i="49"/>
  <c r="AI41" i="49"/>
  <c r="V41" i="49"/>
  <c r="Q41" i="49" s="1"/>
  <c r="F41" i="49" s="1"/>
  <c r="H41" i="49" s="1"/>
  <c r="AJ40" i="49"/>
  <c r="AC40" i="49" s="1"/>
  <c r="AK39" i="50"/>
  <c r="AD39" i="50" s="1"/>
  <c r="AJ39" i="50"/>
  <c r="AC39" i="50" s="1"/>
  <c r="V40" i="50"/>
  <c r="Q40" i="50" s="1"/>
  <c r="F40" i="50" s="1"/>
  <c r="H40" i="50" s="1"/>
  <c r="R41" i="50"/>
  <c r="AB39" i="50"/>
  <c r="AI40" i="50"/>
  <c r="U40" i="50"/>
  <c r="P40" i="50" s="1"/>
  <c r="AA83" i="60"/>
  <c r="AB83" i="60" s="1"/>
  <c r="K83" i="60" s="1"/>
  <c r="M83" i="60" s="1"/>
  <c r="AA84" i="60"/>
  <c r="AB84" i="60" s="1"/>
  <c r="K84" i="60" s="1"/>
  <c r="M84" i="60" s="1"/>
  <c r="AI83" i="60"/>
  <c r="AJ83" i="60" s="1"/>
  <c r="Z46" i="51"/>
  <c r="AA46" i="51" s="1"/>
  <c r="J46" i="51" s="1"/>
  <c r="L46" i="51" s="1"/>
  <c r="Y50" i="46"/>
  <c r="Y51" i="46" s="1"/>
  <c r="Y52" i="46" s="1"/>
  <c r="Y53" i="46" s="1"/>
  <c r="Y54" i="46" s="1"/>
  <c r="Y55" i="46" s="1"/>
  <c r="Y56" i="46" s="1"/>
  <c r="Y57" i="46" s="1"/>
  <c r="Y58" i="46" s="1"/>
  <c r="Y59" i="46" s="1"/>
  <c r="Y60" i="46" s="1"/>
  <c r="Y61" i="46" s="1"/>
  <c r="Y62" i="46" s="1"/>
  <c r="Y63" i="46" s="1"/>
  <c r="Y64" i="46" s="1"/>
  <c r="Y65" i="46" s="1"/>
  <c r="Y66" i="46" s="1"/>
  <c r="Y67" i="46" s="1"/>
  <c r="Y68" i="46" s="1"/>
  <c r="Y69" i="46" s="1"/>
  <c r="Y70" i="46" s="1"/>
  <c r="Y71" i="46" s="1"/>
  <c r="Y72" i="46" s="1"/>
  <c r="Y73" i="46" s="1"/>
  <c r="Y74" i="46" s="1"/>
  <c r="Y75" i="46" s="1"/>
  <c r="Y76" i="46" s="1"/>
  <c r="Y77" i="46" s="1"/>
  <c r="Y78" i="46" s="1"/>
  <c r="Y79" i="46" s="1"/>
  <c r="Y80" i="46" s="1"/>
  <c r="Y81" i="46" s="1"/>
  <c r="Y82" i="46" s="1"/>
  <c r="Y83" i="46" s="1"/>
  <c r="Y84" i="46" s="1"/>
  <c r="Y85" i="46" s="1"/>
  <c r="AI83" i="59"/>
  <c r="AJ83" i="59" s="1"/>
  <c r="D22" i="46"/>
  <c r="AK40" i="48"/>
  <c r="AD40" i="48" s="1"/>
  <c r="V41" i="52"/>
  <c r="Q41" i="52" s="1"/>
  <c r="F41" i="52" s="1"/>
  <c r="H41" i="52" s="1"/>
  <c r="R42" i="52"/>
  <c r="U42" i="52" s="1"/>
  <c r="P42" i="52" s="1"/>
  <c r="AI41" i="52"/>
  <c r="AK41" i="52" s="1"/>
  <c r="AD41" i="52" s="1"/>
  <c r="U41" i="52"/>
  <c r="P41" i="52" s="1"/>
  <c r="AB40" i="52"/>
  <c r="V77" i="60"/>
  <c r="Q77" i="60" s="1"/>
  <c r="AC76" i="60"/>
  <c r="S78" i="60"/>
  <c r="W78" i="60" s="1"/>
  <c r="R78" i="60" s="1"/>
  <c r="G78" i="60" s="1"/>
  <c r="I78" i="60" s="1"/>
  <c r="AK77" i="60"/>
  <c r="AL77" i="60" s="1"/>
  <c r="AE77" i="60" s="1"/>
  <c r="AL42" i="52"/>
  <c r="AM42" i="52" s="1"/>
  <c r="AN42" i="52"/>
  <c r="AP42" i="52" s="1"/>
  <c r="B42" i="52"/>
  <c r="AV43" i="26"/>
  <c r="AX44" i="26" s="1"/>
  <c r="AT43" i="26"/>
  <c r="AO41" i="52"/>
  <c r="AQ41" i="52"/>
  <c r="AS42" i="52" s="1"/>
  <c r="B80" i="60"/>
  <c r="AP80" i="60"/>
  <c r="AR80" i="60" s="1"/>
  <c r="AN80" i="60"/>
  <c r="AO80" i="60" s="1"/>
  <c r="AK40" i="52"/>
  <c r="AD40" i="52" s="1"/>
  <c r="AJ40" i="52"/>
  <c r="AC40" i="52" s="1"/>
  <c r="AS44" i="26"/>
  <c r="AU44" i="26" s="1"/>
  <c r="AQ44" i="26"/>
  <c r="AR44" i="26" s="1"/>
  <c r="B44" i="26"/>
  <c r="AM76" i="60"/>
  <c r="AF76" i="60" s="1"/>
  <c r="AQ79" i="60"/>
  <c r="AS79" i="60"/>
  <c r="AU80" i="60" s="1"/>
  <c r="AQ44" i="49"/>
  <c r="AS45" i="49" s="1"/>
  <c r="AO44" i="49"/>
  <c r="B45" i="49"/>
  <c r="AN45" i="49"/>
  <c r="AP45" i="49" s="1"/>
  <c r="AL45" i="49"/>
  <c r="AM45" i="49" s="1"/>
  <c r="AL85" i="67"/>
  <c r="AE85" i="67" s="1"/>
  <c r="AS79" i="59"/>
  <c r="AU80" i="59" s="1"/>
  <c r="AQ79" i="59"/>
  <c r="AF86" i="46"/>
  <c r="AK75" i="47"/>
  <c r="AD75" i="47" s="1"/>
  <c r="AP80" i="59"/>
  <c r="AR80" i="59" s="1"/>
  <c r="AN80" i="59"/>
  <c r="AO80" i="59" s="1"/>
  <c r="B80" i="59"/>
  <c r="U41" i="48"/>
  <c r="P41" i="48" s="1"/>
  <c r="X86" i="46"/>
  <c r="L48" i="1"/>
  <c r="AK86" i="67"/>
  <c r="AM86" i="67" s="1"/>
  <c r="AC85" i="67"/>
  <c r="S87" i="67"/>
  <c r="AL44" i="50"/>
  <c r="AM44" i="50" s="1"/>
  <c r="B44" i="50"/>
  <c r="AN44" i="50"/>
  <c r="AP44" i="50" s="1"/>
  <c r="V76" i="47"/>
  <c r="Q76" i="47" s="1"/>
  <c r="F76" i="47" s="1"/>
  <c r="H76" i="47" s="1"/>
  <c r="W86" i="46"/>
  <c r="W86" i="67"/>
  <c r="U41" i="51"/>
  <c r="P41" i="51" s="1"/>
  <c r="AI41" i="51"/>
  <c r="AK41" i="51" s="1"/>
  <c r="AD41" i="51" s="1"/>
  <c r="AB40" i="51"/>
  <c r="R42" i="51"/>
  <c r="V42" i="51" s="1"/>
  <c r="Q42" i="51" s="1"/>
  <c r="F42" i="51" s="1"/>
  <c r="H42" i="51" s="1"/>
  <c r="Z44" i="50"/>
  <c r="AA44" i="50" s="1"/>
  <c r="J44" i="50" s="1"/>
  <c r="L44" i="50" s="1"/>
  <c r="Y45" i="50"/>
  <c r="Y46" i="50" s="1"/>
  <c r="AG46" i="50" s="1"/>
  <c r="AH46" i="50" s="1"/>
  <c r="AG44" i="50"/>
  <c r="AH44" i="50" s="1"/>
  <c r="AE86" i="46"/>
  <c r="AK40" i="51"/>
  <c r="AD40" i="51" s="1"/>
  <c r="AJ40" i="51"/>
  <c r="AC40" i="51" s="1"/>
  <c r="R77" i="47"/>
  <c r="AB75" i="47"/>
  <c r="AJ76" i="47"/>
  <c r="AQ43" i="50"/>
  <c r="AS44" i="50" s="1"/>
  <c r="AO43" i="50"/>
  <c r="AN38" i="26"/>
  <c r="AP38" i="26" s="1"/>
  <c r="AG38" i="26" s="1"/>
  <c r="G38" i="26" s="1"/>
  <c r="AY38" i="26"/>
  <c r="D38" i="26" s="1"/>
  <c r="R39" i="26" s="1"/>
  <c r="AE37" i="26"/>
  <c r="V38" i="26"/>
  <c r="P38" i="26" s="1"/>
  <c r="W38" i="26"/>
  <c r="Q38" i="26" s="1"/>
  <c r="F38" i="26" s="1"/>
  <c r="D46" i="61"/>
  <c r="C46" i="61" s="1"/>
  <c r="E46" i="61" s="1"/>
  <c r="AY50" i="1"/>
  <c r="AE49" i="1"/>
  <c r="AF49" i="1" s="1"/>
  <c r="W49" i="1"/>
  <c r="X49" i="1" s="1"/>
  <c r="I50" i="1"/>
  <c r="D50" i="1"/>
  <c r="AG49" i="1"/>
  <c r="AH49" i="1" s="1"/>
  <c r="Z49" i="1"/>
  <c r="AA49" i="1" s="1"/>
  <c r="J49" i="1" s="1"/>
  <c r="AQ43" i="48"/>
  <c r="AS44" i="48" s="1"/>
  <c r="AO43" i="48"/>
  <c r="V47" i="55"/>
  <c r="Q47" i="55" s="1"/>
  <c r="U47" i="55"/>
  <c r="P47" i="55" s="1"/>
  <c r="AN48" i="55"/>
  <c r="AP48" i="55" s="1"/>
  <c r="AL48" i="55"/>
  <c r="AM48" i="55" s="1"/>
  <c r="W47" i="55"/>
  <c r="AJ47" i="55"/>
  <c r="AC47" i="55" s="1"/>
  <c r="AY48" i="55"/>
  <c r="I48" i="55"/>
  <c r="D48" i="55"/>
  <c r="S48" i="55" s="1"/>
  <c r="T48" i="55" s="1"/>
  <c r="Z47" i="55"/>
  <c r="AA47" i="55" s="1"/>
  <c r="J47" i="55" s="1"/>
  <c r="L47" i="55" s="1"/>
  <c r="F48" i="55"/>
  <c r="R48" i="55"/>
  <c r="AG47" i="55"/>
  <c r="AH47" i="55" s="1"/>
  <c r="AK47" i="55"/>
  <c r="AD47" i="55" s="1"/>
  <c r="B48" i="55"/>
  <c r="AE47" i="55"/>
  <c r="AQ43" i="51"/>
  <c r="AS44" i="51" s="1"/>
  <c r="AO43" i="51"/>
  <c r="AL46" i="41"/>
  <c r="AM46" i="41" s="1"/>
  <c r="AN46" i="41"/>
  <c r="AP46" i="41" s="1"/>
  <c r="L82" i="47"/>
  <c r="AH82" i="47"/>
  <c r="AI82" i="47" s="1"/>
  <c r="AJ43" i="57"/>
  <c r="AC43" i="57" s="1"/>
  <c r="V77" i="59"/>
  <c r="Q77" i="59" s="1"/>
  <c r="AC88" i="68"/>
  <c r="AK89" i="68"/>
  <c r="S90" i="68"/>
  <c r="AL89" i="68"/>
  <c r="AE89" i="68" s="1"/>
  <c r="AG49" i="57"/>
  <c r="AH49" i="57" s="1"/>
  <c r="Q49" i="46"/>
  <c r="Q86" i="46" s="1"/>
  <c r="V86" i="46"/>
  <c r="L49" i="46"/>
  <c r="H50" i="46"/>
  <c r="S50" i="46"/>
  <c r="T50" i="46" s="1"/>
  <c r="D48" i="39"/>
  <c r="X47" i="39"/>
  <c r="AH48" i="26"/>
  <c r="AI48" i="26"/>
  <c r="AL48" i="26" s="1"/>
  <c r="K48" i="26" s="1"/>
  <c r="BD49" i="26"/>
  <c r="AB48" i="26"/>
  <c r="AC48" i="26" s="1"/>
  <c r="J48" i="26" s="1"/>
  <c r="Z48" i="26"/>
  <c r="I49" i="1"/>
  <c r="AR82" i="47"/>
  <c r="AT83" i="47" s="1"/>
  <c r="M83" i="59"/>
  <c r="N85" i="59"/>
  <c r="P84" i="59"/>
  <c r="Z84" i="59"/>
  <c r="O85" i="59"/>
  <c r="AO43" i="1"/>
  <c r="AQ43" i="1"/>
  <c r="AS44" i="1" s="1"/>
  <c r="Y49" i="39"/>
  <c r="AG49" i="39" s="1"/>
  <c r="AH49" i="39" s="1"/>
  <c r="K49" i="39" s="1"/>
  <c r="AO43" i="3"/>
  <c r="AQ43" i="3"/>
  <c r="AS44" i="3" s="1"/>
  <c r="W89" i="68"/>
  <c r="R89" i="68" s="1"/>
  <c r="G89" i="68" s="1"/>
  <c r="I89" i="68" s="1"/>
  <c r="AG48" i="57"/>
  <c r="AH48" i="57" s="1"/>
  <c r="D50" i="57"/>
  <c r="D22" i="57" s="1"/>
  <c r="I47" i="52"/>
  <c r="Y48" i="52" s="1"/>
  <c r="AE47" i="52"/>
  <c r="AY48" i="52"/>
  <c r="W47" i="52"/>
  <c r="D47" i="52"/>
  <c r="AG47" i="52"/>
  <c r="AH47" i="52" s="1"/>
  <c r="Z47" i="52"/>
  <c r="AA47" i="52" s="1"/>
  <c r="J47" i="52" s="1"/>
  <c r="AB49" i="46"/>
  <c r="AI49" i="46"/>
  <c r="AI86" i="46" s="1"/>
  <c r="AB48" i="46"/>
  <c r="R86" i="46"/>
  <c r="AD49" i="46"/>
  <c r="AD86" i="46" s="1"/>
  <c r="AK86" i="46"/>
  <c r="AC49" i="46"/>
  <c r="AC86" i="46" s="1"/>
  <c r="AJ86" i="46"/>
  <c r="S49" i="46"/>
  <c r="T49" i="46" s="1"/>
  <c r="H49" i="46"/>
  <c r="S47" i="39"/>
  <c r="T47" i="39" s="1"/>
  <c r="BF49" i="26"/>
  <c r="AA49" i="26"/>
  <c r="O49" i="26"/>
  <c r="S49" i="26"/>
  <c r="N54" i="26"/>
  <c r="AO45" i="41"/>
  <c r="AQ45" i="41"/>
  <c r="AS46" i="41" s="1"/>
  <c r="Z51" i="48"/>
  <c r="AA51" i="48" s="1"/>
  <c r="J51" i="48" s="1"/>
  <c r="L51" i="48" s="1"/>
  <c r="X48" i="1"/>
  <c r="M48" i="51"/>
  <c r="O47" i="51"/>
  <c r="Y47" i="51"/>
  <c r="N48" i="51"/>
  <c r="AI44" i="57"/>
  <c r="AK44" i="57" s="1"/>
  <c r="AD44" i="57" s="1"/>
  <c r="R45" i="57"/>
  <c r="AB43" i="57"/>
  <c r="D48" i="45"/>
  <c r="AY48" i="45"/>
  <c r="AJ47" i="45"/>
  <c r="AC47" i="45" s="1"/>
  <c r="AK47" i="45"/>
  <c r="AD47" i="45" s="1"/>
  <c r="AN48" i="45"/>
  <c r="AP48" i="45" s="1"/>
  <c r="V47" i="45"/>
  <c r="Q47" i="45" s="1"/>
  <c r="U47" i="45"/>
  <c r="P47" i="45" s="1"/>
  <c r="AL48" i="45"/>
  <c r="AM48" i="45" s="1"/>
  <c r="F48" i="45"/>
  <c r="AE47" i="45"/>
  <c r="W47" i="45"/>
  <c r="R48" i="45"/>
  <c r="B48" i="45"/>
  <c r="I48" i="45"/>
  <c r="AG47" i="45"/>
  <c r="AH47" i="45" s="1"/>
  <c r="Z47" i="45"/>
  <c r="AA47" i="45" s="1"/>
  <c r="J47" i="45" s="1"/>
  <c r="L47" i="45" s="1"/>
  <c r="B60" i="61"/>
  <c r="U44" i="57"/>
  <c r="P44" i="57" s="1"/>
  <c r="O48" i="45"/>
  <c r="N49" i="45"/>
  <c r="Y48" i="45"/>
  <c r="AP37" i="26"/>
  <c r="AG37" i="26" s="1"/>
  <c r="G37" i="26" s="1"/>
  <c r="L37" i="26" s="1"/>
  <c r="AO37" i="26"/>
  <c r="AF37" i="26" s="1"/>
  <c r="AN44" i="48"/>
  <c r="AP44" i="48" s="1"/>
  <c r="B44" i="48"/>
  <c r="AL44" i="48"/>
  <c r="AM44" i="48" s="1"/>
  <c r="O48" i="55"/>
  <c r="N49" i="55"/>
  <c r="Y48" i="55"/>
  <c r="Y46" i="41"/>
  <c r="AG46" i="41" s="1"/>
  <c r="AH46" i="41" s="1"/>
  <c r="M47" i="41"/>
  <c r="J46" i="41"/>
  <c r="K46" i="41"/>
  <c r="S46" i="41"/>
  <c r="T46" i="41" s="1"/>
  <c r="O46" i="41"/>
  <c r="B46" i="41" s="1"/>
  <c r="V89" i="68"/>
  <c r="Q89" i="68" s="1"/>
  <c r="Z48" i="57"/>
  <c r="AA48" i="57" s="1"/>
  <c r="J48" i="57" s="1"/>
  <c r="L48" i="57" s="1"/>
  <c r="S49" i="57"/>
  <c r="T49" i="57" s="1"/>
  <c r="O48" i="52"/>
  <c r="N49" i="52"/>
  <c r="I48" i="52" s="1"/>
  <c r="F22" i="46"/>
  <c r="H10" i="46" s="1"/>
  <c r="P49" i="46"/>
  <c r="P86" i="46" s="1"/>
  <c r="U86" i="46"/>
  <c r="AF47" i="39"/>
  <c r="AF48" i="1"/>
  <c r="Z95" i="68"/>
  <c r="AI95" i="68" s="1"/>
  <c r="AJ95" i="68" s="1"/>
  <c r="AL44" i="1"/>
  <c r="AM44" i="1" s="1"/>
  <c r="B44" i="1"/>
  <c r="AN44" i="1"/>
  <c r="AP44" i="1" s="1"/>
  <c r="AB40" i="48"/>
  <c r="AI41" i="48"/>
  <c r="R42" i="48"/>
  <c r="V42" i="48" s="1"/>
  <c r="Q42" i="48" s="1"/>
  <c r="F42" i="48" s="1"/>
  <c r="H42" i="48" s="1"/>
  <c r="B44" i="51"/>
  <c r="AN44" i="51"/>
  <c r="AP44" i="51" s="1"/>
  <c r="AL44" i="51"/>
  <c r="AM44" i="51" s="1"/>
  <c r="AY49" i="39"/>
  <c r="AE48" i="39"/>
  <c r="AF48" i="39" s="1"/>
  <c r="I49" i="39"/>
  <c r="W48" i="39"/>
  <c r="X48" i="39" s="1"/>
  <c r="D49" i="39"/>
  <c r="AG48" i="39"/>
  <c r="AH48" i="39" s="1"/>
  <c r="K48" i="39" s="1"/>
  <c r="Z48" i="39"/>
  <c r="AA48" i="39" s="1"/>
  <c r="J48" i="39" s="1"/>
  <c r="AB46" i="41"/>
  <c r="AI47" i="41"/>
  <c r="B44" i="3"/>
  <c r="AL44" i="3"/>
  <c r="AM44" i="3" s="1"/>
  <c r="AN44" i="3"/>
  <c r="AP44" i="3" s="1"/>
  <c r="M84" i="47"/>
  <c r="O83" i="47"/>
  <c r="S83" i="47"/>
  <c r="T83" i="47" s="1"/>
  <c r="I83" i="47"/>
  <c r="Y83" i="47"/>
  <c r="Z83" i="47" s="1"/>
  <c r="AA83" i="47" s="1"/>
  <c r="J83" i="47" s="1"/>
  <c r="AK77" i="59"/>
  <c r="AL77" i="59" s="1"/>
  <c r="AE77" i="59" s="1"/>
  <c r="AC76" i="59"/>
  <c r="S78" i="59"/>
  <c r="W78" i="59" s="1"/>
  <c r="R78" i="59" s="1"/>
  <c r="G78" i="59" s="1"/>
  <c r="I78" i="59" s="1"/>
  <c r="Z49" i="57"/>
  <c r="AA49" i="57" s="1"/>
  <c r="J49" i="57" s="1"/>
  <c r="L49" i="57" s="1"/>
  <c r="L21" i="57" s="1"/>
  <c r="AQ49" i="46"/>
  <c r="AS50" i="46" s="1"/>
  <c r="AO49" i="46"/>
  <c r="L47" i="39"/>
  <c r="O47" i="50"/>
  <c r="M48" i="50"/>
  <c r="N48" i="50"/>
  <c r="Y52" i="48"/>
  <c r="AG52" i="48" s="1"/>
  <c r="AH52" i="48" s="1"/>
  <c r="S48" i="1"/>
  <c r="T48" i="1" s="1"/>
  <c r="D49" i="1"/>
  <c r="AS92" i="68" l="1"/>
  <c r="AU93" i="68" s="1"/>
  <c r="AQ92" i="68"/>
  <c r="AP93" i="68"/>
  <c r="AR93" i="68" s="1"/>
  <c r="B93" i="68"/>
  <c r="AN93" i="68"/>
  <c r="AO93" i="68" s="1"/>
  <c r="M91" i="67"/>
  <c r="AQ46" i="57"/>
  <c r="AS47" i="57" s="1"/>
  <c r="AO46" i="57"/>
  <c r="Z46" i="41"/>
  <c r="AA46" i="41" s="1"/>
  <c r="AI91" i="67"/>
  <c r="AJ91" i="67" s="1"/>
  <c r="AL47" i="57"/>
  <c r="AM47" i="57" s="1"/>
  <c r="AN47" i="57"/>
  <c r="AP47" i="57" s="1"/>
  <c r="B47" i="57"/>
  <c r="O93" i="67"/>
  <c r="N93" i="67"/>
  <c r="P92" i="67"/>
  <c r="Z92" i="67"/>
  <c r="T92" i="67"/>
  <c r="U92" i="67" s="1"/>
  <c r="AI43" i="1"/>
  <c r="AK43" i="1" s="1"/>
  <c r="AD43" i="1" s="1"/>
  <c r="AB42" i="1"/>
  <c r="R44" i="1"/>
  <c r="V44" i="1" s="1"/>
  <c r="V43" i="1"/>
  <c r="P43" i="1"/>
  <c r="Z49" i="3"/>
  <c r="AA49" i="3" s="1"/>
  <c r="J49" i="3" s="1"/>
  <c r="L49" i="3" s="1"/>
  <c r="Y50" i="3"/>
  <c r="AG50" i="3" s="1"/>
  <c r="AH50" i="3" s="1"/>
  <c r="K50" i="3" s="1"/>
  <c r="AJ42" i="1"/>
  <c r="AC42" i="1" s="1"/>
  <c r="Q42" i="1"/>
  <c r="F42" i="1" s="1"/>
  <c r="H42" i="1" s="1"/>
  <c r="AO83" i="47"/>
  <c r="AQ83" i="47" s="1"/>
  <c r="AI41" i="39"/>
  <c r="AJ41" i="39" s="1"/>
  <c r="AC41" i="39" s="1"/>
  <c r="AP82" i="47"/>
  <c r="AB40" i="39"/>
  <c r="B83" i="47"/>
  <c r="AO84" i="47" s="1"/>
  <c r="AQ84" i="47" s="1"/>
  <c r="R42" i="39"/>
  <c r="V42" i="39" s="1"/>
  <c r="Q42" i="39" s="1"/>
  <c r="F42" i="39" s="1"/>
  <c r="U41" i="39"/>
  <c r="P41" i="39" s="1"/>
  <c r="AK40" i="39"/>
  <c r="AD40" i="39" s="1"/>
  <c r="G40" i="39" s="1"/>
  <c r="H40" i="39" s="1"/>
  <c r="Z86" i="60"/>
  <c r="Z87" i="60" s="1"/>
  <c r="Z88" i="60" s="1"/>
  <c r="Z89" i="60" s="1"/>
  <c r="Z90" i="60" s="1"/>
  <c r="Z91" i="60" s="1"/>
  <c r="Z92" i="60" s="1"/>
  <c r="Z93" i="60" s="1"/>
  <c r="Z94" i="60" s="1"/>
  <c r="Z95" i="60" s="1"/>
  <c r="Z96" i="60" s="1"/>
  <c r="Z97" i="60" s="1"/>
  <c r="Z98" i="60" s="1"/>
  <c r="Z99" i="60" s="1"/>
  <c r="Z100" i="60" s="1"/>
  <c r="Z101" i="60" s="1"/>
  <c r="Z102" i="60" s="1"/>
  <c r="Z103" i="60" s="1"/>
  <c r="Z104" i="60" s="1"/>
  <c r="Z105" i="60" s="1"/>
  <c r="Z106" i="60" s="1"/>
  <c r="Z107" i="60" s="1"/>
  <c r="Z108" i="60" s="1"/>
  <c r="Z109" i="60" s="1"/>
  <c r="Z110" i="60" s="1"/>
  <c r="Z111" i="60" s="1"/>
  <c r="Z112" i="60" s="1"/>
  <c r="Z113" i="60" s="1"/>
  <c r="Z114" i="60" s="1"/>
  <c r="Z115" i="60" s="1"/>
  <c r="Z116" i="60" s="1"/>
  <c r="Z117" i="60" s="1"/>
  <c r="Z118" i="60" s="1"/>
  <c r="Z119" i="60" s="1"/>
  <c r="Z120" i="60" s="1"/>
  <c r="Z121" i="60" s="1"/>
  <c r="AI85" i="60"/>
  <c r="AJ85" i="60" s="1"/>
  <c r="AQ89" i="67"/>
  <c r="AS89" i="67"/>
  <c r="AU90" i="67" s="1"/>
  <c r="AP90" i="67"/>
  <c r="AR90" i="67" s="1"/>
  <c r="AN90" i="67"/>
  <c r="AO90" i="67" s="1"/>
  <c r="B90" i="67"/>
  <c r="V87" i="67"/>
  <c r="Q87" i="67" s="1"/>
  <c r="Z46" i="49"/>
  <c r="AA46" i="49" s="1"/>
  <c r="J46" i="49" s="1"/>
  <c r="L46" i="49" s="1"/>
  <c r="AG46" i="49"/>
  <c r="AH46" i="49" s="1"/>
  <c r="Y47" i="49"/>
  <c r="AJ41" i="51"/>
  <c r="AC41" i="51" s="1"/>
  <c r="AN43" i="39"/>
  <c r="AP43" i="39" s="1"/>
  <c r="B43" i="39"/>
  <c r="AL43" i="39"/>
  <c r="AM43" i="39" s="1"/>
  <c r="AO42" i="39"/>
  <c r="AQ42" i="39"/>
  <c r="AS43" i="39" s="1"/>
  <c r="AJ41" i="52"/>
  <c r="AC41" i="52" s="1"/>
  <c r="AL86" i="67"/>
  <c r="AE86" i="67" s="1"/>
  <c r="AJ40" i="3"/>
  <c r="AC40" i="3" s="1"/>
  <c r="AK40" i="3"/>
  <c r="AD40" i="3" s="1"/>
  <c r="G40" i="3" s="1"/>
  <c r="H40" i="3" s="1"/>
  <c r="V41" i="3"/>
  <c r="Q41" i="3" s="1"/>
  <c r="F41" i="3" s="1"/>
  <c r="AB40" i="3"/>
  <c r="AI41" i="3"/>
  <c r="U41" i="3"/>
  <c r="P41" i="3" s="1"/>
  <c r="R42" i="3"/>
  <c r="M122" i="60"/>
  <c r="K122" i="60"/>
  <c r="Y47" i="50"/>
  <c r="Z47" i="50" s="1"/>
  <c r="AA47" i="50" s="1"/>
  <c r="J47" i="50" s="1"/>
  <c r="Z46" i="50"/>
  <c r="AA46" i="50" s="1"/>
  <c r="J46" i="50" s="1"/>
  <c r="L46" i="50" s="1"/>
  <c r="V42" i="49"/>
  <c r="Q42" i="49" s="1"/>
  <c r="F42" i="49" s="1"/>
  <c r="H42" i="49" s="1"/>
  <c r="U42" i="49"/>
  <c r="P42" i="49" s="1"/>
  <c r="AI42" i="49"/>
  <c r="AB41" i="49"/>
  <c r="R43" i="49"/>
  <c r="AK41" i="49"/>
  <c r="AD41" i="49" s="1"/>
  <c r="AJ41" i="49"/>
  <c r="AC41" i="49" s="1"/>
  <c r="AK40" i="50"/>
  <c r="AD40" i="50" s="1"/>
  <c r="AJ40" i="50"/>
  <c r="AC40" i="50" s="1"/>
  <c r="V41" i="50"/>
  <c r="Q41" i="50" s="1"/>
  <c r="F41" i="50" s="1"/>
  <c r="H41" i="50" s="1"/>
  <c r="AB40" i="50"/>
  <c r="AI41" i="50"/>
  <c r="R42" i="50"/>
  <c r="U41" i="50"/>
  <c r="P41" i="50" s="1"/>
  <c r="AO38" i="26"/>
  <c r="AF38" i="26" s="1"/>
  <c r="L49" i="1"/>
  <c r="H37" i="26"/>
  <c r="L48" i="39"/>
  <c r="AM77" i="60"/>
  <c r="AF77" i="60" s="1"/>
  <c r="AE87" i="1"/>
  <c r="AT44" i="26"/>
  <c r="AV44" i="26"/>
  <c r="AX45" i="26" s="1"/>
  <c r="B43" i="52"/>
  <c r="AL43" i="52"/>
  <c r="AM43" i="52" s="1"/>
  <c r="AN43" i="52"/>
  <c r="AP43" i="52" s="1"/>
  <c r="V42" i="52"/>
  <c r="Q42" i="52" s="1"/>
  <c r="F42" i="52" s="1"/>
  <c r="H42" i="52" s="1"/>
  <c r="R43" i="52"/>
  <c r="AI42" i="52"/>
  <c r="AB41" i="52"/>
  <c r="AF87" i="1"/>
  <c r="Z49" i="39"/>
  <c r="AA49" i="39" s="1"/>
  <c r="J49" i="39" s="1"/>
  <c r="L49" i="39" s="1"/>
  <c r="AQ80" i="60"/>
  <c r="AS80" i="60"/>
  <c r="AU81" i="60" s="1"/>
  <c r="V78" i="60"/>
  <c r="Q78" i="60" s="1"/>
  <c r="AC77" i="60"/>
  <c r="AK78" i="60"/>
  <c r="S79" i="60"/>
  <c r="V79" i="60" s="1"/>
  <c r="Q79" i="60" s="1"/>
  <c r="AQ42" i="52"/>
  <c r="AS43" i="52" s="1"/>
  <c r="AO42" i="52"/>
  <c r="Y49" i="55"/>
  <c r="AS45" i="26"/>
  <c r="AU45" i="26" s="1"/>
  <c r="AQ45" i="26"/>
  <c r="AR45" i="26" s="1"/>
  <c r="B45" i="26"/>
  <c r="AP81" i="60"/>
  <c r="AR81" i="60" s="1"/>
  <c r="B81" i="60"/>
  <c r="AN81" i="60"/>
  <c r="AO81" i="60" s="1"/>
  <c r="AQ45" i="49"/>
  <c r="AS46" i="49" s="1"/>
  <c r="AO45" i="49"/>
  <c r="AL46" i="49"/>
  <c r="AM46" i="49" s="1"/>
  <c r="B46" i="49"/>
  <c r="AN46" i="49"/>
  <c r="AP46" i="49" s="1"/>
  <c r="AS80" i="59"/>
  <c r="AU81" i="59" s="1"/>
  <c r="AQ80" i="59"/>
  <c r="AP81" i="59"/>
  <c r="AR81" i="59" s="1"/>
  <c r="B81" i="59"/>
  <c r="AN81" i="59"/>
  <c r="AO81" i="59" s="1"/>
  <c r="AE86" i="39"/>
  <c r="AL76" i="47"/>
  <c r="AE76" i="47" s="1"/>
  <c r="AB76" i="47"/>
  <c r="AJ77" i="47"/>
  <c r="AK77" i="47" s="1"/>
  <c r="AD77" i="47" s="1"/>
  <c r="R78" i="47"/>
  <c r="V78" i="47" s="1"/>
  <c r="Q78" i="47" s="1"/>
  <c r="F78" i="47" s="1"/>
  <c r="H78" i="47" s="1"/>
  <c r="B45" i="50"/>
  <c r="AL45" i="50"/>
  <c r="AM45" i="50" s="1"/>
  <c r="AN45" i="50"/>
  <c r="AP45" i="50" s="1"/>
  <c r="AF86" i="39"/>
  <c r="L47" i="52"/>
  <c r="AF86" i="67"/>
  <c r="V77" i="47"/>
  <c r="Q77" i="47" s="1"/>
  <c r="F77" i="47" s="1"/>
  <c r="H77" i="47" s="1"/>
  <c r="Z45" i="50"/>
  <c r="AA45" i="50" s="1"/>
  <c r="J45" i="50" s="1"/>
  <c r="L45" i="50" s="1"/>
  <c r="R86" i="67"/>
  <c r="AK76" i="47"/>
  <c r="AD76" i="47" s="1"/>
  <c r="AO44" i="50"/>
  <c r="AQ44" i="50"/>
  <c r="AS45" i="50" s="1"/>
  <c r="AJ43" i="1"/>
  <c r="AC43" i="1" s="1"/>
  <c r="Q86" i="67"/>
  <c r="AK87" i="67"/>
  <c r="AC86" i="67"/>
  <c r="S88" i="67"/>
  <c r="H22" i="46"/>
  <c r="U77" i="47"/>
  <c r="P77" i="47" s="1"/>
  <c r="AG45" i="50"/>
  <c r="AH45" i="50" s="1"/>
  <c r="R43" i="51"/>
  <c r="U43" i="51" s="1"/>
  <c r="P43" i="51" s="1"/>
  <c r="AB41" i="51"/>
  <c r="AI42" i="51"/>
  <c r="AJ42" i="51" s="1"/>
  <c r="AC42" i="51" s="1"/>
  <c r="U42" i="51"/>
  <c r="P42" i="51" s="1"/>
  <c r="W87" i="67"/>
  <c r="R87" i="67" s="1"/>
  <c r="AE38" i="26"/>
  <c r="AY39" i="26"/>
  <c r="D39" i="26" s="1"/>
  <c r="R40" i="26" s="1"/>
  <c r="AN39" i="26"/>
  <c r="AP39" i="26" s="1"/>
  <c r="AG39" i="26" s="1"/>
  <c r="G39" i="26" s="1"/>
  <c r="V39" i="26"/>
  <c r="P39" i="26" s="1"/>
  <c r="W39" i="26"/>
  <c r="Q39" i="26" s="1"/>
  <c r="F39" i="26" s="1"/>
  <c r="AL47" i="41"/>
  <c r="AM47" i="41" s="1"/>
  <c r="AN47" i="41"/>
  <c r="AP47" i="41" s="1"/>
  <c r="AH83" i="47"/>
  <c r="AI83" i="47" s="1"/>
  <c r="H48" i="45"/>
  <c r="AI45" i="57"/>
  <c r="AB44" i="57"/>
  <c r="R46" i="57"/>
  <c r="O48" i="51"/>
  <c r="N49" i="51"/>
  <c r="D48" i="51" s="1"/>
  <c r="BA85" i="59"/>
  <c r="X84" i="59"/>
  <c r="AG84" i="59"/>
  <c r="AI84" i="59"/>
  <c r="AJ84" i="59" s="1"/>
  <c r="AA84" i="59"/>
  <c r="AB84" i="59" s="1"/>
  <c r="K84" i="59" s="1"/>
  <c r="J84" i="59"/>
  <c r="Z85" i="59" s="1"/>
  <c r="D84" i="59"/>
  <c r="P85" i="59"/>
  <c r="O86" i="59"/>
  <c r="J85" i="59" s="1"/>
  <c r="AC89" i="68"/>
  <c r="AK90" i="68"/>
  <c r="S91" i="68"/>
  <c r="W91" i="68" s="1"/>
  <c r="R91" i="68" s="1"/>
  <c r="G91" i="68" s="1"/>
  <c r="I91" i="68" s="1"/>
  <c r="AI48" i="55"/>
  <c r="AB47" i="55"/>
  <c r="AQ48" i="55"/>
  <c r="AS49" i="55" s="1"/>
  <c r="AO48" i="55"/>
  <c r="AO44" i="3"/>
  <c r="AQ44" i="3"/>
  <c r="AS45" i="3" s="1"/>
  <c r="V78" i="59"/>
  <c r="Q78" i="59" s="1"/>
  <c r="U42" i="48"/>
  <c r="P42" i="48" s="1"/>
  <c r="W47" i="51"/>
  <c r="AY48" i="51"/>
  <c r="AE47" i="51"/>
  <c r="AG47" i="51"/>
  <c r="AH47" i="51" s="1"/>
  <c r="Z47" i="51"/>
  <c r="AA47" i="51" s="1"/>
  <c r="J47" i="51" s="1"/>
  <c r="D47" i="51"/>
  <c r="I47" i="51"/>
  <c r="BD54" i="26"/>
  <c r="AB49" i="26"/>
  <c r="AC49" i="26" s="1"/>
  <c r="J49" i="26" s="1"/>
  <c r="AH49" i="26"/>
  <c r="AM49" i="26" s="1"/>
  <c r="AI49" i="26"/>
  <c r="AL49" i="26" s="1"/>
  <c r="K49" i="26" s="1"/>
  <c r="Z49" i="26"/>
  <c r="AD49" i="26" s="1"/>
  <c r="V90" i="68"/>
  <c r="Q90" i="68" s="1"/>
  <c r="AF47" i="55"/>
  <c r="AY48" i="50"/>
  <c r="AE47" i="50"/>
  <c r="W47" i="50"/>
  <c r="D47" i="50"/>
  <c r="I47" i="50"/>
  <c r="AL45" i="1"/>
  <c r="AM45" i="1" s="1"/>
  <c r="AN45" i="1"/>
  <c r="AP45" i="1" s="1"/>
  <c r="B45" i="1"/>
  <c r="AA95" i="68"/>
  <c r="AB95" i="68" s="1"/>
  <c r="K95" i="68" s="1"/>
  <c r="M95" i="68" s="1"/>
  <c r="L46" i="41"/>
  <c r="Y50" i="1"/>
  <c r="AI48" i="45"/>
  <c r="AB47" i="45"/>
  <c r="AQ48" i="45"/>
  <c r="AS49" i="45" s="1"/>
  <c r="AO48" i="45"/>
  <c r="AJ45" i="57"/>
  <c r="AC45" i="57" s="1"/>
  <c r="AK45" i="57"/>
  <c r="AD45" i="57" s="1"/>
  <c r="AJ44" i="57"/>
  <c r="AC44" i="57" s="1"/>
  <c r="T49" i="26"/>
  <c r="U49" i="26" s="1"/>
  <c r="I49" i="26" s="1"/>
  <c r="S54" i="26" s="1"/>
  <c r="I54" i="26" s="1"/>
  <c r="D73" i="39"/>
  <c r="D74" i="39" s="1"/>
  <c r="X47" i="52"/>
  <c r="Y50" i="39"/>
  <c r="S48" i="39"/>
  <c r="T48" i="39" s="1"/>
  <c r="AL90" i="68"/>
  <c r="AE90" i="68" s="1"/>
  <c r="AM90" i="68"/>
  <c r="AF90" i="68" s="1"/>
  <c r="L46" i="61"/>
  <c r="AR83" i="47"/>
  <c r="AT84" i="47" s="1"/>
  <c r="Y53" i="48"/>
  <c r="Z53" i="48" s="1"/>
  <c r="AA53" i="48" s="1"/>
  <c r="J53" i="48" s="1"/>
  <c r="L53" i="48" s="1"/>
  <c r="M85" i="47"/>
  <c r="O84" i="47"/>
  <c r="N85" i="47"/>
  <c r="Y84" i="47"/>
  <c r="S49" i="1"/>
  <c r="T49" i="1" s="1"/>
  <c r="L83" i="47"/>
  <c r="AN45" i="3"/>
  <c r="AP45" i="3" s="1"/>
  <c r="AL45" i="3"/>
  <c r="AM45" i="3" s="1"/>
  <c r="B45" i="3"/>
  <c r="AQ44" i="51"/>
  <c r="AS45" i="51" s="1"/>
  <c r="AO44" i="51"/>
  <c r="Y49" i="52"/>
  <c r="AG49" i="52" s="1"/>
  <c r="AH49" i="52" s="1"/>
  <c r="V49" i="45"/>
  <c r="U49" i="45"/>
  <c r="W49" i="45"/>
  <c r="X49" i="45" s="1"/>
  <c r="AN49" i="45"/>
  <c r="AP49" i="45" s="1"/>
  <c r="AL49" i="45"/>
  <c r="AM49" i="45" s="1"/>
  <c r="AG48" i="45"/>
  <c r="AH48" i="45" s="1"/>
  <c r="AE48" i="45"/>
  <c r="AF48" i="45" s="1"/>
  <c r="AG49" i="45"/>
  <c r="AH49" i="45" s="1"/>
  <c r="F50" i="45"/>
  <c r="AK48" i="45"/>
  <c r="AD48" i="45" s="1"/>
  <c r="W48" i="45"/>
  <c r="X48" i="45" s="1"/>
  <c r="F49" i="45"/>
  <c r="AE49" i="45"/>
  <c r="AF49" i="45" s="1"/>
  <c r="AJ49" i="45"/>
  <c r="AK49" i="45"/>
  <c r="B50" i="45"/>
  <c r="D50" i="45"/>
  <c r="Z49" i="45"/>
  <c r="AA49" i="45" s="1"/>
  <c r="J49" i="45" s="1"/>
  <c r="R49" i="45"/>
  <c r="I49" i="45"/>
  <c r="B49" i="45"/>
  <c r="U48" i="45"/>
  <c r="P48" i="45" s="1"/>
  <c r="V48" i="45"/>
  <c r="Q48" i="45" s="1"/>
  <c r="AY49" i="45"/>
  <c r="AJ48" i="45"/>
  <c r="AC48" i="45" s="1"/>
  <c r="Z48" i="45"/>
  <c r="AA48" i="45" s="1"/>
  <c r="J48" i="45" s="1"/>
  <c r="L48" i="45" s="1"/>
  <c r="D49" i="45"/>
  <c r="X86" i="39"/>
  <c r="D74" i="1"/>
  <c r="D75" i="1" s="1"/>
  <c r="Z52" i="48"/>
  <c r="AA52" i="48" s="1"/>
  <c r="J52" i="48" s="1"/>
  <c r="L52" i="48" s="1"/>
  <c r="AL45" i="51"/>
  <c r="AM45" i="51" s="1"/>
  <c r="B45" i="51"/>
  <c r="AN45" i="51"/>
  <c r="AP45" i="51" s="1"/>
  <c r="AO44" i="1"/>
  <c r="AQ44" i="1"/>
  <c r="AS45" i="1" s="1"/>
  <c r="AE48" i="52"/>
  <c r="AF48" i="52" s="1"/>
  <c r="I49" i="52"/>
  <c r="W48" i="52"/>
  <c r="X48" i="52" s="1"/>
  <c r="AY49" i="52"/>
  <c r="D49" i="52"/>
  <c r="Z48" i="52"/>
  <c r="AA48" i="52" s="1"/>
  <c r="J48" i="52" s="1"/>
  <c r="L48" i="52" s="1"/>
  <c r="AG48" i="52"/>
  <c r="AH48" i="52" s="1"/>
  <c r="O47" i="41"/>
  <c r="N48" i="41"/>
  <c r="M48" i="41"/>
  <c r="Y47" i="41"/>
  <c r="B47" i="41"/>
  <c r="AL49" i="55"/>
  <c r="AM49" i="55" s="1"/>
  <c r="D49" i="55"/>
  <c r="V48" i="55"/>
  <c r="Q48" i="55" s="1"/>
  <c r="AG49" i="55"/>
  <c r="AH49" i="55" s="1"/>
  <c r="F50" i="55"/>
  <c r="R49" i="55"/>
  <c r="U48" i="55"/>
  <c r="P48" i="55" s="1"/>
  <c r="AN49" i="55"/>
  <c r="AP49" i="55" s="1"/>
  <c r="Z49" i="55"/>
  <c r="AA49" i="55" s="1"/>
  <c r="J49" i="55" s="1"/>
  <c r="AJ49" i="55"/>
  <c r="B49" i="55"/>
  <c r="AE48" i="55"/>
  <c r="AF48" i="55" s="1"/>
  <c r="W48" i="55"/>
  <c r="X48" i="55" s="1"/>
  <c r="AJ48" i="55"/>
  <c r="AC48" i="55" s="1"/>
  <c r="I49" i="55"/>
  <c r="B50" i="55"/>
  <c r="AE49" i="55"/>
  <c r="AF49" i="55" s="1"/>
  <c r="W49" i="55"/>
  <c r="X49" i="55" s="1"/>
  <c r="AG48" i="55"/>
  <c r="AH48" i="55" s="1"/>
  <c r="AK48" i="55"/>
  <c r="AD48" i="55" s="1"/>
  <c r="Z48" i="55"/>
  <c r="AA48" i="55" s="1"/>
  <c r="J48" i="55" s="1"/>
  <c r="L48" i="55" s="1"/>
  <c r="U49" i="55"/>
  <c r="V49" i="55"/>
  <c r="F49" i="55"/>
  <c r="D50" i="55"/>
  <c r="AY49" i="55"/>
  <c r="AK49" i="55"/>
  <c r="AQ44" i="48"/>
  <c r="AS45" i="48" s="1"/>
  <c r="AO44" i="48"/>
  <c r="Y49" i="45"/>
  <c r="B61" i="61"/>
  <c r="X47" i="45"/>
  <c r="U45" i="57"/>
  <c r="P45" i="57" s="1"/>
  <c r="W87" i="1"/>
  <c r="AB86" i="46"/>
  <c r="D48" i="52"/>
  <c r="AJ41" i="48"/>
  <c r="AC41" i="48" s="1"/>
  <c r="AD48" i="26"/>
  <c r="AM48" i="26"/>
  <c r="AM89" i="68"/>
  <c r="AF89" i="68" s="1"/>
  <c r="W90" i="68"/>
  <c r="R90" i="68" s="1"/>
  <c r="G90" i="68" s="1"/>
  <c r="I90" i="68" s="1"/>
  <c r="AO46" i="41"/>
  <c r="AQ46" i="41"/>
  <c r="AS47" i="41" s="1"/>
  <c r="S50" i="1"/>
  <c r="T50" i="1" s="1"/>
  <c r="O48" i="50"/>
  <c r="N49" i="50"/>
  <c r="I48" i="50" s="1"/>
  <c r="AC77" i="59"/>
  <c r="AK78" i="59"/>
  <c r="AL78" i="59" s="1"/>
  <c r="AE78" i="59" s="1"/>
  <c r="S79" i="59"/>
  <c r="W79" i="59" s="1"/>
  <c r="R79" i="59" s="1"/>
  <c r="G79" i="59" s="1"/>
  <c r="I79" i="59" s="1"/>
  <c r="S49" i="39"/>
  <c r="T49" i="39" s="1"/>
  <c r="AI42" i="48"/>
  <c r="AB41" i="48"/>
  <c r="R43" i="48"/>
  <c r="V43" i="48" s="1"/>
  <c r="Q43" i="48" s="1"/>
  <c r="F43" i="48" s="1"/>
  <c r="H43" i="48" s="1"/>
  <c r="Z96" i="68"/>
  <c r="AN45" i="48"/>
  <c r="AP45" i="48" s="1"/>
  <c r="AL45" i="48"/>
  <c r="AM45" i="48" s="1"/>
  <c r="B45" i="48"/>
  <c r="S48" i="45"/>
  <c r="T48" i="45" s="1"/>
  <c r="AF47" i="45"/>
  <c r="V45" i="57"/>
  <c r="Q45" i="57" s="1"/>
  <c r="F45" i="57" s="1"/>
  <c r="X87" i="1"/>
  <c r="AA54" i="26"/>
  <c r="T54" i="26" s="1"/>
  <c r="S47" i="52"/>
  <c r="T47" i="52" s="1"/>
  <c r="AF47" i="52"/>
  <c r="S50" i="57"/>
  <c r="T50" i="57" s="1"/>
  <c r="AM77" i="59"/>
  <c r="AF77" i="59" s="1"/>
  <c r="AK41" i="48"/>
  <c r="AD41" i="48" s="1"/>
  <c r="W86" i="39"/>
  <c r="H48" i="55"/>
  <c r="X47" i="55"/>
  <c r="L38" i="26"/>
  <c r="H38" i="26"/>
  <c r="V91" i="68" l="1"/>
  <c r="Q91" i="68" s="1"/>
  <c r="AP94" i="68"/>
  <c r="AR94" i="68" s="1"/>
  <c r="B94" i="68"/>
  <c r="AN94" i="68"/>
  <c r="AO94" i="68" s="1"/>
  <c r="AQ93" i="68"/>
  <c r="AS93" i="68"/>
  <c r="AU94" i="68" s="1"/>
  <c r="O94" i="67"/>
  <c r="Z93" i="67"/>
  <c r="T93" i="67"/>
  <c r="U93" i="67" s="1"/>
  <c r="P93" i="67"/>
  <c r="AO47" i="57"/>
  <c r="AQ47" i="57"/>
  <c r="AS48" i="57" s="1"/>
  <c r="D93" i="67"/>
  <c r="AA92" i="67"/>
  <c r="AB92" i="67" s="1"/>
  <c r="K92" i="67" s="1"/>
  <c r="X92" i="67"/>
  <c r="J92" i="67"/>
  <c r="AG92" i="67"/>
  <c r="AI92" i="67"/>
  <c r="AJ92" i="67" s="1"/>
  <c r="J93" i="67"/>
  <c r="AN48" i="57"/>
  <c r="AP48" i="57" s="1"/>
  <c r="B48" i="57"/>
  <c r="AL48" i="57"/>
  <c r="AM48" i="57" s="1"/>
  <c r="Y51" i="3"/>
  <c r="Z51" i="3" s="1"/>
  <c r="AA51" i="3" s="1"/>
  <c r="J51" i="3" s="1"/>
  <c r="U44" i="1"/>
  <c r="Q44" i="1" s="1"/>
  <c r="F44" i="1" s="1"/>
  <c r="H44" i="1" s="1"/>
  <c r="AI44" i="1"/>
  <c r="AJ44" i="1" s="1"/>
  <c r="AC44" i="1" s="1"/>
  <c r="AB43" i="1"/>
  <c r="R45" i="1"/>
  <c r="U45" i="1" s="1"/>
  <c r="Q45" i="1" s="1"/>
  <c r="F45" i="1" s="1"/>
  <c r="H45" i="1" s="1"/>
  <c r="Z50" i="3"/>
  <c r="AA50" i="3" s="1"/>
  <c r="J50" i="3" s="1"/>
  <c r="L50" i="3" s="1"/>
  <c r="R43" i="39"/>
  <c r="V43" i="39" s="1"/>
  <c r="Q43" i="39" s="1"/>
  <c r="F43" i="39" s="1"/>
  <c r="AI42" i="39"/>
  <c r="AJ42" i="39" s="1"/>
  <c r="AC42" i="39" s="1"/>
  <c r="AP83" i="47"/>
  <c r="U42" i="39"/>
  <c r="P42" i="39" s="1"/>
  <c r="AK41" i="39"/>
  <c r="AD41" i="39" s="1"/>
  <c r="G41" i="39" s="1"/>
  <c r="H41" i="39" s="1"/>
  <c r="AM84" i="47"/>
  <c r="AN84" i="47" s="1"/>
  <c r="AR84" i="47" s="1"/>
  <c r="AT85" i="47" s="1"/>
  <c r="AB41" i="39"/>
  <c r="B84" i="47"/>
  <c r="AM85" i="47" s="1"/>
  <c r="AN85" i="47" s="1"/>
  <c r="S75" i="1"/>
  <c r="T75" i="1" s="1"/>
  <c r="S74" i="39"/>
  <c r="T74" i="39" s="1"/>
  <c r="AQ90" i="67"/>
  <c r="AS90" i="67"/>
  <c r="AU91" i="67" s="1"/>
  <c r="B91" i="67"/>
  <c r="AN91" i="67"/>
  <c r="AO91" i="67" s="1"/>
  <c r="AP91" i="67"/>
  <c r="AR91" i="67" s="1"/>
  <c r="V88" i="67"/>
  <c r="Q88" i="67" s="1"/>
  <c r="G87" i="67"/>
  <c r="I87" i="67" s="1"/>
  <c r="Y48" i="50"/>
  <c r="AG48" i="50" s="1"/>
  <c r="AH48" i="50" s="1"/>
  <c r="AG47" i="49"/>
  <c r="AH47" i="49" s="1"/>
  <c r="Z47" i="49"/>
  <c r="AA47" i="49" s="1"/>
  <c r="J47" i="49" s="1"/>
  <c r="L47" i="49" s="1"/>
  <c r="Y48" i="49"/>
  <c r="AH103" i="26"/>
  <c r="AO43" i="39"/>
  <c r="AQ43" i="39"/>
  <c r="AS44" i="39" s="1"/>
  <c r="AL44" i="39"/>
  <c r="AM44" i="39" s="1"/>
  <c r="B44" i="39"/>
  <c r="AN44" i="39"/>
  <c r="AP44" i="39" s="1"/>
  <c r="AG47" i="50"/>
  <c r="AH47" i="50" s="1"/>
  <c r="G86" i="67"/>
  <c r="I86" i="67" s="1"/>
  <c r="AK41" i="3"/>
  <c r="AD41" i="3" s="1"/>
  <c r="G41" i="3" s="1"/>
  <c r="H41" i="3" s="1"/>
  <c r="AJ41" i="3"/>
  <c r="AC41" i="3" s="1"/>
  <c r="U42" i="3"/>
  <c r="P42" i="3" s="1"/>
  <c r="AB41" i="3"/>
  <c r="V42" i="3"/>
  <c r="Q42" i="3" s="1"/>
  <c r="F42" i="3" s="1"/>
  <c r="R43" i="3"/>
  <c r="AI42" i="3"/>
  <c r="AK42" i="3" s="1"/>
  <c r="AD42" i="3" s="1"/>
  <c r="G42" i="3" s="1"/>
  <c r="AJ42" i="49"/>
  <c r="AC42" i="49" s="1"/>
  <c r="AK42" i="49"/>
  <c r="AD42" i="49" s="1"/>
  <c r="V43" i="49"/>
  <c r="Q43" i="49" s="1"/>
  <c r="F43" i="49" s="1"/>
  <c r="H43" i="49" s="1"/>
  <c r="AI43" i="49"/>
  <c r="U43" i="49"/>
  <c r="P43" i="49" s="1"/>
  <c r="R44" i="49"/>
  <c r="AB42" i="49"/>
  <c r="V42" i="50"/>
  <c r="Q42" i="50" s="1"/>
  <c r="F42" i="50" s="1"/>
  <c r="H42" i="50" s="1"/>
  <c r="AB41" i="50"/>
  <c r="R43" i="50"/>
  <c r="AI42" i="50"/>
  <c r="AK42" i="50" s="1"/>
  <c r="AD42" i="50" s="1"/>
  <c r="U42" i="50"/>
  <c r="P42" i="50" s="1"/>
  <c r="AJ41" i="50"/>
  <c r="AC41" i="50" s="1"/>
  <c r="AK41" i="50"/>
  <c r="AD41" i="50" s="1"/>
  <c r="D85" i="52"/>
  <c r="S85" i="52" s="1"/>
  <c r="T85" i="52" s="1"/>
  <c r="X86" i="55"/>
  <c r="AF86" i="52"/>
  <c r="AM103" i="26"/>
  <c r="Y50" i="45"/>
  <c r="Y51" i="45" s="1"/>
  <c r="Y52" i="45" s="1"/>
  <c r="Y53" i="45" s="1"/>
  <c r="Y54" i="45" s="1"/>
  <c r="Y55" i="45" s="1"/>
  <c r="Y56" i="45" s="1"/>
  <c r="Y57" i="45" s="1"/>
  <c r="Y58" i="45" s="1"/>
  <c r="Y59" i="45" s="1"/>
  <c r="Y60" i="45" s="1"/>
  <c r="Y61" i="45" s="1"/>
  <c r="Y62" i="45" s="1"/>
  <c r="Y63" i="45" s="1"/>
  <c r="Y64" i="45" s="1"/>
  <c r="Y65" i="45" s="1"/>
  <c r="Y66" i="45" s="1"/>
  <c r="Y67" i="45" s="1"/>
  <c r="Y68" i="45" s="1"/>
  <c r="Y69" i="45" s="1"/>
  <c r="Y70" i="45" s="1"/>
  <c r="Y71" i="45" s="1"/>
  <c r="Y72" i="45" s="1"/>
  <c r="Y73" i="45" s="1"/>
  <c r="Y74" i="45" s="1"/>
  <c r="Y75" i="45" s="1"/>
  <c r="Y76" i="45" s="1"/>
  <c r="Y77" i="45" s="1"/>
  <c r="Y78" i="45" s="1"/>
  <c r="Y79" i="45" s="1"/>
  <c r="Y80" i="45" s="1"/>
  <c r="Y81" i="45" s="1"/>
  <c r="Y82" i="45" s="1"/>
  <c r="Y83" i="45" s="1"/>
  <c r="Y84" i="45" s="1"/>
  <c r="Y85" i="45" s="1"/>
  <c r="AE86" i="52"/>
  <c r="U78" i="47"/>
  <c r="P78" i="47" s="1"/>
  <c r="U43" i="48"/>
  <c r="P43" i="48" s="1"/>
  <c r="AS81" i="60"/>
  <c r="AU82" i="60" s="1"/>
  <c r="AQ81" i="60"/>
  <c r="AV45" i="26"/>
  <c r="AX46" i="26" s="1"/>
  <c r="AT45" i="26"/>
  <c r="AL78" i="60"/>
  <c r="AE78" i="60" s="1"/>
  <c r="AN44" i="52"/>
  <c r="AP44" i="52" s="1"/>
  <c r="B44" i="52"/>
  <c r="AL44" i="52"/>
  <c r="AM44" i="52" s="1"/>
  <c r="AP82" i="60"/>
  <c r="AR82" i="60" s="1"/>
  <c r="AN82" i="60"/>
  <c r="AO82" i="60" s="1"/>
  <c r="B82" i="60"/>
  <c r="AJ42" i="52"/>
  <c r="AC42" i="52" s="1"/>
  <c r="AK42" i="52"/>
  <c r="AD42" i="52" s="1"/>
  <c r="AM78" i="60"/>
  <c r="AF78" i="60" s="1"/>
  <c r="AK79" i="60"/>
  <c r="AL79" i="60" s="1"/>
  <c r="AE79" i="60" s="1"/>
  <c r="AC78" i="60"/>
  <c r="S80" i="60"/>
  <c r="V80" i="60" s="1"/>
  <c r="Q80" i="60" s="1"/>
  <c r="U43" i="52"/>
  <c r="P43" i="52" s="1"/>
  <c r="AB42" i="52"/>
  <c r="R44" i="52"/>
  <c r="AI43" i="52"/>
  <c r="V43" i="52"/>
  <c r="Q43" i="52" s="1"/>
  <c r="F43" i="52" s="1"/>
  <c r="H43" i="52" s="1"/>
  <c r="AS46" i="26"/>
  <c r="AU46" i="26" s="1"/>
  <c r="B46" i="26"/>
  <c r="AQ46" i="26"/>
  <c r="AR46" i="26" s="1"/>
  <c r="W79" i="60"/>
  <c r="R79" i="60" s="1"/>
  <c r="G79" i="60" s="1"/>
  <c r="I79" i="60" s="1"/>
  <c r="AO43" i="52"/>
  <c r="AQ43" i="52"/>
  <c r="AS44" i="52" s="1"/>
  <c r="AL47" i="49"/>
  <c r="AM47" i="49" s="1"/>
  <c r="B47" i="49"/>
  <c r="AN47" i="49"/>
  <c r="AP47" i="49" s="1"/>
  <c r="AQ46" i="49"/>
  <c r="AS47" i="49" s="1"/>
  <c r="AO46" i="49"/>
  <c r="L49" i="55"/>
  <c r="D85" i="59"/>
  <c r="T85" i="59" s="1"/>
  <c r="U85" i="59" s="1"/>
  <c r="V79" i="59"/>
  <c r="Q79" i="59" s="1"/>
  <c r="Z49" i="52"/>
  <c r="AA49" i="52" s="1"/>
  <c r="J49" i="52" s="1"/>
  <c r="L49" i="52" s="1"/>
  <c r="W88" i="67"/>
  <c r="R88" i="67" s="1"/>
  <c r="AQ81" i="59"/>
  <c r="AS81" i="59"/>
  <c r="AU82" i="59" s="1"/>
  <c r="AG53" i="48"/>
  <c r="AH53" i="48" s="1"/>
  <c r="B82" i="59"/>
  <c r="AP82" i="59"/>
  <c r="AR82" i="59" s="1"/>
  <c r="AN82" i="59"/>
  <c r="AO82" i="59" s="1"/>
  <c r="W86" i="45"/>
  <c r="AO39" i="26"/>
  <c r="AF39" i="26" s="1"/>
  <c r="AO45" i="50"/>
  <c r="AQ45" i="50"/>
  <c r="AS46" i="50" s="1"/>
  <c r="AB77" i="47"/>
  <c r="AJ78" i="47"/>
  <c r="AK78" i="47" s="1"/>
  <c r="AD78" i="47" s="1"/>
  <c r="R79" i="47"/>
  <c r="V79" i="47" s="1"/>
  <c r="Q79" i="47" s="1"/>
  <c r="F79" i="47" s="1"/>
  <c r="H79" i="47" s="1"/>
  <c r="AE86" i="45"/>
  <c r="Z103" i="26"/>
  <c r="X86" i="45"/>
  <c r="F22" i="45"/>
  <c r="H10" i="45" s="1"/>
  <c r="L47" i="51"/>
  <c r="AM87" i="67"/>
  <c r="AK88" i="67"/>
  <c r="AM88" i="67" s="1"/>
  <c r="AF88" i="67" s="1"/>
  <c r="AC87" i="67"/>
  <c r="S89" i="67"/>
  <c r="AN46" i="50"/>
  <c r="AP46" i="50" s="1"/>
  <c r="AL46" i="50"/>
  <c r="AM46" i="50" s="1"/>
  <c r="B46" i="50"/>
  <c r="R44" i="51"/>
  <c r="U44" i="51" s="1"/>
  <c r="P44" i="51" s="1"/>
  <c r="AB42" i="51"/>
  <c r="V43" i="51"/>
  <c r="Q43" i="51" s="1"/>
  <c r="F43" i="51" s="1"/>
  <c r="H43" i="51" s="1"/>
  <c r="AI43" i="51"/>
  <c r="AJ43" i="51" s="1"/>
  <c r="AC43" i="51" s="1"/>
  <c r="AD103" i="26"/>
  <c r="M84" i="59"/>
  <c r="AL87" i="67"/>
  <c r="AK42" i="51"/>
  <c r="AD42" i="51" s="1"/>
  <c r="AL77" i="47"/>
  <c r="AE77" i="47" s="1"/>
  <c r="Z97" i="68"/>
  <c r="AA97" i="68" s="1"/>
  <c r="AB97" i="68" s="1"/>
  <c r="K97" i="68" s="1"/>
  <c r="M97" i="68" s="1"/>
  <c r="AC49" i="55"/>
  <c r="AC86" i="55" s="1"/>
  <c r="AJ86" i="55"/>
  <c r="AI49" i="55"/>
  <c r="AI86" i="55" s="1"/>
  <c r="AB48" i="55"/>
  <c r="AB49" i="55"/>
  <c r="R86" i="55"/>
  <c r="H49" i="55"/>
  <c r="S49" i="55"/>
  <c r="T49" i="55" s="1"/>
  <c r="W47" i="41"/>
  <c r="I47" i="41"/>
  <c r="AG47" i="41"/>
  <c r="AH47" i="41" s="1"/>
  <c r="AE47" i="41"/>
  <c r="AJ47" i="41"/>
  <c r="AC47" i="41" s="1"/>
  <c r="AY48" i="41"/>
  <c r="D47" i="41"/>
  <c r="AN48" i="41"/>
  <c r="AP48" i="41" s="1"/>
  <c r="AK47" i="41"/>
  <c r="AD47" i="41" s="1"/>
  <c r="AL48" i="41"/>
  <c r="AM48" i="41" s="1"/>
  <c r="U47" i="41"/>
  <c r="P47" i="41" s="1"/>
  <c r="V47" i="41"/>
  <c r="Q47" i="41" s="1"/>
  <c r="Z47" i="41"/>
  <c r="AA47" i="41" s="1"/>
  <c r="S74" i="1"/>
  <c r="T74" i="1" s="1"/>
  <c r="D23" i="1"/>
  <c r="H50" i="45"/>
  <c r="S50" i="45"/>
  <c r="T50" i="45" s="1"/>
  <c r="D22" i="45"/>
  <c r="AO49" i="45"/>
  <c r="AQ49" i="45"/>
  <c r="AS50" i="45" s="1"/>
  <c r="Q49" i="45"/>
  <c r="Q86" i="45" s="1"/>
  <c r="V86" i="45"/>
  <c r="O85" i="47"/>
  <c r="N86" i="47"/>
  <c r="D85" i="47" s="1"/>
  <c r="Y51" i="39"/>
  <c r="Z51" i="39" s="1"/>
  <c r="AA51" i="39" s="1"/>
  <c r="J51" i="39" s="1"/>
  <c r="S73" i="39"/>
  <c r="T73" i="39" s="1"/>
  <c r="S47" i="50"/>
  <c r="T47" i="50" s="1"/>
  <c r="I59" i="26"/>
  <c r="I56" i="26"/>
  <c r="I55" i="26"/>
  <c r="I90" i="26"/>
  <c r="I65" i="26"/>
  <c r="I98" i="26"/>
  <c r="I60" i="26"/>
  <c r="I75" i="26"/>
  <c r="I86" i="26"/>
  <c r="I92" i="26"/>
  <c r="I93" i="26"/>
  <c r="I83" i="26"/>
  <c r="I70" i="26"/>
  <c r="I79" i="26"/>
  <c r="I73" i="26"/>
  <c r="I78" i="26"/>
  <c r="I99" i="26"/>
  <c r="I95" i="26"/>
  <c r="I58" i="26"/>
  <c r="I97" i="26"/>
  <c r="I76" i="26"/>
  <c r="I61" i="26"/>
  <c r="I66" i="26"/>
  <c r="I91" i="26"/>
  <c r="I89" i="26"/>
  <c r="I94" i="26"/>
  <c r="I63" i="26"/>
  <c r="I69" i="26"/>
  <c r="I82" i="26"/>
  <c r="I68" i="26"/>
  <c r="I77" i="26"/>
  <c r="I96" i="26"/>
  <c r="I84" i="26"/>
  <c r="I62" i="26"/>
  <c r="I67" i="26"/>
  <c r="I74" i="26"/>
  <c r="I64" i="26"/>
  <c r="I88" i="26"/>
  <c r="I57" i="26"/>
  <c r="I85" i="26"/>
  <c r="I87" i="26"/>
  <c r="I81" i="26"/>
  <c r="I80" i="26"/>
  <c r="I72" i="26"/>
  <c r="I100" i="26"/>
  <c r="I71" i="26"/>
  <c r="S55" i="26"/>
  <c r="AJ55" i="26" s="1"/>
  <c r="AK55" i="26" s="1"/>
  <c r="K55" i="26" s="1"/>
  <c r="S47" i="51"/>
  <c r="T47" i="51" s="1"/>
  <c r="X47" i="51"/>
  <c r="W48" i="51"/>
  <c r="X48" i="51" s="1"/>
  <c r="I49" i="51"/>
  <c r="AY49" i="51"/>
  <c r="AE48" i="51"/>
  <c r="AF48" i="51" s="1"/>
  <c r="D49" i="51"/>
  <c r="AB45" i="57"/>
  <c r="AI46" i="57"/>
  <c r="AJ46" i="57" s="1"/>
  <c r="AC46" i="57" s="1"/>
  <c r="R47" i="57"/>
  <c r="U47" i="57" s="1"/>
  <c r="P47" i="57" s="1"/>
  <c r="AK46" i="57"/>
  <c r="AD46" i="57" s="1"/>
  <c r="AE39" i="26"/>
  <c r="AN40" i="26"/>
  <c r="AP40" i="26" s="1"/>
  <c r="AG40" i="26" s="1"/>
  <c r="G40" i="26" s="1"/>
  <c r="AY40" i="26"/>
  <c r="D40" i="26" s="1"/>
  <c r="P49" i="55"/>
  <c r="P86" i="55" s="1"/>
  <c r="U86" i="55"/>
  <c r="N49" i="41"/>
  <c r="Y48" i="41"/>
  <c r="O48" i="41"/>
  <c r="B48" i="41" s="1"/>
  <c r="D22" i="55"/>
  <c r="AB54" i="26"/>
  <c r="AC54" i="26" s="1"/>
  <c r="AI54" i="26"/>
  <c r="AL54" i="26" s="1"/>
  <c r="AA55" i="26"/>
  <c r="T55" i="26" s="1"/>
  <c r="AF86" i="45"/>
  <c r="AO45" i="48"/>
  <c r="AQ45" i="48"/>
  <c r="AS46" i="48" s="1"/>
  <c r="AI96" i="68"/>
  <c r="AJ96" i="68" s="1"/>
  <c r="AB42" i="48"/>
  <c r="AI43" i="48"/>
  <c r="AJ43" i="48" s="1"/>
  <c r="AC43" i="48" s="1"/>
  <c r="R44" i="48"/>
  <c r="V44" i="48" s="1"/>
  <c r="Q44" i="48" s="1"/>
  <c r="F44" i="48" s="1"/>
  <c r="H44" i="48" s="1"/>
  <c r="AC78" i="59"/>
  <c r="AK79" i="59"/>
  <c r="AL79" i="59" s="1"/>
  <c r="AE79" i="59" s="1"/>
  <c r="S80" i="59"/>
  <c r="W80" i="59" s="1"/>
  <c r="R80" i="59" s="1"/>
  <c r="G80" i="59" s="1"/>
  <c r="I80" i="59" s="1"/>
  <c r="AY49" i="50"/>
  <c r="W48" i="50"/>
  <c r="X48" i="50" s="1"/>
  <c r="AE48" i="50"/>
  <c r="AF48" i="50" s="1"/>
  <c r="I49" i="50"/>
  <c r="D49" i="50"/>
  <c r="S48" i="52"/>
  <c r="T48" i="52" s="1"/>
  <c r="S50" i="55"/>
  <c r="T50" i="55" s="1"/>
  <c r="H50" i="55"/>
  <c r="F22" i="55"/>
  <c r="H10" i="55" s="1"/>
  <c r="AO49" i="55"/>
  <c r="AQ49" i="55"/>
  <c r="AS50" i="55" s="1"/>
  <c r="S49" i="52"/>
  <c r="T49" i="52" s="1"/>
  <c r="B46" i="51"/>
  <c r="AL46" i="51"/>
  <c r="AM46" i="51" s="1"/>
  <c r="AN46" i="51"/>
  <c r="AP46" i="51" s="1"/>
  <c r="L49" i="45"/>
  <c r="Y50" i="52"/>
  <c r="Z50" i="52" s="1"/>
  <c r="AA50" i="52" s="1"/>
  <c r="J50" i="52" s="1"/>
  <c r="L50" i="52" s="1"/>
  <c r="W86" i="52"/>
  <c r="AJ54" i="26"/>
  <c r="AK54" i="26" s="1"/>
  <c r="K54" i="26" s="1"/>
  <c r="AO45" i="1"/>
  <c r="AQ45" i="1"/>
  <c r="AS46" i="1" s="1"/>
  <c r="X47" i="50"/>
  <c r="I48" i="51"/>
  <c r="AH84" i="59"/>
  <c r="Y48" i="51"/>
  <c r="AO47" i="41"/>
  <c r="AQ47" i="41"/>
  <c r="AS48" i="41" s="1"/>
  <c r="H39" i="26"/>
  <c r="L39" i="26"/>
  <c r="AJ42" i="48"/>
  <c r="AC42" i="48" s="1"/>
  <c r="AO45" i="51"/>
  <c r="AQ45" i="51"/>
  <c r="AS46" i="51" s="1"/>
  <c r="H49" i="45"/>
  <c r="S49" i="45"/>
  <c r="T49" i="45" s="1"/>
  <c r="AI49" i="45"/>
  <c r="AI86" i="45" s="1"/>
  <c r="AB49" i="45"/>
  <c r="AB48" i="45"/>
  <c r="R86" i="45"/>
  <c r="AD49" i="45"/>
  <c r="AD86" i="45" s="1"/>
  <c r="AK86" i="45"/>
  <c r="AL46" i="3"/>
  <c r="AM46" i="3" s="1"/>
  <c r="AN46" i="3"/>
  <c r="AP46" i="3" s="1"/>
  <c r="B46" i="3"/>
  <c r="AF84" i="47"/>
  <c r="W84" i="47"/>
  <c r="AZ85" i="47"/>
  <c r="D84" i="47"/>
  <c r="Z84" i="47"/>
  <c r="AA84" i="47" s="1"/>
  <c r="J84" i="47" s="1"/>
  <c r="AH84" i="47"/>
  <c r="AI84" i="47" s="1"/>
  <c r="I84" i="47"/>
  <c r="AG50" i="39"/>
  <c r="AH50" i="39" s="1"/>
  <c r="K50" i="39" s="1"/>
  <c r="X86" i="52"/>
  <c r="X54" i="26"/>
  <c r="Y54" i="26" s="1"/>
  <c r="J54" i="26" s="1"/>
  <c r="L47" i="50"/>
  <c r="AF47" i="50"/>
  <c r="AE86" i="55"/>
  <c r="AF47" i="51"/>
  <c r="AC90" i="68"/>
  <c r="AK91" i="68"/>
  <c r="S92" i="68"/>
  <c r="W92" i="68" s="1"/>
  <c r="R92" i="68" s="1"/>
  <c r="G92" i="68" s="1"/>
  <c r="I92" i="68" s="1"/>
  <c r="BA86" i="59"/>
  <c r="X85" i="59"/>
  <c r="Y85" i="59" s="1"/>
  <c r="AG85" i="59"/>
  <c r="AH85" i="59" s="1"/>
  <c r="J86" i="59"/>
  <c r="D86" i="59"/>
  <c r="AI85" i="59"/>
  <c r="AJ85" i="59" s="1"/>
  <c r="AA85" i="59"/>
  <c r="AB85" i="59" s="1"/>
  <c r="K85" i="59" s="1"/>
  <c r="M85" i="59" s="1"/>
  <c r="T84" i="59"/>
  <c r="U84" i="59" s="1"/>
  <c r="Y84" i="59"/>
  <c r="S48" i="51"/>
  <c r="T48" i="51" s="1"/>
  <c r="V46" i="57"/>
  <c r="Q46" i="57" s="1"/>
  <c r="F46" i="57" s="1"/>
  <c r="H46" i="57" s="1"/>
  <c r="Y50" i="55"/>
  <c r="Y51" i="55" s="1"/>
  <c r="Y52" i="55" s="1"/>
  <c r="Y53" i="55" s="1"/>
  <c r="Y54" i="55" s="1"/>
  <c r="Y55" i="55" s="1"/>
  <c r="Y56" i="55" s="1"/>
  <c r="Y57" i="55" s="1"/>
  <c r="Y58" i="55" s="1"/>
  <c r="Y59" i="55" s="1"/>
  <c r="Y60" i="55" s="1"/>
  <c r="Y61" i="55" s="1"/>
  <c r="Y62" i="55" s="1"/>
  <c r="Y63" i="55" s="1"/>
  <c r="Y64" i="55" s="1"/>
  <c r="Y65" i="55" s="1"/>
  <c r="Y66" i="55" s="1"/>
  <c r="Y67" i="55" s="1"/>
  <c r="Y68" i="55" s="1"/>
  <c r="Y69" i="55" s="1"/>
  <c r="Y70" i="55" s="1"/>
  <c r="Y71" i="55" s="1"/>
  <c r="Y72" i="55" s="1"/>
  <c r="Y73" i="55" s="1"/>
  <c r="Y74" i="55" s="1"/>
  <c r="Y75" i="55" s="1"/>
  <c r="Y76" i="55" s="1"/>
  <c r="Y77" i="55" s="1"/>
  <c r="Y78" i="55" s="1"/>
  <c r="Y79" i="55" s="1"/>
  <c r="Y80" i="55" s="1"/>
  <c r="Y81" i="55" s="1"/>
  <c r="Y82" i="55" s="1"/>
  <c r="Y83" i="55" s="1"/>
  <c r="Y84" i="55" s="1"/>
  <c r="Y85" i="55" s="1"/>
  <c r="D22" i="39"/>
  <c r="V40" i="26"/>
  <c r="P40" i="26" s="1"/>
  <c r="W40" i="26"/>
  <c r="Q40" i="26" s="1"/>
  <c r="F40" i="26" s="1"/>
  <c r="AN46" i="48"/>
  <c r="AP46" i="48" s="1"/>
  <c r="B46" i="48"/>
  <c r="AL46" i="48"/>
  <c r="AM46" i="48" s="1"/>
  <c r="W86" i="55"/>
  <c r="H45" i="57"/>
  <c r="AA96" i="68"/>
  <c r="AB96" i="68" s="1"/>
  <c r="K96" i="68" s="1"/>
  <c r="AD49" i="55"/>
  <c r="AD86" i="55" s="1"/>
  <c r="AK86" i="55"/>
  <c r="Q49" i="55"/>
  <c r="Q86" i="55" s="1"/>
  <c r="V86" i="55"/>
  <c r="AK42" i="48"/>
  <c r="AD42" i="48" s="1"/>
  <c r="AM78" i="59"/>
  <c r="AF78" i="59" s="1"/>
  <c r="AC49" i="45"/>
  <c r="AC86" i="45" s="1"/>
  <c r="AJ86" i="45"/>
  <c r="P49" i="45"/>
  <c r="P86" i="45" s="1"/>
  <c r="U86" i="45"/>
  <c r="AQ45" i="3"/>
  <c r="AS46" i="3" s="1"/>
  <c r="AO45" i="3"/>
  <c r="Y54" i="48"/>
  <c r="AG54" i="48" s="1"/>
  <c r="AH54" i="48" s="1"/>
  <c r="D47" i="61"/>
  <c r="Z50" i="39"/>
  <c r="AA50" i="39" s="1"/>
  <c r="J50" i="39" s="1"/>
  <c r="Y51" i="1"/>
  <c r="Z51" i="1" s="1"/>
  <c r="AA51" i="1" s="1"/>
  <c r="J51" i="1" s="1"/>
  <c r="L51" i="1" s="1"/>
  <c r="AG50" i="1"/>
  <c r="AH50" i="1" s="1"/>
  <c r="Z50" i="1"/>
  <c r="AA50" i="1" s="1"/>
  <c r="J50" i="1" s="1"/>
  <c r="L50" i="1" s="1"/>
  <c r="B46" i="1"/>
  <c r="AN46" i="1"/>
  <c r="AP46" i="1" s="1"/>
  <c r="AL46" i="1"/>
  <c r="AM46" i="1" s="1"/>
  <c r="D48" i="50"/>
  <c r="AF86" i="55"/>
  <c r="Z86" i="59"/>
  <c r="AA86" i="59" s="1"/>
  <c r="AB86" i="59" s="1"/>
  <c r="K86" i="59" s="1"/>
  <c r="U46" i="57"/>
  <c r="P46" i="57" s="1"/>
  <c r="AS94" i="68" l="1"/>
  <c r="AU95" i="68" s="1"/>
  <c r="AQ94" i="68"/>
  <c r="B95" i="68"/>
  <c r="AP95" i="68"/>
  <c r="AR95" i="68" s="1"/>
  <c r="AN95" i="68"/>
  <c r="AO95" i="68" s="1"/>
  <c r="M92" i="67"/>
  <c r="AG51" i="3"/>
  <c r="AH51" i="3" s="1"/>
  <c r="K51" i="3" s="1"/>
  <c r="L51" i="3" s="1"/>
  <c r="AI97" i="68"/>
  <c r="AJ97" i="68" s="1"/>
  <c r="AL49" i="57"/>
  <c r="AM49" i="57" s="1"/>
  <c r="B49" i="57"/>
  <c r="AN49" i="57"/>
  <c r="AP49" i="57" s="1"/>
  <c r="AH92" i="67"/>
  <c r="Y92" i="67"/>
  <c r="D94" i="67"/>
  <c r="D68" i="67" s="1"/>
  <c r="D131" i="67" s="1"/>
  <c r="AG93" i="67"/>
  <c r="AH93" i="67" s="1"/>
  <c r="AI93" i="67"/>
  <c r="AJ93" i="67" s="1"/>
  <c r="X94" i="67"/>
  <c r="Y94" i="67" s="1"/>
  <c r="AA93" i="67"/>
  <c r="AB93" i="67" s="1"/>
  <c r="K93" i="67" s="1"/>
  <c r="M93" i="67" s="1"/>
  <c r="AG94" i="67"/>
  <c r="AH94" i="67" s="1"/>
  <c r="AA94" i="67"/>
  <c r="AB94" i="67" s="1"/>
  <c r="K94" i="67" s="1"/>
  <c r="X93" i="67"/>
  <c r="Y93" i="67" s="1"/>
  <c r="J94" i="67"/>
  <c r="AI94" i="67"/>
  <c r="AJ94" i="67" s="1"/>
  <c r="AQ48" i="57"/>
  <c r="AS49" i="57" s="1"/>
  <c r="AO48" i="57"/>
  <c r="Y52" i="3"/>
  <c r="Z52" i="3" s="1"/>
  <c r="AA52" i="3" s="1"/>
  <c r="J52" i="3" s="1"/>
  <c r="U43" i="39"/>
  <c r="P43" i="39" s="1"/>
  <c r="AK44" i="1"/>
  <c r="AD44" i="1" s="1"/>
  <c r="P44" i="1"/>
  <c r="R46" i="1"/>
  <c r="U46" i="1" s="1"/>
  <c r="Q46" i="1" s="1"/>
  <c r="F46" i="1" s="1"/>
  <c r="H46" i="1" s="1"/>
  <c r="AB44" i="1"/>
  <c r="V45" i="1"/>
  <c r="AI45" i="1"/>
  <c r="AK45" i="1" s="1"/>
  <c r="AD45" i="1" s="1"/>
  <c r="P45" i="1"/>
  <c r="AI43" i="39"/>
  <c r="AK43" i="39" s="1"/>
  <c r="AD43" i="39" s="1"/>
  <c r="G43" i="39" s="1"/>
  <c r="H43" i="39" s="1"/>
  <c r="R44" i="39"/>
  <c r="V44" i="39" s="1"/>
  <c r="Q44" i="39" s="1"/>
  <c r="F44" i="39" s="1"/>
  <c r="AB42" i="39"/>
  <c r="B85" i="47"/>
  <c r="AO86" i="47" s="1"/>
  <c r="AQ86" i="47" s="1"/>
  <c r="AK42" i="39"/>
  <c r="AD42" i="39" s="1"/>
  <c r="G42" i="39" s="1"/>
  <c r="H42" i="39" s="1"/>
  <c r="D22" i="52"/>
  <c r="D86" i="52" s="1"/>
  <c r="AO85" i="47"/>
  <c r="AQ85" i="47" s="1"/>
  <c r="AR85" i="47" s="1"/>
  <c r="AT86" i="47" s="1"/>
  <c r="AP84" i="47"/>
  <c r="Z48" i="50"/>
  <c r="AA48" i="50" s="1"/>
  <c r="J48" i="50" s="1"/>
  <c r="L48" i="50" s="1"/>
  <c r="Y49" i="50"/>
  <c r="AG49" i="50" s="1"/>
  <c r="AH49" i="50" s="1"/>
  <c r="AQ91" i="67"/>
  <c r="AS91" i="67"/>
  <c r="AU92" i="67" s="1"/>
  <c r="AN92" i="67"/>
  <c r="AO92" i="67" s="1"/>
  <c r="AP92" i="67"/>
  <c r="AR92" i="67" s="1"/>
  <c r="B92" i="67"/>
  <c r="W89" i="67"/>
  <c r="R89" i="67" s="1"/>
  <c r="V89" i="67"/>
  <c r="G88" i="67"/>
  <c r="I88" i="67" s="1"/>
  <c r="I85" i="47"/>
  <c r="Z48" i="49"/>
  <c r="AA48" i="49" s="1"/>
  <c r="J48" i="49" s="1"/>
  <c r="L48" i="49" s="1"/>
  <c r="Y49" i="49"/>
  <c r="AG48" i="49"/>
  <c r="AH48" i="49" s="1"/>
  <c r="H42" i="3"/>
  <c r="AL45" i="39"/>
  <c r="AM45" i="39" s="1"/>
  <c r="B45" i="39"/>
  <c r="AN45" i="39"/>
  <c r="AP45" i="39" s="1"/>
  <c r="AO44" i="39"/>
  <c r="AQ44" i="39"/>
  <c r="AS45" i="39" s="1"/>
  <c r="AJ42" i="3"/>
  <c r="AC42" i="3" s="1"/>
  <c r="U43" i="3"/>
  <c r="P43" i="3" s="1"/>
  <c r="R44" i="3"/>
  <c r="AI43" i="3"/>
  <c r="V43" i="3"/>
  <c r="Q43" i="3" s="1"/>
  <c r="F43" i="3" s="1"/>
  <c r="AB42" i="3"/>
  <c r="AO40" i="26"/>
  <c r="AF40" i="26" s="1"/>
  <c r="AJ43" i="49"/>
  <c r="AC43" i="49" s="1"/>
  <c r="AK43" i="49"/>
  <c r="AD43" i="49" s="1"/>
  <c r="V44" i="49"/>
  <c r="Q44" i="49" s="1"/>
  <c r="F44" i="49" s="1"/>
  <c r="H44" i="49" s="1"/>
  <c r="U44" i="49"/>
  <c r="P44" i="49" s="1"/>
  <c r="R45" i="49"/>
  <c r="AB43" i="49"/>
  <c r="AI44" i="49"/>
  <c r="AK44" i="49" s="1"/>
  <c r="AD44" i="49" s="1"/>
  <c r="AF86" i="51"/>
  <c r="U43" i="50"/>
  <c r="P43" i="50" s="1"/>
  <c r="AB42" i="50"/>
  <c r="R44" i="50"/>
  <c r="AI43" i="50"/>
  <c r="V43" i="50"/>
  <c r="Q43" i="50" s="1"/>
  <c r="F43" i="50" s="1"/>
  <c r="H43" i="50" s="1"/>
  <c r="AJ42" i="50"/>
  <c r="AC42" i="50" s="1"/>
  <c r="AK43" i="48"/>
  <c r="AD43" i="48" s="1"/>
  <c r="AE86" i="51"/>
  <c r="L50" i="39"/>
  <c r="AE86" i="50"/>
  <c r="H22" i="55"/>
  <c r="AF86" i="50"/>
  <c r="AL78" i="47"/>
  <c r="AE78" i="47" s="1"/>
  <c r="AM79" i="60"/>
  <c r="AF79" i="60" s="1"/>
  <c r="AN83" i="60"/>
  <c r="AO83" i="60" s="1"/>
  <c r="B83" i="60"/>
  <c r="AP83" i="60"/>
  <c r="AR83" i="60" s="1"/>
  <c r="AN45" i="52"/>
  <c r="AP45" i="52" s="1"/>
  <c r="B45" i="52"/>
  <c r="AL45" i="52"/>
  <c r="AM45" i="52" s="1"/>
  <c r="AB55" i="26"/>
  <c r="AC55" i="26" s="1"/>
  <c r="AT46" i="26"/>
  <c r="AV46" i="26"/>
  <c r="AX47" i="26" s="1"/>
  <c r="AJ43" i="52"/>
  <c r="AC43" i="52" s="1"/>
  <c r="AK43" i="52"/>
  <c r="AD43" i="52" s="1"/>
  <c r="AS82" i="60"/>
  <c r="AU83" i="60" s="1"/>
  <c r="AQ82" i="60"/>
  <c r="AS47" i="26"/>
  <c r="AU47" i="26" s="1"/>
  <c r="AQ47" i="26"/>
  <c r="AR47" i="26" s="1"/>
  <c r="B47" i="26"/>
  <c r="U44" i="52"/>
  <c r="P44" i="52" s="1"/>
  <c r="AB43" i="52"/>
  <c r="V44" i="52"/>
  <c r="Q44" i="52" s="1"/>
  <c r="F44" i="52" s="1"/>
  <c r="H44" i="52" s="1"/>
  <c r="AI44" i="52"/>
  <c r="R45" i="52"/>
  <c r="W80" i="60"/>
  <c r="R80" i="60" s="1"/>
  <c r="G80" i="60" s="1"/>
  <c r="I80" i="60" s="1"/>
  <c r="S81" i="60"/>
  <c r="V81" i="60" s="1"/>
  <c r="Q81" i="60" s="1"/>
  <c r="AC79" i="60"/>
  <c r="AK80" i="60"/>
  <c r="AL80" i="60" s="1"/>
  <c r="AE80" i="60" s="1"/>
  <c r="W86" i="50"/>
  <c r="AQ44" i="52"/>
  <c r="AS45" i="52" s="1"/>
  <c r="AO44" i="52"/>
  <c r="AG50" i="52"/>
  <c r="AH50" i="52" s="1"/>
  <c r="V80" i="59"/>
  <c r="Q80" i="59" s="1"/>
  <c r="B48" i="49"/>
  <c r="AN48" i="49"/>
  <c r="AP48" i="49" s="1"/>
  <c r="AL48" i="49"/>
  <c r="AM48" i="49" s="1"/>
  <c r="X86" i="50"/>
  <c r="AO47" i="49"/>
  <c r="AQ47" i="49"/>
  <c r="AS48" i="49" s="1"/>
  <c r="Y123" i="59"/>
  <c r="AM79" i="59"/>
  <c r="AF79" i="59" s="1"/>
  <c r="AS82" i="59"/>
  <c r="AU83" i="59" s="1"/>
  <c r="AQ82" i="59"/>
  <c r="AB86" i="55"/>
  <c r="AN83" i="59"/>
  <c r="AO83" i="59" s="1"/>
  <c r="B83" i="59"/>
  <c r="AP83" i="59"/>
  <c r="AR83" i="59" s="1"/>
  <c r="R45" i="51"/>
  <c r="V45" i="51" s="1"/>
  <c r="Q45" i="51" s="1"/>
  <c r="F45" i="51" s="1"/>
  <c r="H45" i="51" s="1"/>
  <c r="AB43" i="51"/>
  <c r="AI44" i="51"/>
  <c r="AF87" i="67"/>
  <c r="AK43" i="51"/>
  <c r="AD43" i="51" s="1"/>
  <c r="AG51" i="1"/>
  <c r="AH51" i="1" s="1"/>
  <c r="AB86" i="45"/>
  <c r="AG51" i="39"/>
  <c r="AH51" i="39" s="1"/>
  <c r="K51" i="39" s="1"/>
  <c r="L51" i="39" s="1"/>
  <c r="AE87" i="67"/>
  <c r="B47" i="50"/>
  <c r="AL47" i="50"/>
  <c r="AM47" i="50" s="1"/>
  <c r="AN47" i="50"/>
  <c r="AP47" i="50" s="1"/>
  <c r="AG123" i="59"/>
  <c r="AQ46" i="50"/>
  <c r="AS47" i="50" s="1"/>
  <c r="AO46" i="50"/>
  <c r="V44" i="51"/>
  <c r="Q44" i="51" s="1"/>
  <c r="F44" i="51" s="1"/>
  <c r="H44" i="51" s="1"/>
  <c r="L54" i="26"/>
  <c r="AC88" i="67"/>
  <c r="AK89" i="67"/>
  <c r="AL89" i="67" s="1"/>
  <c r="AE89" i="67" s="1"/>
  <c r="S90" i="67"/>
  <c r="AL88" i="67"/>
  <c r="AE88" i="67" s="1"/>
  <c r="U79" i="47"/>
  <c r="P79" i="47" s="1"/>
  <c r="R80" i="47"/>
  <c r="V80" i="47" s="1"/>
  <c r="Q80" i="47" s="1"/>
  <c r="F80" i="47" s="1"/>
  <c r="H80" i="47" s="1"/>
  <c r="AB78" i="47"/>
  <c r="AJ79" i="47"/>
  <c r="AK79" i="47" s="1"/>
  <c r="AD79" i="47" s="1"/>
  <c r="H40" i="26"/>
  <c r="L40" i="26"/>
  <c r="R41" i="26"/>
  <c r="S48" i="50"/>
  <c r="T48" i="50" s="1"/>
  <c r="C47" i="61"/>
  <c r="K69" i="68"/>
  <c r="K133" i="68" s="1"/>
  <c r="M96" i="68"/>
  <c r="M69" i="68" s="1"/>
  <c r="M133" i="68" s="1"/>
  <c r="AL91" i="68"/>
  <c r="AE91" i="68" s="1"/>
  <c r="Z54" i="48"/>
  <c r="AA54" i="48" s="1"/>
  <c r="J54" i="48" s="1"/>
  <c r="L54" i="48" s="1"/>
  <c r="AO46" i="48"/>
  <c r="AQ46" i="48"/>
  <c r="AS47" i="48" s="1"/>
  <c r="M86" i="59"/>
  <c r="J123" i="59"/>
  <c r="V92" i="68"/>
  <c r="Q92" i="68" s="1"/>
  <c r="AH123" i="59"/>
  <c r="Y51" i="52"/>
  <c r="Z51" i="52" s="1"/>
  <c r="AA51" i="52" s="1"/>
  <c r="J51" i="52" s="1"/>
  <c r="L51" i="52" s="1"/>
  <c r="AN47" i="51"/>
  <c r="AP47" i="51" s="1"/>
  <c r="AL47" i="51"/>
  <c r="AM47" i="51" s="1"/>
  <c r="B47" i="51"/>
  <c r="AC79" i="59"/>
  <c r="AK80" i="59"/>
  <c r="AL80" i="59" s="1"/>
  <c r="AE80" i="59" s="1"/>
  <c r="S81" i="59"/>
  <c r="W81" i="59" s="1"/>
  <c r="R81" i="59" s="1"/>
  <c r="G81" i="59" s="1"/>
  <c r="I81" i="59" s="1"/>
  <c r="U44" i="48"/>
  <c r="P44" i="48" s="1"/>
  <c r="AA56" i="26"/>
  <c r="AI56" i="26" s="1"/>
  <c r="AL56" i="26" s="1"/>
  <c r="D49" i="41"/>
  <c r="B49" i="41"/>
  <c r="Z48" i="41"/>
  <c r="AA48" i="41" s="1"/>
  <c r="AN49" i="41"/>
  <c r="AP49" i="41" s="1"/>
  <c r="AG48" i="41"/>
  <c r="AH48" i="41" s="1"/>
  <c r="I49" i="41"/>
  <c r="AL49" i="41"/>
  <c r="AM49" i="41" s="1"/>
  <c r="AE48" i="41"/>
  <c r="AF48" i="41" s="1"/>
  <c r="W48" i="41"/>
  <c r="X48" i="41" s="1"/>
  <c r="AY49" i="41"/>
  <c r="V47" i="57"/>
  <c r="Q47" i="57" s="1"/>
  <c r="F47" i="57" s="1"/>
  <c r="H47" i="57" s="1"/>
  <c r="S49" i="51"/>
  <c r="T49" i="51" s="1"/>
  <c r="W86" i="51"/>
  <c r="D85" i="51"/>
  <c r="D22" i="51" s="1"/>
  <c r="D86" i="51" s="1"/>
  <c r="X55" i="26"/>
  <c r="Y55" i="26" s="1"/>
  <c r="J55" i="26" s="1"/>
  <c r="L55" i="26" s="1"/>
  <c r="S47" i="41"/>
  <c r="T47" i="41" s="1"/>
  <c r="X47" i="41"/>
  <c r="X86" i="41" s="1"/>
  <c r="W86" i="41"/>
  <c r="Z87" i="59"/>
  <c r="AI87" i="59" s="1"/>
  <c r="AJ87" i="59" s="1"/>
  <c r="T86" i="59"/>
  <c r="U86" i="59" s="1"/>
  <c r="AI86" i="59"/>
  <c r="AJ86" i="59" s="1"/>
  <c r="AM91" i="68"/>
  <c r="AF91" i="68" s="1"/>
  <c r="B47" i="1"/>
  <c r="AL47" i="1"/>
  <c r="AM47" i="1" s="1"/>
  <c r="AN47" i="1"/>
  <c r="AP47" i="1" s="1"/>
  <c r="AN47" i="48"/>
  <c r="AP47" i="48" s="1"/>
  <c r="B47" i="48"/>
  <c r="AL47" i="48"/>
  <c r="AM47" i="48" s="1"/>
  <c r="X123" i="59"/>
  <c r="D98" i="59"/>
  <c r="D99" i="59" s="1"/>
  <c r="L84" i="47"/>
  <c r="X84" i="47"/>
  <c r="AO46" i="3"/>
  <c r="AQ46" i="3"/>
  <c r="AS47" i="3" s="1"/>
  <c r="S49" i="50"/>
  <c r="T49" i="50" s="1"/>
  <c r="AI55" i="26"/>
  <c r="AL55" i="26" s="1"/>
  <c r="X86" i="51"/>
  <c r="Y85" i="47"/>
  <c r="Z85" i="47" s="1"/>
  <c r="AA85" i="47" s="1"/>
  <c r="J85" i="47" s="1"/>
  <c r="AO48" i="41"/>
  <c r="AQ48" i="41"/>
  <c r="AS49" i="41" s="1"/>
  <c r="R48" i="41"/>
  <c r="V48" i="41" s="1"/>
  <c r="Q48" i="41" s="1"/>
  <c r="Z98" i="68"/>
  <c r="AA98" i="68" s="1"/>
  <c r="AB98" i="68" s="1"/>
  <c r="K98" i="68" s="1"/>
  <c r="M98" i="68" s="1"/>
  <c r="AG84" i="47"/>
  <c r="Y49" i="51"/>
  <c r="AG49" i="51" s="1"/>
  <c r="AH49" i="51" s="1"/>
  <c r="AI47" i="57"/>
  <c r="AB46" i="57"/>
  <c r="R48" i="57"/>
  <c r="U48" i="57"/>
  <c r="P48" i="57" s="1"/>
  <c r="AG48" i="51"/>
  <c r="AH48" i="51" s="1"/>
  <c r="S85" i="47"/>
  <c r="T85" i="47" s="1"/>
  <c r="G47" i="41"/>
  <c r="K47" i="41"/>
  <c r="I48" i="41"/>
  <c r="Y55" i="48"/>
  <c r="Z55" i="48" s="1"/>
  <c r="AA55" i="48" s="1"/>
  <c r="J55" i="48" s="1"/>
  <c r="L55" i="48" s="1"/>
  <c r="AC91" i="68"/>
  <c r="AK92" i="68"/>
  <c r="S93" i="68"/>
  <c r="V93" i="68" s="1"/>
  <c r="Q93" i="68" s="1"/>
  <c r="AO46" i="1"/>
  <c r="AQ46" i="1"/>
  <c r="AS47" i="1" s="1"/>
  <c r="Y52" i="1"/>
  <c r="AG52" i="1" s="1"/>
  <c r="AH52" i="1" s="1"/>
  <c r="S84" i="47"/>
  <c r="T84" i="47" s="1"/>
  <c r="AL47" i="3"/>
  <c r="AM47" i="3" s="1"/>
  <c r="AN47" i="3"/>
  <c r="AP47" i="3" s="1"/>
  <c r="B47" i="3"/>
  <c r="AQ46" i="51"/>
  <c r="AS47" i="51" s="1"/>
  <c r="AO46" i="51"/>
  <c r="AI44" i="48"/>
  <c r="AB43" i="48"/>
  <c r="R45" i="48"/>
  <c r="U45" i="48" s="1"/>
  <c r="P45" i="48" s="1"/>
  <c r="AK47" i="57"/>
  <c r="AD47" i="57" s="1"/>
  <c r="AJ47" i="57"/>
  <c r="AC47" i="57" s="1"/>
  <c r="Z48" i="51"/>
  <c r="AA48" i="51" s="1"/>
  <c r="J48" i="51" s="1"/>
  <c r="L48" i="51" s="1"/>
  <c r="S56" i="26"/>
  <c r="AJ56" i="26" s="1"/>
  <c r="AK56" i="26" s="1"/>
  <c r="K56" i="26" s="1"/>
  <c r="D85" i="50"/>
  <c r="Y52" i="39"/>
  <c r="AG52" i="39" s="1"/>
  <c r="AH52" i="39" s="1"/>
  <c r="K52" i="39" s="1"/>
  <c r="W85" i="47"/>
  <c r="X85" i="47" s="1"/>
  <c r="AZ86" i="47"/>
  <c r="AF85" i="47"/>
  <c r="AG85" i="47" s="1"/>
  <c r="D86" i="47"/>
  <c r="I86" i="47"/>
  <c r="H22" i="45"/>
  <c r="F47" i="41"/>
  <c r="H47" i="41" s="1"/>
  <c r="J47" i="41"/>
  <c r="L47" i="41" s="1"/>
  <c r="AF47" i="41"/>
  <c r="AF86" i="41" s="1"/>
  <c r="AE86" i="41"/>
  <c r="D48" i="41"/>
  <c r="AQ95" i="68" l="1"/>
  <c r="AS95" i="68"/>
  <c r="AU96" i="68" s="1"/>
  <c r="B96" i="68"/>
  <c r="AP96" i="68"/>
  <c r="AR96" i="68" s="1"/>
  <c r="AN96" i="68"/>
  <c r="AO96" i="68" s="1"/>
  <c r="M94" i="67"/>
  <c r="Y131" i="67"/>
  <c r="AG131" i="67"/>
  <c r="AO49" i="57"/>
  <c r="AQ49" i="57"/>
  <c r="AS50" i="57" s="1"/>
  <c r="X131" i="67"/>
  <c r="AH131" i="67"/>
  <c r="Y53" i="3"/>
  <c r="AG53" i="3" s="1"/>
  <c r="AH53" i="3" s="1"/>
  <c r="K53" i="3" s="1"/>
  <c r="P46" i="1"/>
  <c r="AG52" i="3"/>
  <c r="AH52" i="3" s="1"/>
  <c r="K52" i="3" s="1"/>
  <c r="L52" i="3" s="1"/>
  <c r="AJ45" i="1"/>
  <c r="AC45" i="1" s="1"/>
  <c r="AB45" i="1"/>
  <c r="R47" i="1"/>
  <c r="U47" i="1" s="1"/>
  <c r="P47" i="1" s="1"/>
  <c r="AI46" i="1"/>
  <c r="AJ46" i="1" s="1"/>
  <c r="AC46" i="1" s="1"/>
  <c r="V46" i="1"/>
  <c r="AP85" i="47"/>
  <c r="AB43" i="39"/>
  <c r="AI44" i="39"/>
  <c r="AJ44" i="39" s="1"/>
  <c r="AC44" i="39" s="1"/>
  <c r="AM86" i="47"/>
  <c r="AN86" i="47" s="1"/>
  <c r="AR86" i="47" s="1"/>
  <c r="AT87" i="47" s="1"/>
  <c r="B86" i="47"/>
  <c r="AO87" i="47" s="1"/>
  <c r="AQ87" i="47" s="1"/>
  <c r="AJ43" i="39"/>
  <c r="AC43" i="39" s="1"/>
  <c r="R45" i="39"/>
  <c r="R46" i="39" s="1"/>
  <c r="U44" i="39"/>
  <c r="P44" i="39" s="1"/>
  <c r="Z49" i="50"/>
  <c r="AA49" i="50" s="1"/>
  <c r="J49" i="50" s="1"/>
  <c r="L49" i="50" s="1"/>
  <c r="Y50" i="50"/>
  <c r="AG50" i="50" s="1"/>
  <c r="AH50" i="50" s="1"/>
  <c r="T99" i="59"/>
  <c r="U99" i="59" s="1"/>
  <c r="AS92" i="67"/>
  <c r="AU93" i="67" s="1"/>
  <c r="AQ92" i="67"/>
  <c r="AN93" i="67"/>
  <c r="AO93" i="67" s="1"/>
  <c r="AP93" i="67"/>
  <c r="AR93" i="67" s="1"/>
  <c r="B93" i="67"/>
  <c r="B94" i="67" s="1"/>
  <c r="L85" i="47"/>
  <c r="V90" i="67"/>
  <c r="Q90" i="67" s="1"/>
  <c r="AG49" i="49"/>
  <c r="AH49" i="49" s="1"/>
  <c r="Z49" i="49"/>
  <c r="AA49" i="49" s="1"/>
  <c r="J49" i="49" s="1"/>
  <c r="L49" i="49" s="1"/>
  <c r="Y50" i="49"/>
  <c r="AL46" i="39"/>
  <c r="AM46" i="39" s="1"/>
  <c r="AN46" i="39"/>
  <c r="AP46" i="39" s="1"/>
  <c r="B46" i="39"/>
  <c r="AO45" i="39"/>
  <c r="AQ45" i="39"/>
  <c r="AS46" i="39" s="1"/>
  <c r="AK43" i="3"/>
  <c r="AD43" i="3" s="1"/>
  <c r="G43" i="3" s="1"/>
  <c r="H43" i="3" s="1"/>
  <c r="AJ43" i="3"/>
  <c r="AC43" i="3" s="1"/>
  <c r="U44" i="3"/>
  <c r="P44" i="3" s="1"/>
  <c r="V44" i="3"/>
  <c r="Q44" i="3" s="1"/>
  <c r="F44" i="3" s="1"/>
  <c r="R45" i="3"/>
  <c r="AB43" i="3"/>
  <c r="AI44" i="3"/>
  <c r="AJ44" i="49"/>
  <c r="AC44" i="49" s="1"/>
  <c r="V45" i="49"/>
  <c r="Q45" i="49" s="1"/>
  <c r="F45" i="49" s="1"/>
  <c r="H45" i="49" s="1"/>
  <c r="U45" i="49"/>
  <c r="P45" i="49" s="1"/>
  <c r="AB44" i="49"/>
  <c r="AI45" i="49"/>
  <c r="AK45" i="49" s="1"/>
  <c r="AD45" i="49" s="1"/>
  <c r="R46" i="49"/>
  <c r="AM80" i="59"/>
  <c r="AF80" i="59" s="1"/>
  <c r="AK43" i="50"/>
  <c r="AD43" i="50" s="1"/>
  <c r="AJ43" i="50"/>
  <c r="AC43" i="50" s="1"/>
  <c r="V44" i="50"/>
  <c r="Q44" i="50" s="1"/>
  <c r="F44" i="50" s="1"/>
  <c r="H44" i="50" s="1"/>
  <c r="U44" i="50"/>
  <c r="P44" i="50" s="1"/>
  <c r="R45" i="50"/>
  <c r="AB43" i="50"/>
  <c r="AI44" i="50"/>
  <c r="AB56" i="26"/>
  <c r="AC56" i="26" s="1"/>
  <c r="U80" i="47"/>
  <c r="P80" i="47" s="1"/>
  <c r="AG55" i="48"/>
  <c r="AH55" i="48" s="1"/>
  <c r="AC80" i="60"/>
  <c r="AK81" i="60"/>
  <c r="AL81" i="60" s="1"/>
  <c r="AE81" i="60" s="1"/>
  <c r="S82" i="60"/>
  <c r="V82" i="60" s="1"/>
  <c r="AV47" i="26"/>
  <c r="AX48" i="26" s="1"/>
  <c r="AT47" i="26"/>
  <c r="AM80" i="60"/>
  <c r="AF80" i="60" s="1"/>
  <c r="W81" i="60"/>
  <c r="U45" i="52"/>
  <c r="P45" i="52" s="1"/>
  <c r="AB44" i="52"/>
  <c r="R46" i="52"/>
  <c r="V46" i="52" s="1"/>
  <c r="Q46" i="52" s="1"/>
  <c r="F46" i="52" s="1"/>
  <c r="H46" i="52" s="1"/>
  <c r="AI45" i="52"/>
  <c r="AO45" i="52"/>
  <c r="AQ45" i="52"/>
  <c r="AS46" i="52" s="1"/>
  <c r="AP84" i="60"/>
  <c r="AR84" i="60" s="1"/>
  <c r="B84" i="60"/>
  <c r="AN84" i="60"/>
  <c r="AO84" i="60" s="1"/>
  <c r="AJ44" i="52"/>
  <c r="AC44" i="52" s="1"/>
  <c r="AK44" i="52"/>
  <c r="AD44" i="52" s="1"/>
  <c r="AQ48" i="26"/>
  <c r="AR48" i="26" s="1"/>
  <c r="B48" i="26"/>
  <c r="AS48" i="26"/>
  <c r="AU48" i="26" s="1"/>
  <c r="AL46" i="52"/>
  <c r="AM46" i="52" s="1"/>
  <c r="B46" i="52"/>
  <c r="AN46" i="52"/>
  <c r="AP46" i="52" s="1"/>
  <c r="AS83" i="60"/>
  <c r="AU84" i="60" s="1"/>
  <c r="AQ83" i="60"/>
  <c r="V45" i="52"/>
  <c r="Q45" i="52" s="1"/>
  <c r="F45" i="52" s="1"/>
  <c r="H45" i="52" s="1"/>
  <c r="AM89" i="67"/>
  <c r="AF89" i="67" s="1"/>
  <c r="AH85" i="47"/>
  <c r="AI85" i="47" s="1"/>
  <c r="V45" i="48"/>
  <c r="Q45" i="48" s="1"/>
  <c r="F45" i="48" s="1"/>
  <c r="H45" i="48" s="1"/>
  <c r="W90" i="67"/>
  <c r="R90" i="67" s="1"/>
  <c r="AN49" i="49"/>
  <c r="AP49" i="49" s="1"/>
  <c r="B49" i="49"/>
  <c r="AL49" i="49"/>
  <c r="AM49" i="49" s="1"/>
  <c r="AQ48" i="49"/>
  <c r="AS49" i="49" s="1"/>
  <c r="AO48" i="49"/>
  <c r="T56" i="26"/>
  <c r="AQ83" i="59"/>
  <c r="AS83" i="59"/>
  <c r="AU84" i="59" s="1"/>
  <c r="AN84" i="59"/>
  <c r="AO84" i="59" s="1"/>
  <c r="B84" i="59"/>
  <c r="AP84" i="59"/>
  <c r="AR84" i="59" s="1"/>
  <c r="Z49" i="51"/>
  <c r="AA49" i="51" s="1"/>
  <c r="J49" i="51" s="1"/>
  <c r="L49" i="51" s="1"/>
  <c r="Q89" i="67"/>
  <c r="G89" i="67" s="1"/>
  <c r="I89" i="67" s="1"/>
  <c r="AC89" i="67"/>
  <c r="AK90" i="67"/>
  <c r="AM90" i="67" s="1"/>
  <c r="AF90" i="67" s="1"/>
  <c r="S91" i="67"/>
  <c r="V91" i="67" s="1"/>
  <c r="AQ47" i="50"/>
  <c r="AS48" i="50" s="1"/>
  <c r="AO47" i="50"/>
  <c r="AL79" i="47"/>
  <c r="AE79" i="47" s="1"/>
  <c r="U45" i="51"/>
  <c r="P45" i="51" s="1"/>
  <c r="AI45" i="51"/>
  <c r="AB44" i="51"/>
  <c r="R46" i="51"/>
  <c r="AL48" i="50"/>
  <c r="AM48" i="50" s="1"/>
  <c r="B48" i="50"/>
  <c r="AN48" i="50"/>
  <c r="AP48" i="50" s="1"/>
  <c r="AK44" i="51"/>
  <c r="AD44" i="51" s="1"/>
  <c r="AJ44" i="51"/>
  <c r="AC44" i="51" s="1"/>
  <c r="AA87" i="59"/>
  <c r="AB87" i="59" s="1"/>
  <c r="K87" i="59" s="1"/>
  <c r="M87" i="59" s="1"/>
  <c r="AB79" i="47"/>
  <c r="AJ80" i="47"/>
  <c r="AL80" i="47" s="1"/>
  <c r="AE80" i="47" s="1"/>
  <c r="R81" i="47"/>
  <c r="U81" i="47" s="1"/>
  <c r="P81" i="47" s="1"/>
  <c r="J48" i="41"/>
  <c r="F48" i="41"/>
  <c r="S85" i="50"/>
  <c r="T85" i="50" s="1"/>
  <c r="I123" i="47"/>
  <c r="Y53" i="1"/>
  <c r="AG53" i="1" s="1"/>
  <c r="AH53" i="1" s="1"/>
  <c r="AB47" i="57"/>
  <c r="AI48" i="57"/>
  <c r="AJ48" i="57" s="1"/>
  <c r="AC48" i="57" s="1"/>
  <c r="R49" i="57"/>
  <c r="U49" i="57" s="1"/>
  <c r="S86" i="47"/>
  <c r="T86" i="47" s="1"/>
  <c r="AN48" i="3"/>
  <c r="AP48" i="3" s="1"/>
  <c r="AL48" i="3"/>
  <c r="AM48" i="3" s="1"/>
  <c r="B48" i="3"/>
  <c r="D122" i="47"/>
  <c r="Y50" i="51"/>
  <c r="Z50" i="51" s="1"/>
  <c r="AA50" i="51" s="1"/>
  <c r="J50" i="51" s="1"/>
  <c r="L50" i="51" s="1"/>
  <c r="AF123" i="47"/>
  <c r="W123" i="47"/>
  <c r="T98" i="59"/>
  <c r="U98" i="59" s="1"/>
  <c r="D123" i="59"/>
  <c r="B50" i="41"/>
  <c r="AN50" i="41"/>
  <c r="AP50" i="41" s="1"/>
  <c r="AL50" i="41"/>
  <c r="AM50" i="41" s="1"/>
  <c r="V81" i="59"/>
  <c r="Q81" i="59" s="1"/>
  <c r="B48" i="51"/>
  <c r="AN48" i="51"/>
  <c r="AP48" i="51" s="1"/>
  <c r="AL48" i="51"/>
  <c r="AM48" i="51" s="1"/>
  <c r="Y52" i="52"/>
  <c r="Z52" i="52" s="1"/>
  <c r="AA52" i="52" s="1"/>
  <c r="J52" i="52" s="1"/>
  <c r="L52" i="52" s="1"/>
  <c r="Y53" i="39"/>
  <c r="AG53" i="39" s="1"/>
  <c r="AH53" i="39" s="1"/>
  <c r="K53" i="39" s="1"/>
  <c r="S57" i="26"/>
  <c r="X57" i="26" s="1"/>
  <c r="Y57" i="26" s="1"/>
  <c r="J57" i="26" s="1"/>
  <c r="AQ47" i="3"/>
  <c r="AS48" i="3" s="1"/>
  <c r="AO47" i="3"/>
  <c r="AJ44" i="48"/>
  <c r="AC44" i="48" s="1"/>
  <c r="Z99" i="68"/>
  <c r="AA99" i="68" s="1"/>
  <c r="AB99" i="68" s="1"/>
  <c r="K99" i="68" s="1"/>
  <c r="M99" i="68" s="1"/>
  <c r="Z52" i="39"/>
  <c r="AA52" i="39" s="1"/>
  <c r="J52" i="39" s="1"/>
  <c r="L52" i="39" s="1"/>
  <c r="Y49" i="41"/>
  <c r="D123" i="47"/>
  <c r="Z52" i="1"/>
  <c r="AA52" i="1" s="1"/>
  <c r="J52" i="1" s="1"/>
  <c r="L52" i="1" s="1"/>
  <c r="AK93" i="68"/>
  <c r="AC92" i="68"/>
  <c r="S94" i="68"/>
  <c r="W94" i="68" s="1"/>
  <c r="R94" i="68" s="1"/>
  <c r="G94" i="68" s="1"/>
  <c r="I94" i="68" s="1"/>
  <c r="W93" i="68"/>
  <c r="R93" i="68" s="1"/>
  <c r="G93" i="68" s="1"/>
  <c r="I93" i="68" s="1"/>
  <c r="V48" i="57"/>
  <c r="Q48" i="57" s="1"/>
  <c r="F48" i="57" s="1"/>
  <c r="AG123" i="47"/>
  <c r="AI98" i="68"/>
  <c r="AJ98" i="68" s="1"/>
  <c r="X123" i="47"/>
  <c r="S85" i="51"/>
  <c r="T85" i="51" s="1"/>
  <c r="AQ49" i="41"/>
  <c r="AS50" i="41" s="1"/>
  <c r="AO49" i="41"/>
  <c r="U48" i="41"/>
  <c r="P48" i="41" s="1"/>
  <c r="AA57" i="26"/>
  <c r="AI57" i="26" s="1"/>
  <c r="AL57" i="26" s="1"/>
  <c r="AO47" i="51"/>
  <c r="AQ47" i="51"/>
  <c r="AS48" i="51" s="1"/>
  <c r="AG51" i="52"/>
  <c r="AH51" i="52" s="1"/>
  <c r="D59" i="59"/>
  <c r="S48" i="41"/>
  <c r="T48" i="41" s="1"/>
  <c r="AI48" i="41"/>
  <c r="AB47" i="41"/>
  <c r="AO47" i="48"/>
  <c r="AQ47" i="48"/>
  <c r="AS48" i="48" s="1"/>
  <c r="AO47" i="1"/>
  <c r="AQ47" i="1"/>
  <c r="AS48" i="1" s="1"/>
  <c r="S49" i="41"/>
  <c r="T49" i="41" s="1"/>
  <c r="AC80" i="59"/>
  <c r="AK81" i="59"/>
  <c r="AM81" i="59" s="1"/>
  <c r="AF81" i="59" s="1"/>
  <c r="S82" i="59"/>
  <c r="W82" i="59" s="1"/>
  <c r="R82" i="59" s="1"/>
  <c r="G82" i="59" s="1"/>
  <c r="I82" i="59" s="1"/>
  <c r="AM92" i="68"/>
  <c r="AF92" i="68" s="1"/>
  <c r="AE40" i="26"/>
  <c r="AN41" i="26"/>
  <c r="AY41" i="26"/>
  <c r="D41" i="26" s="1"/>
  <c r="W41" i="26"/>
  <c r="Q41" i="26" s="1"/>
  <c r="F41" i="26" s="1"/>
  <c r="V41" i="26"/>
  <c r="P41" i="26" s="1"/>
  <c r="Y86" i="47"/>
  <c r="Z86" i="47" s="1"/>
  <c r="AA86" i="47" s="1"/>
  <c r="J86" i="47" s="1"/>
  <c r="L86" i="47" s="1"/>
  <c r="X56" i="26"/>
  <c r="Y56" i="26" s="1"/>
  <c r="J56" i="26" s="1"/>
  <c r="L56" i="26" s="1"/>
  <c r="AB44" i="48"/>
  <c r="AI45" i="48"/>
  <c r="AJ45" i="48" s="1"/>
  <c r="AC45" i="48" s="1"/>
  <c r="R46" i="48"/>
  <c r="U46" i="48" s="1"/>
  <c r="P46" i="48" s="1"/>
  <c r="Y56" i="48"/>
  <c r="Z56" i="48" s="1"/>
  <c r="AA56" i="48" s="1"/>
  <c r="J56" i="48" s="1"/>
  <c r="L56" i="48" s="1"/>
  <c r="AK44" i="48"/>
  <c r="AD44" i="48" s="1"/>
  <c r="B48" i="48"/>
  <c r="AL48" i="48"/>
  <c r="AM48" i="48" s="1"/>
  <c r="AN48" i="48"/>
  <c r="AP48" i="48" s="1"/>
  <c r="AL48" i="1"/>
  <c r="AM48" i="1" s="1"/>
  <c r="AN48" i="1"/>
  <c r="AP48" i="1" s="1"/>
  <c r="B48" i="1"/>
  <c r="Z88" i="59"/>
  <c r="AI88" i="59" s="1"/>
  <c r="AJ88" i="59" s="1"/>
  <c r="D22" i="41"/>
  <c r="D86" i="41" s="1"/>
  <c r="D22" i="50"/>
  <c r="D86" i="50" s="1"/>
  <c r="R49" i="41"/>
  <c r="V49" i="41" s="1"/>
  <c r="Q49" i="41" s="1"/>
  <c r="AL92" i="68"/>
  <c r="AE92" i="68" s="1"/>
  <c r="E47" i="61"/>
  <c r="L47" i="61"/>
  <c r="AI99" i="68" l="1"/>
  <c r="AJ99" i="68" s="1"/>
  <c r="AQ96" i="68"/>
  <c r="AS96" i="68"/>
  <c r="AU97" i="68" s="1"/>
  <c r="B97" i="68"/>
  <c r="AP97" i="68"/>
  <c r="AR97" i="68" s="1"/>
  <c r="AN97" i="68"/>
  <c r="AO97" i="68" s="1"/>
  <c r="U45" i="39"/>
  <c r="P45" i="39" s="1"/>
  <c r="V47" i="1"/>
  <c r="Z53" i="3"/>
  <c r="AA53" i="3" s="1"/>
  <c r="J53" i="3" s="1"/>
  <c r="L53" i="3" s="1"/>
  <c r="Y54" i="3"/>
  <c r="AG54" i="3" s="1"/>
  <c r="AH54" i="3" s="1"/>
  <c r="K54" i="3" s="1"/>
  <c r="R48" i="1"/>
  <c r="V48" i="1" s="1"/>
  <c r="AK46" i="1"/>
  <c r="AD46" i="1" s="1"/>
  <c r="AI47" i="1"/>
  <c r="AK47" i="1" s="1"/>
  <c r="AD47" i="1" s="1"/>
  <c r="AB46" i="1"/>
  <c r="Q47" i="1"/>
  <c r="F47" i="1" s="1"/>
  <c r="H47" i="1" s="1"/>
  <c r="AM87" i="47"/>
  <c r="AN87" i="47" s="1"/>
  <c r="AP87" i="47" s="1"/>
  <c r="B87" i="47"/>
  <c r="AO88" i="47" s="1"/>
  <c r="AQ88" i="47" s="1"/>
  <c r="AK44" i="39"/>
  <c r="AD44" i="39" s="1"/>
  <c r="G44" i="39" s="1"/>
  <c r="H44" i="39" s="1"/>
  <c r="AP86" i="47"/>
  <c r="V45" i="39"/>
  <c r="Q45" i="39" s="1"/>
  <c r="F45" i="39" s="1"/>
  <c r="AI45" i="39"/>
  <c r="AK45" i="39" s="1"/>
  <c r="AD45" i="39" s="1"/>
  <c r="G45" i="39" s="1"/>
  <c r="AB44" i="39"/>
  <c r="Y51" i="50"/>
  <c r="Z51" i="50" s="1"/>
  <c r="AA51" i="50" s="1"/>
  <c r="J51" i="50" s="1"/>
  <c r="L51" i="50" s="1"/>
  <c r="Z50" i="50"/>
  <c r="AA50" i="50" s="1"/>
  <c r="J50" i="50" s="1"/>
  <c r="L50" i="50" s="1"/>
  <c r="AP85" i="60"/>
  <c r="AR85" i="60" s="1"/>
  <c r="AN85" i="60"/>
  <c r="AO85" i="60" s="1"/>
  <c r="B85" i="60"/>
  <c r="AP94" i="67"/>
  <c r="AR94" i="67" s="1"/>
  <c r="AN94" i="67"/>
  <c r="AO94" i="67" s="1"/>
  <c r="G90" i="67"/>
  <c r="I90" i="67" s="1"/>
  <c r="AQ93" i="67"/>
  <c r="AS93" i="67"/>
  <c r="AU94" i="67" s="1"/>
  <c r="Z50" i="49"/>
  <c r="AA50" i="49" s="1"/>
  <c r="J50" i="49" s="1"/>
  <c r="L50" i="49" s="1"/>
  <c r="AG50" i="49"/>
  <c r="AH50" i="49" s="1"/>
  <c r="Y51" i="49"/>
  <c r="AL47" i="39"/>
  <c r="AM47" i="39" s="1"/>
  <c r="B47" i="39"/>
  <c r="AN47" i="39"/>
  <c r="AP47" i="39" s="1"/>
  <c r="AO46" i="39"/>
  <c r="AQ46" i="39"/>
  <c r="AS47" i="39" s="1"/>
  <c r="AJ44" i="3"/>
  <c r="AC44" i="3" s="1"/>
  <c r="AK44" i="3"/>
  <c r="AD44" i="3" s="1"/>
  <c r="G44" i="3" s="1"/>
  <c r="H44" i="3" s="1"/>
  <c r="V45" i="3"/>
  <c r="Q45" i="3" s="1"/>
  <c r="F45" i="3" s="1"/>
  <c r="R46" i="3"/>
  <c r="AB44" i="3"/>
  <c r="AI45" i="3"/>
  <c r="U45" i="3"/>
  <c r="P45" i="3" s="1"/>
  <c r="U46" i="49"/>
  <c r="P46" i="49" s="1"/>
  <c r="R47" i="49"/>
  <c r="V46" i="49"/>
  <c r="Q46" i="49" s="1"/>
  <c r="F46" i="49" s="1"/>
  <c r="H46" i="49" s="1"/>
  <c r="AI46" i="49"/>
  <c r="AB45" i="49"/>
  <c r="AJ45" i="49"/>
  <c r="AC45" i="49" s="1"/>
  <c r="AK44" i="50"/>
  <c r="AD44" i="50" s="1"/>
  <c r="AJ44" i="50"/>
  <c r="AC44" i="50" s="1"/>
  <c r="U45" i="50"/>
  <c r="P45" i="50" s="1"/>
  <c r="R46" i="50"/>
  <c r="V45" i="50"/>
  <c r="Q45" i="50" s="1"/>
  <c r="F45" i="50" s="1"/>
  <c r="H45" i="50" s="1"/>
  <c r="AB44" i="50"/>
  <c r="AI45" i="50"/>
  <c r="AK45" i="50" s="1"/>
  <c r="AD45" i="50" s="1"/>
  <c r="AG50" i="51"/>
  <c r="AH50" i="51" s="1"/>
  <c r="AL81" i="59"/>
  <c r="AE81" i="59" s="1"/>
  <c r="AL90" i="67"/>
  <c r="AE90" i="67" s="1"/>
  <c r="AS49" i="26"/>
  <c r="AU49" i="26" s="1"/>
  <c r="AQ49" i="26"/>
  <c r="AR49" i="26" s="1"/>
  <c r="B49" i="26"/>
  <c r="AS84" i="60"/>
  <c r="AU85" i="60" s="1"/>
  <c r="AQ84" i="60"/>
  <c r="W82" i="60"/>
  <c r="R82" i="60" s="1"/>
  <c r="G82" i="60" s="1"/>
  <c r="I82" i="60" s="1"/>
  <c r="S83" i="60"/>
  <c r="W83" i="60" s="1"/>
  <c r="R83" i="60" s="1"/>
  <c r="G83" i="60" s="1"/>
  <c r="I83" i="60" s="1"/>
  <c r="AC81" i="60"/>
  <c r="AK82" i="60"/>
  <c r="AL82" i="60" s="1"/>
  <c r="AE82" i="60" s="1"/>
  <c r="AG52" i="52"/>
  <c r="AH52" i="52" s="1"/>
  <c r="AN47" i="52"/>
  <c r="AP47" i="52" s="1"/>
  <c r="B47" i="52"/>
  <c r="AL47" i="52"/>
  <c r="AM47" i="52" s="1"/>
  <c r="AT48" i="26"/>
  <c r="AV48" i="26"/>
  <c r="AX49" i="26" s="1"/>
  <c r="AJ45" i="52"/>
  <c r="AC45" i="52" s="1"/>
  <c r="AK45" i="52"/>
  <c r="AD45" i="52" s="1"/>
  <c r="AM81" i="60"/>
  <c r="AF81" i="60" s="1"/>
  <c r="AO46" i="52"/>
  <c r="AQ46" i="52"/>
  <c r="AS47" i="52" s="1"/>
  <c r="U46" i="52"/>
  <c r="P46" i="52" s="1"/>
  <c r="R47" i="52"/>
  <c r="U47" i="52" s="1"/>
  <c r="P47" i="52" s="1"/>
  <c r="AB45" i="52"/>
  <c r="AI46" i="52"/>
  <c r="R81" i="60"/>
  <c r="G81" i="60" s="1"/>
  <c r="Q82" i="60"/>
  <c r="AO49" i="49"/>
  <c r="AQ49" i="49"/>
  <c r="AS50" i="49" s="1"/>
  <c r="V82" i="59"/>
  <c r="Q82" i="59" s="1"/>
  <c r="V81" i="47"/>
  <c r="Q81" i="47" s="1"/>
  <c r="F81" i="47" s="1"/>
  <c r="H81" i="47" s="1"/>
  <c r="AN50" i="49"/>
  <c r="AP50" i="49" s="1"/>
  <c r="B50" i="49"/>
  <c r="AL50" i="49"/>
  <c r="AM50" i="49" s="1"/>
  <c r="Z53" i="39"/>
  <c r="AA53" i="39" s="1"/>
  <c r="J53" i="39" s="1"/>
  <c r="L53" i="39" s="1"/>
  <c r="Z53" i="1"/>
  <c r="AA53" i="1" s="1"/>
  <c r="J53" i="1" s="1"/>
  <c r="L53" i="1" s="1"/>
  <c r="AP85" i="59"/>
  <c r="AR85" i="59" s="1"/>
  <c r="B85" i="59"/>
  <c r="AN85" i="59"/>
  <c r="AO85" i="59" s="1"/>
  <c r="AS84" i="59"/>
  <c r="AU85" i="59" s="1"/>
  <c r="AQ84" i="59"/>
  <c r="AB80" i="47"/>
  <c r="R82" i="47"/>
  <c r="AJ81" i="47"/>
  <c r="AK81" i="47" s="1"/>
  <c r="AD81" i="47" s="1"/>
  <c r="AK91" i="67"/>
  <c r="AL91" i="67" s="1"/>
  <c r="S92" i="67"/>
  <c r="W92" i="67" s="1"/>
  <c r="R92" i="67" s="1"/>
  <c r="AC90" i="67"/>
  <c r="V46" i="39"/>
  <c r="Q46" i="39" s="1"/>
  <c r="F46" i="39" s="1"/>
  <c r="R47" i="39"/>
  <c r="V47" i="39" s="1"/>
  <c r="Q47" i="39" s="1"/>
  <c r="F47" i="39" s="1"/>
  <c r="AI46" i="39"/>
  <c r="AB45" i="39"/>
  <c r="V46" i="48"/>
  <c r="Q46" i="48" s="1"/>
  <c r="F46" i="48" s="1"/>
  <c r="H46" i="48" s="1"/>
  <c r="B49" i="50"/>
  <c r="AN49" i="50"/>
  <c r="AP49" i="50" s="1"/>
  <c r="AL49" i="50"/>
  <c r="AM49" i="50" s="1"/>
  <c r="AK45" i="51"/>
  <c r="AD45" i="51" s="1"/>
  <c r="AJ45" i="51"/>
  <c r="AC45" i="51" s="1"/>
  <c r="W91" i="67"/>
  <c r="V46" i="51"/>
  <c r="Q46" i="51" s="1"/>
  <c r="F46" i="51" s="1"/>
  <c r="H46" i="51" s="1"/>
  <c r="AB45" i="51"/>
  <c r="U46" i="51"/>
  <c r="P46" i="51" s="1"/>
  <c r="AI46" i="51"/>
  <c r="R47" i="51"/>
  <c r="T57" i="26"/>
  <c r="AK80" i="47"/>
  <c r="AD80" i="47" s="1"/>
  <c r="AQ48" i="50"/>
  <c r="AS49" i="50" s="1"/>
  <c r="AO48" i="50"/>
  <c r="U46" i="39"/>
  <c r="P46" i="39" s="1"/>
  <c r="R42" i="26"/>
  <c r="P49" i="57"/>
  <c r="P86" i="57" s="1"/>
  <c r="U86" i="57"/>
  <c r="AN49" i="1"/>
  <c r="AP49" i="1" s="1"/>
  <c r="B49" i="1"/>
  <c r="AL49" i="1"/>
  <c r="AM49" i="1" s="1"/>
  <c r="AG56" i="48"/>
  <c r="AH56" i="48" s="1"/>
  <c r="AH86" i="47"/>
  <c r="AI86" i="47" s="1"/>
  <c r="AI49" i="41"/>
  <c r="AK49" i="41" s="1"/>
  <c r="AD49" i="41" s="1"/>
  <c r="AB48" i="41"/>
  <c r="R50" i="41"/>
  <c r="V50" i="41" s="1"/>
  <c r="Q50" i="41" s="1"/>
  <c r="AO48" i="48"/>
  <c r="AQ48" i="48"/>
  <c r="AS49" i="48" s="1"/>
  <c r="AK82" i="59"/>
  <c r="AL82" i="59" s="1"/>
  <c r="AE82" i="59" s="1"/>
  <c r="AC81" i="59"/>
  <c r="S83" i="59"/>
  <c r="W83" i="59" s="1"/>
  <c r="R83" i="59" s="1"/>
  <c r="G83" i="59" s="1"/>
  <c r="I83" i="59" s="1"/>
  <c r="AJ49" i="41"/>
  <c r="AC49" i="41" s="1"/>
  <c r="AJ48" i="41"/>
  <c r="AC48" i="41" s="1"/>
  <c r="AK48" i="41"/>
  <c r="AD48" i="41" s="1"/>
  <c r="AB57" i="26"/>
  <c r="AC57" i="26" s="1"/>
  <c r="AK48" i="57"/>
  <c r="AD48" i="57" s="1"/>
  <c r="V94" i="68"/>
  <c r="Q94" i="68" s="1"/>
  <c r="AM93" i="68"/>
  <c r="AF93" i="68" s="1"/>
  <c r="AJ57" i="26"/>
  <c r="AK57" i="26" s="1"/>
  <c r="K57" i="26" s="1"/>
  <c r="L57" i="26" s="1"/>
  <c r="AQ48" i="51"/>
  <c r="AS49" i="51" s="1"/>
  <c r="AO48" i="51"/>
  <c r="AO50" i="41"/>
  <c r="AQ50" i="41"/>
  <c r="AS51" i="41" s="1"/>
  <c r="AL49" i="3"/>
  <c r="AM49" i="3" s="1"/>
  <c r="AN49" i="3"/>
  <c r="AP49" i="3" s="1"/>
  <c r="B49" i="3"/>
  <c r="V49" i="57"/>
  <c r="Y54" i="1"/>
  <c r="AG54" i="1" s="1"/>
  <c r="AH54" i="1" s="1"/>
  <c r="Z89" i="59"/>
  <c r="AI89" i="59" s="1"/>
  <c r="AJ89" i="59" s="1"/>
  <c r="AO48" i="1"/>
  <c r="AQ48" i="1"/>
  <c r="AS49" i="1" s="1"/>
  <c r="B49" i="48"/>
  <c r="AL49" i="48"/>
  <c r="AM49" i="48" s="1"/>
  <c r="AN49" i="48"/>
  <c r="AP49" i="48" s="1"/>
  <c r="Y57" i="48"/>
  <c r="AG57" i="48" s="1"/>
  <c r="AH57" i="48" s="1"/>
  <c r="AI46" i="48"/>
  <c r="AB45" i="48"/>
  <c r="R47" i="48"/>
  <c r="U47" i="48" s="1"/>
  <c r="P47" i="48" s="1"/>
  <c r="Y87" i="47"/>
  <c r="Z87" i="47" s="1"/>
  <c r="AA87" i="47" s="1"/>
  <c r="J87" i="47" s="1"/>
  <c r="L87" i="47" s="1"/>
  <c r="AL93" i="68"/>
  <c r="AE93" i="68" s="1"/>
  <c r="Y54" i="39"/>
  <c r="AG54" i="39" s="1"/>
  <c r="AH54" i="39" s="1"/>
  <c r="K54" i="39" s="1"/>
  <c r="Y53" i="52"/>
  <c r="AG53" i="52" s="1"/>
  <c r="AH53" i="52" s="1"/>
  <c r="AO48" i="3"/>
  <c r="AQ48" i="3"/>
  <c r="AS49" i="3" s="1"/>
  <c r="J49" i="41"/>
  <c r="F49" i="41"/>
  <c r="H48" i="57"/>
  <c r="AC93" i="68"/>
  <c r="AK94" i="68"/>
  <c r="AM94" i="68" s="1"/>
  <c r="AF94" i="68" s="1"/>
  <c r="S95" i="68"/>
  <c r="V95" i="68" s="1"/>
  <c r="Q95" i="68" s="1"/>
  <c r="W95" i="68"/>
  <c r="R95" i="68" s="1"/>
  <c r="G95" i="68" s="1"/>
  <c r="I95" i="68" s="1"/>
  <c r="Y50" i="41"/>
  <c r="Z50" i="41"/>
  <c r="AA50" i="41" s="1"/>
  <c r="AG49" i="41"/>
  <c r="AH49" i="41" s="1"/>
  <c r="Z49" i="41"/>
  <c r="AA49" i="41" s="1"/>
  <c r="S58" i="26"/>
  <c r="AJ58" i="26" s="1"/>
  <c r="AK58" i="26" s="1"/>
  <c r="K58" i="26" s="1"/>
  <c r="AN49" i="51"/>
  <c r="AP49" i="51" s="1"/>
  <c r="AL49" i="51"/>
  <c r="AM49" i="51" s="1"/>
  <c r="B49" i="51"/>
  <c r="AL51" i="41"/>
  <c r="AM51" i="41" s="1"/>
  <c r="AN51" i="41"/>
  <c r="AP51" i="41" s="1"/>
  <c r="B51" i="41"/>
  <c r="D48" i="61"/>
  <c r="AA88" i="59"/>
  <c r="AB88" i="59" s="1"/>
  <c r="K88" i="59" s="1"/>
  <c r="M88" i="59" s="1"/>
  <c r="AO41" i="26"/>
  <c r="AF41" i="26" s="1"/>
  <c r="AP41" i="26"/>
  <c r="AG41" i="26" s="1"/>
  <c r="G41" i="26" s="1"/>
  <c r="H41" i="26" s="1"/>
  <c r="U49" i="41"/>
  <c r="P49" i="41" s="1"/>
  <c r="AA58" i="26"/>
  <c r="T58" i="26" s="1"/>
  <c r="Z100" i="68"/>
  <c r="AA100" i="68" s="1"/>
  <c r="AB100" i="68" s="1"/>
  <c r="K100" i="68" s="1"/>
  <c r="M100" i="68" s="1"/>
  <c r="AK45" i="48"/>
  <c r="AD45" i="48" s="1"/>
  <c r="Y51" i="51"/>
  <c r="S122" i="47"/>
  <c r="T122" i="47" s="1"/>
  <c r="D59" i="47"/>
  <c r="AI49" i="57"/>
  <c r="AB48" i="57"/>
  <c r="AB49" i="57"/>
  <c r="R86" i="57"/>
  <c r="U50" i="41" l="1"/>
  <c r="P50" i="41" s="1"/>
  <c r="AS97" i="68"/>
  <c r="AU98" i="68" s="1"/>
  <c r="AQ97" i="68"/>
  <c r="AP98" i="68"/>
  <c r="AR98" i="68" s="1"/>
  <c r="AN98" i="68"/>
  <c r="AO98" i="68" s="1"/>
  <c r="B98" i="68"/>
  <c r="Z54" i="3"/>
  <c r="AA54" i="3" s="1"/>
  <c r="J54" i="3" s="1"/>
  <c r="L54" i="3" s="1"/>
  <c r="Y55" i="3"/>
  <c r="Z55" i="3" s="1"/>
  <c r="AA55" i="3" s="1"/>
  <c r="J55" i="3" s="1"/>
  <c r="AL94" i="68"/>
  <c r="AE94" i="68" s="1"/>
  <c r="AB86" i="57"/>
  <c r="AI100" i="68"/>
  <c r="AJ100" i="68" s="1"/>
  <c r="AJ47" i="1"/>
  <c r="AC47" i="1" s="1"/>
  <c r="AI48" i="1"/>
  <c r="AK48" i="1" s="1"/>
  <c r="AD48" i="1" s="1"/>
  <c r="AB47" i="1"/>
  <c r="R49" i="1"/>
  <c r="U49" i="1" s="1"/>
  <c r="P49" i="1" s="1"/>
  <c r="U48" i="1"/>
  <c r="P48" i="1" s="1"/>
  <c r="AR87" i="47"/>
  <c r="AT88" i="47" s="1"/>
  <c r="AM88" i="47"/>
  <c r="AN88" i="47" s="1"/>
  <c r="AP88" i="47" s="1"/>
  <c r="B88" i="47"/>
  <c r="AO89" i="47" s="1"/>
  <c r="AQ89" i="47" s="1"/>
  <c r="AJ46" i="39"/>
  <c r="AC46" i="39" s="1"/>
  <c r="AJ45" i="39"/>
  <c r="AC45" i="39" s="1"/>
  <c r="H45" i="39"/>
  <c r="Y52" i="50"/>
  <c r="Z52" i="50" s="1"/>
  <c r="AA52" i="50" s="1"/>
  <c r="J52" i="50" s="1"/>
  <c r="L52" i="50" s="1"/>
  <c r="AG51" i="50"/>
  <c r="AH51" i="50" s="1"/>
  <c r="AS85" i="60"/>
  <c r="AU86" i="60" s="1"/>
  <c r="AQ85" i="60"/>
  <c r="AS94" i="67"/>
  <c r="AU95" i="67" s="1"/>
  <c r="AQ94" i="67"/>
  <c r="AN95" i="67"/>
  <c r="AO95" i="67" s="1"/>
  <c r="B95" i="67"/>
  <c r="AP95" i="67"/>
  <c r="AR95" i="67" s="1"/>
  <c r="V92" i="67"/>
  <c r="Q92" i="67" s="1"/>
  <c r="G92" i="67" s="1"/>
  <c r="I92" i="67" s="1"/>
  <c r="Z51" i="49"/>
  <c r="AA51" i="49" s="1"/>
  <c r="J51" i="49" s="1"/>
  <c r="L51" i="49" s="1"/>
  <c r="Y52" i="49"/>
  <c r="AG51" i="49"/>
  <c r="AH51" i="49" s="1"/>
  <c r="AL48" i="39"/>
  <c r="AM48" i="39" s="1"/>
  <c r="AN48" i="39"/>
  <c r="AP48" i="39" s="1"/>
  <c r="B48" i="39"/>
  <c r="AO47" i="39"/>
  <c r="AQ47" i="39"/>
  <c r="AS48" i="39" s="1"/>
  <c r="AM82" i="59"/>
  <c r="AF82" i="59" s="1"/>
  <c r="U46" i="3"/>
  <c r="P46" i="3" s="1"/>
  <c r="R47" i="3"/>
  <c r="V46" i="3"/>
  <c r="Q46" i="3" s="1"/>
  <c r="F46" i="3" s="1"/>
  <c r="AB45" i="3"/>
  <c r="AI46" i="3"/>
  <c r="AJ45" i="3"/>
  <c r="AC45" i="3" s="1"/>
  <c r="AK45" i="3"/>
  <c r="AD45" i="3" s="1"/>
  <c r="G45" i="3" s="1"/>
  <c r="H45" i="3" s="1"/>
  <c r="AL81" i="47"/>
  <c r="AE81" i="47" s="1"/>
  <c r="AK46" i="49"/>
  <c r="AD46" i="49" s="1"/>
  <c r="AJ46" i="49"/>
  <c r="AC46" i="49" s="1"/>
  <c r="V47" i="49"/>
  <c r="Q47" i="49" s="1"/>
  <c r="F47" i="49" s="1"/>
  <c r="H47" i="49" s="1"/>
  <c r="U47" i="49"/>
  <c r="P47" i="49" s="1"/>
  <c r="AI47" i="49"/>
  <c r="AK47" i="49" s="1"/>
  <c r="AD47" i="49" s="1"/>
  <c r="R48" i="49"/>
  <c r="AB46" i="49"/>
  <c r="V47" i="48"/>
  <c r="Q47" i="48" s="1"/>
  <c r="F47" i="48" s="1"/>
  <c r="H47" i="48" s="1"/>
  <c r="V46" i="50"/>
  <c r="Q46" i="50" s="1"/>
  <c r="F46" i="50" s="1"/>
  <c r="H46" i="50" s="1"/>
  <c r="AI46" i="50"/>
  <c r="R47" i="50"/>
  <c r="AB45" i="50"/>
  <c r="U46" i="50"/>
  <c r="P46" i="50" s="1"/>
  <c r="AJ45" i="50"/>
  <c r="AC45" i="50" s="1"/>
  <c r="I81" i="60"/>
  <c r="AJ46" i="52"/>
  <c r="AC46" i="52" s="1"/>
  <c r="AK46" i="52"/>
  <c r="AD46" i="52" s="1"/>
  <c r="V83" i="60"/>
  <c r="S84" i="60"/>
  <c r="AK83" i="60"/>
  <c r="AM83" i="60" s="1"/>
  <c r="AF83" i="60" s="1"/>
  <c r="AC82" i="60"/>
  <c r="AQ54" i="26"/>
  <c r="AR54" i="26" s="1"/>
  <c r="B54" i="26"/>
  <c r="AS54" i="26"/>
  <c r="AU54" i="26" s="1"/>
  <c r="AO47" i="52"/>
  <c r="AQ47" i="52"/>
  <c r="AS48" i="52" s="1"/>
  <c r="AV49" i="26"/>
  <c r="AX54" i="26" s="1"/>
  <c r="AT49" i="26"/>
  <c r="AI58" i="26"/>
  <c r="AL58" i="26" s="1"/>
  <c r="V47" i="52"/>
  <c r="Q47" i="52" s="1"/>
  <c r="F47" i="52" s="1"/>
  <c r="H47" i="52" s="1"/>
  <c r="R48" i="52"/>
  <c r="U48" i="52" s="1"/>
  <c r="P48" i="52" s="1"/>
  <c r="AB46" i="52"/>
  <c r="AI47" i="52"/>
  <c r="AN48" i="52"/>
  <c r="AP48" i="52" s="1"/>
  <c r="AL48" i="52"/>
  <c r="AM48" i="52" s="1"/>
  <c r="B48" i="52"/>
  <c r="AM82" i="60"/>
  <c r="AF82" i="60" s="1"/>
  <c r="AO50" i="49"/>
  <c r="AQ50" i="49"/>
  <c r="AS51" i="49" s="1"/>
  <c r="AM91" i="67"/>
  <c r="AF91" i="67" s="1"/>
  <c r="AN51" i="49"/>
  <c r="AP51" i="49" s="1"/>
  <c r="AL51" i="49"/>
  <c r="AM51" i="49" s="1"/>
  <c r="B51" i="49"/>
  <c r="X58" i="26"/>
  <c r="Y58" i="26" s="1"/>
  <c r="J58" i="26" s="1"/>
  <c r="L58" i="26" s="1"/>
  <c r="AS85" i="59"/>
  <c r="AU86" i="59" s="1"/>
  <c r="AQ85" i="59"/>
  <c r="AP86" i="59"/>
  <c r="AR86" i="59" s="1"/>
  <c r="B86" i="59"/>
  <c r="AN86" i="59"/>
  <c r="AO86" i="59" s="1"/>
  <c r="AA89" i="59"/>
  <c r="AB89" i="59" s="1"/>
  <c r="K89" i="59" s="1"/>
  <c r="M89" i="59" s="1"/>
  <c r="AO49" i="50"/>
  <c r="AQ49" i="50"/>
  <c r="AS50" i="50" s="1"/>
  <c r="AK46" i="39"/>
  <c r="AD46" i="39" s="1"/>
  <c r="G46" i="39" s="1"/>
  <c r="H46" i="39" s="1"/>
  <c r="AE91" i="67"/>
  <c r="V82" i="47"/>
  <c r="Q82" i="47" s="1"/>
  <c r="F82" i="47" s="1"/>
  <c r="H82" i="47" s="1"/>
  <c r="R83" i="47"/>
  <c r="AB81" i="47"/>
  <c r="AJ82" i="47"/>
  <c r="AK82" i="47" s="1"/>
  <c r="AD82" i="47" s="1"/>
  <c r="V47" i="51"/>
  <c r="Q47" i="51" s="1"/>
  <c r="F47" i="51" s="1"/>
  <c r="H47" i="51" s="1"/>
  <c r="AI47" i="51"/>
  <c r="AB46" i="51"/>
  <c r="R48" i="51"/>
  <c r="V48" i="51" s="1"/>
  <c r="Q48" i="51" s="1"/>
  <c r="F48" i="51" s="1"/>
  <c r="H48" i="51" s="1"/>
  <c r="R48" i="39"/>
  <c r="V48" i="39" s="1"/>
  <c r="Q48" i="39" s="1"/>
  <c r="F48" i="39" s="1"/>
  <c r="AI47" i="39"/>
  <c r="AB46" i="39"/>
  <c r="AB58" i="26"/>
  <c r="AC58" i="26" s="1"/>
  <c r="Z54" i="39"/>
  <c r="AA54" i="39" s="1"/>
  <c r="J54" i="39" s="1"/>
  <c r="L54" i="39" s="1"/>
  <c r="Q91" i="67"/>
  <c r="AK46" i="51"/>
  <c r="AD46" i="51" s="1"/>
  <c r="AJ46" i="51"/>
  <c r="AC46" i="51" s="1"/>
  <c r="B50" i="50"/>
  <c r="AL50" i="50"/>
  <c r="AM50" i="50" s="1"/>
  <c r="AN50" i="50"/>
  <c r="AP50" i="50" s="1"/>
  <c r="U47" i="39"/>
  <c r="P47" i="39" s="1"/>
  <c r="AC91" i="67"/>
  <c r="AK92" i="67"/>
  <c r="AM92" i="67" s="1"/>
  <c r="AF92" i="67" s="1"/>
  <c r="S93" i="67"/>
  <c r="U82" i="47"/>
  <c r="P82" i="47" s="1"/>
  <c r="R91" i="67"/>
  <c r="U47" i="51"/>
  <c r="P47" i="51" s="1"/>
  <c r="Y52" i="51"/>
  <c r="Z52" i="51" s="1"/>
  <c r="AA52" i="51" s="1"/>
  <c r="J52" i="51" s="1"/>
  <c r="L52" i="51" s="1"/>
  <c r="AO51" i="41"/>
  <c r="AQ51" i="41"/>
  <c r="AS52" i="41" s="1"/>
  <c r="Y54" i="52"/>
  <c r="Z54" i="52" s="1"/>
  <c r="AA54" i="52" s="1"/>
  <c r="J54" i="52" s="1"/>
  <c r="L54" i="52" s="1"/>
  <c r="AO49" i="48"/>
  <c r="AQ49" i="48"/>
  <c r="AS50" i="48" s="1"/>
  <c r="AO49" i="3"/>
  <c r="AQ49" i="3"/>
  <c r="AS50" i="3" s="1"/>
  <c r="AI86" i="57"/>
  <c r="AK49" i="57"/>
  <c r="AJ49" i="57"/>
  <c r="AG51" i="51"/>
  <c r="AH51" i="51" s="1"/>
  <c r="C48" i="61"/>
  <c r="B50" i="51"/>
  <c r="AN50" i="51"/>
  <c r="AP50" i="51" s="1"/>
  <c r="AL50" i="51"/>
  <c r="AM50" i="51" s="1"/>
  <c r="Y51" i="41"/>
  <c r="AG51" i="41" s="1"/>
  <c r="AH51" i="41" s="1"/>
  <c r="AC94" i="68"/>
  <c r="AK95" i="68"/>
  <c r="S96" i="68"/>
  <c r="V96" i="68" s="1"/>
  <c r="Q96" i="68" s="1"/>
  <c r="Z53" i="52"/>
  <c r="AA53" i="52" s="1"/>
  <c r="J53" i="52" s="1"/>
  <c r="L53" i="52" s="1"/>
  <c r="AH87" i="47"/>
  <c r="AI87" i="47" s="1"/>
  <c r="Z57" i="48"/>
  <c r="AA57" i="48" s="1"/>
  <c r="J57" i="48" s="1"/>
  <c r="L57" i="48" s="1"/>
  <c r="AN50" i="48"/>
  <c r="AP50" i="48" s="1"/>
  <c r="AL50" i="48"/>
  <c r="AM50" i="48" s="1"/>
  <c r="B50" i="48"/>
  <c r="Z54" i="1"/>
  <c r="AA54" i="1" s="1"/>
  <c r="J54" i="1" s="1"/>
  <c r="L54" i="1" s="1"/>
  <c r="Q49" i="57"/>
  <c r="V86" i="57"/>
  <c r="V83" i="59"/>
  <c r="Q83" i="59" s="1"/>
  <c r="AB49" i="41"/>
  <c r="R51" i="41"/>
  <c r="U51" i="41" s="1"/>
  <c r="P51" i="41" s="1"/>
  <c r="AI50" i="41"/>
  <c r="AK50" i="41" s="1"/>
  <c r="AD50" i="41" s="1"/>
  <c r="B50" i="1"/>
  <c r="AN50" i="1"/>
  <c r="AP50" i="1" s="1"/>
  <c r="AL50" i="1"/>
  <c r="AM50" i="1" s="1"/>
  <c r="Z51" i="51"/>
  <c r="AA51" i="51" s="1"/>
  <c r="J51" i="51" s="1"/>
  <c r="L51" i="51" s="1"/>
  <c r="Z101" i="68"/>
  <c r="AI101" i="68" s="1"/>
  <c r="AJ101" i="68" s="1"/>
  <c r="AA59" i="26"/>
  <c r="AB59" i="26" s="1"/>
  <c r="AC59" i="26" s="1"/>
  <c r="Y56" i="3"/>
  <c r="AG56" i="3" s="1"/>
  <c r="AH56" i="3" s="1"/>
  <c r="K56" i="3" s="1"/>
  <c r="AN52" i="41"/>
  <c r="AP52" i="41" s="1"/>
  <c r="B52" i="41"/>
  <c r="AL52" i="41"/>
  <c r="AM52" i="41" s="1"/>
  <c r="AO49" i="51"/>
  <c r="AQ49" i="51"/>
  <c r="AS50" i="51" s="1"/>
  <c r="S59" i="26"/>
  <c r="AJ59" i="26" s="1"/>
  <c r="AK59" i="26" s="1"/>
  <c r="K59" i="26" s="1"/>
  <c r="AG50" i="41"/>
  <c r="AH50" i="41" s="1"/>
  <c r="AM95" i="68"/>
  <c r="AF95" i="68" s="1"/>
  <c r="Y55" i="39"/>
  <c r="AG55" i="39" s="1"/>
  <c r="AH55" i="39" s="1"/>
  <c r="K55" i="39" s="1"/>
  <c r="AB46" i="48"/>
  <c r="AI47" i="48"/>
  <c r="R48" i="48"/>
  <c r="V48" i="48" s="1"/>
  <c r="Q48" i="48" s="1"/>
  <c r="F48" i="48" s="1"/>
  <c r="H48" i="48" s="1"/>
  <c r="Z90" i="59"/>
  <c r="AA90" i="59" s="1"/>
  <c r="AB90" i="59" s="1"/>
  <c r="K90" i="59" s="1"/>
  <c r="M90" i="59" s="1"/>
  <c r="B50" i="3"/>
  <c r="AL50" i="3"/>
  <c r="AM50" i="3" s="1"/>
  <c r="AN50" i="3"/>
  <c r="AP50" i="3" s="1"/>
  <c r="G48" i="41"/>
  <c r="H48" i="41" s="1"/>
  <c r="K48" i="41"/>
  <c r="L48" i="41" s="1"/>
  <c r="AN42" i="26"/>
  <c r="AY42" i="26"/>
  <c r="D42" i="26" s="1"/>
  <c r="AE41" i="26"/>
  <c r="W42" i="26"/>
  <c r="Q42" i="26" s="1"/>
  <c r="F42" i="26" s="1"/>
  <c r="V42" i="26"/>
  <c r="P42" i="26" s="1"/>
  <c r="Y88" i="47"/>
  <c r="AH88" i="47" s="1"/>
  <c r="AI88" i="47" s="1"/>
  <c r="Y58" i="48"/>
  <c r="Z58" i="48" s="1"/>
  <c r="AA58" i="48" s="1"/>
  <c r="J58" i="48" s="1"/>
  <c r="L58" i="48" s="1"/>
  <c r="Y55" i="1"/>
  <c r="AJ46" i="48"/>
  <c r="AC46" i="48" s="1"/>
  <c r="L41" i="26"/>
  <c r="K49" i="41"/>
  <c r="L49" i="41" s="1"/>
  <c r="G49" i="41"/>
  <c r="H49" i="41" s="1"/>
  <c r="AC82" i="59"/>
  <c r="AK83" i="59"/>
  <c r="AL83" i="59" s="1"/>
  <c r="AE83" i="59" s="1"/>
  <c r="S84" i="59"/>
  <c r="W84" i="59" s="1"/>
  <c r="R84" i="59" s="1"/>
  <c r="G84" i="59" s="1"/>
  <c r="I84" i="59" s="1"/>
  <c r="AK46" i="48"/>
  <c r="AD46" i="48" s="1"/>
  <c r="F50" i="41"/>
  <c r="J50" i="41"/>
  <c r="AO49" i="1"/>
  <c r="AQ49" i="1"/>
  <c r="AS50" i="1" s="1"/>
  <c r="AS98" i="68" l="1"/>
  <c r="AU99" i="68" s="1"/>
  <c r="AQ98" i="68"/>
  <c r="AN99" i="68"/>
  <c r="AO99" i="68" s="1"/>
  <c r="AP99" i="68"/>
  <c r="AR99" i="68" s="1"/>
  <c r="B99" i="68"/>
  <c r="AG55" i="3"/>
  <c r="AH55" i="3" s="1"/>
  <c r="K55" i="3" s="1"/>
  <c r="L55" i="3" s="1"/>
  <c r="AJ50" i="41"/>
  <c r="AC50" i="41" s="1"/>
  <c r="Z51" i="41"/>
  <c r="AA51" i="41" s="1"/>
  <c r="AJ48" i="1"/>
  <c r="AC48" i="1" s="1"/>
  <c r="V49" i="1"/>
  <c r="AB48" i="1"/>
  <c r="Q49" i="1"/>
  <c r="F49" i="1" s="1"/>
  <c r="H49" i="1" s="1"/>
  <c r="R50" i="1"/>
  <c r="U50" i="1" s="1"/>
  <c r="Q50" i="1" s="1"/>
  <c r="F50" i="1" s="1"/>
  <c r="H50" i="1" s="1"/>
  <c r="Q48" i="1"/>
  <c r="F48" i="1" s="1"/>
  <c r="H48" i="1" s="1"/>
  <c r="AI49" i="1"/>
  <c r="AK49" i="1" s="1"/>
  <c r="AD49" i="1" s="1"/>
  <c r="AM89" i="47"/>
  <c r="AN89" i="47" s="1"/>
  <c r="AR89" i="47" s="1"/>
  <c r="AT90" i="47" s="1"/>
  <c r="AR88" i="47"/>
  <c r="AT89" i="47" s="1"/>
  <c r="B89" i="47"/>
  <c r="AO90" i="47" s="1"/>
  <c r="AQ90" i="47" s="1"/>
  <c r="Y53" i="50"/>
  <c r="Z53" i="50" s="1"/>
  <c r="AA53" i="50" s="1"/>
  <c r="J53" i="50" s="1"/>
  <c r="L53" i="50" s="1"/>
  <c r="AG52" i="50"/>
  <c r="AH52" i="50" s="1"/>
  <c r="S85" i="60"/>
  <c r="W85" i="60" s="1"/>
  <c r="R85" i="60" s="1"/>
  <c r="AP96" i="67"/>
  <c r="AR96" i="67" s="1"/>
  <c r="AN96" i="67"/>
  <c r="AO96" i="67" s="1"/>
  <c r="B96" i="67"/>
  <c r="AS95" i="67"/>
  <c r="AU96" i="67" s="1"/>
  <c r="AQ95" i="67"/>
  <c r="V93" i="67"/>
  <c r="Q93" i="67" s="1"/>
  <c r="G91" i="67"/>
  <c r="I91" i="67" s="1"/>
  <c r="AG52" i="49"/>
  <c r="AH52" i="49" s="1"/>
  <c r="Y53" i="49"/>
  <c r="Z52" i="49"/>
  <c r="AA52" i="49" s="1"/>
  <c r="J52" i="49" s="1"/>
  <c r="L52" i="49" s="1"/>
  <c r="AN49" i="39"/>
  <c r="AP49" i="39" s="1"/>
  <c r="B49" i="39"/>
  <c r="AL49" i="39"/>
  <c r="AM49" i="39" s="1"/>
  <c r="AO48" i="39"/>
  <c r="AQ48" i="39"/>
  <c r="AS49" i="39" s="1"/>
  <c r="U47" i="3"/>
  <c r="P47" i="3" s="1"/>
  <c r="AB46" i="3"/>
  <c r="AI47" i="3"/>
  <c r="AJ47" i="3" s="1"/>
  <c r="AC47" i="3" s="1"/>
  <c r="V47" i="3"/>
  <c r="Q47" i="3" s="1"/>
  <c r="F47" i="3" s="1"/>
  <c r="R48" i="3"/>
  <c r="AK46" i="3"/>
  <c r="AD46" i="3" s="1"/>
  <c r="G46" i="3" s="1"/>
  <c r="H46" i="3" s="1"/>
  <c r="AJ46" i="3"/>
  <c r="AC46" i="3" s="1"/>
  <c r="AJ47" i="49"/>
  <c r="AC47" i="49" s="1"/>
  <c r="V48" i="49"/>
  <c r="Q48" i="49" s="1"/>
  <c r="F48" i="49" s="1"/>
  <c r="H48" i="49" s="1"/>
  <c r="R49" i="49"/>
  <c r="AI48" i="49"/>
  <c r="U48" i="49"/>
  <c r="P48" i="49" s="1"/>
  <c r="AB47" i="49"/>
  <c r="AJ46" i="50"/>
  <c r="AC46" i="50" s="1"/>
  <c r="AK46" i="50"/>
  <c r="AD46" i="50" s="1"/>
  <c r="U47" i="50"/>
  <c r="P47" i="50" s="1"/>
  <c r="AI47" i="50"/>
  <c r="AB46" i="50"/>
  <c r="R48" i="50"/>
  <c r="V47" i="50"/>
  <c r="Q47" i="50" s="1"/>
  <c r="F47" i="50" s="1"/>
  <c r="H47" i="50" s="1"/>
  <c r="X59" i="26"/>
  <c r="Y59" i="26" s="1"/>
  <c r="J59" i="26" s="1"/>
  <c r="L59" i="26" s="1"/>
  <c r="Z88" i="47"/>
  <c r="AA88" i="47" s="1"/>
  <c r="J88" i="47" s="1"/>
  <c r="L88" i="47" s="1"/>
  <c r="AS55" i="26"/>
  <c r="AU55" i="26" s="1"/>
  <c r="AQ55" i="26"/>
  <c r="AR55" i="26" s="1"/>
  <c r="B55" i="26"/>
  <c r="AK84" i="60"/>
  <c r="W84" i="60"/>
  <c r="AC83" i="60"/>
  <c r="V84" i="60"/>
  <c r="Q84" i="60" s="1"/>
  <c r="AI90" i="59"/>
  <c r="AJ90" i="59" s="1"/>
  <c r="AJ47" i="52"/>
  <c r="AC47" i="52" s="1"/>
  <c r="AK47" i="52"/>
  <c r="AD47" i="52" s="1"/>
  <c r="AT54" i="26"/>
  <c r="AV54" i="26"/>
  <c r="AX55" i="26" s="1"/>
  <c r="Q83" i="60"/>
  <c r="AL49" i="52"/>
  <c r="AM49" i="52" s="1"/>
  <c r="AN49" i="52"/>
  <c r="AP49" i="52" s="1"/>
  <c r="B49" i="52"/>
  <c r="AO48" i="52"/>
  <c r="AQ48" i="52"/>
  <c r="AS49" i="52" s="1"/>
  <c r="V48" i="52"/>
  <c r="Q48" i="52" s="1"/>
  <c r="F48" i="52" s="1"/>
  <c r="H48" i="52" s="1"/>
  <c r="R49" i="52"/>
  <c r="AI48" i="52"/>
  <c r="AJ48" i="52" s="1"/>
  <c r="AC48" i="52" s="1"/>
  <c r="AB47" i="52"/>
  <c r="AL83" i="60"/>
  <c r="AE83" i="60" s="1"/>
  <c r="AG58" i="48"/>
  <c r="AH58" i="48" s="1"/>
  <c r="U48" i="51"/>
  <c r="P48" i="51" s="1"/>
  <c r="AN52" i="49"/>
  <c r="AP52" i="49" s="1"/>
  <c r="B52" i="49"/>
  <c r="AL52" i="49"/>
  <c r="AM52" i="49" s="1"/>
  <c r="AO51" i="49"/>
  <c r="AQ51" i="49"/>
  <c r="AS52" i="49" s="1"/>
  <c r="T59" i="26"/>
  <c r="AG52" i="51"/>
  <c r="AH52" i="51" s="1"/>
  <c r="AN87" i="59"/>
  <c r="AO87" i="59" s="1"/>
  <c r="B87" i="59"/>
  <c r="AP87" i="59"/>
  <c r="AR87" i="59" s="1"/>
  <c r="V84" i="59"/>
  <c r="Q84" i="59" s="1"/>
  <c r="U48" i="39"/>
  <c r="P48" i="39" s="1"/>
  <c r="S94" i="67"/>
  <c r="V94" i="67" s="1"/>
  <c r="AS86" i="59"/>
  <c r="AU87" i="59" s="1"/>
  <c r="AQ86" i="59"/>
  <c r="AJ49" i="1"/>
  <c r="AC49" i="1" s="1"/>
  <c r="Z55" i="39"/>
  <c r="AA55" i="39" s="1"/>
  <c r="J55" i="39" s="1"/>
  <c r="L55" i="39" s="1"/>
  <c r="AL92" i="67"/>
  <c r="AO50" i="50"/>
  <c r="AQ50" i="50"/>
  <c r="AS51" i="50" s="1"/>
  <c r="AI48" i="39"/>
  <c r="AJ48" i="39" s="1"/>
  <c r="AC48" i="39" s="1"/>
  <c r="R49" i="39"/>
  <c r="U49" i="39" s="1"/>
  <c r="P49" i="39" s="1"/>
  <c r="AB47" i="39"/>
  <c r="AL51" i="50"/>
  <c r="AM51" i="50" s="1"/>
  <c r="AN51" i="50"/>
  <c r="AP51" i="50" s="1"/>
  <c r="B51" i="50"/>
  <c r="AJ47" i="51"/>
  <c r="AC47" i="51" s="1"/>
  <c r="AK47" i="51"/>
  <c r="AD47" i="51" s="1"/>
  <c r="U83" i="47"/>
  <c r="P83" i="47" s="1"/>
  <c r="AB82" i="47"/>
  <c r="AJ83" i="47"/>
  <c r="AL83" i="47" s="1"/>
  <c r="AE83" i="47" s="1"/>
  <c r="R84" i="47"/>
  <c r="V84" i="47" s="1"/>
  <c r="Q84" i="47" s="1"/>
  <c r="F84" i="47" s="1"/>
  <c r="H84" i="47" s="1"/>
  <c r="AJ47" i="39"/>
  <c r="AC47" i="39" s="1"/>
  <c r="AK47" i="39"/>
  <c r="AD47" i="39" s="1"/>
  <c r="G47" i="39" s="1"/>
  <c r="H47" i="39" s="1"/>
  <c r="AL82" i="47"/>
  <c r="AE82" i="47" s="1"/>
  <c r="AK93" i="67"/>
  <c r="AC92" i="67"/>
  <c r="W93" i="67"/>
  <c r="AI48" i="51"/>
  <c r="AK48" i="51" s="1"/>
  <c r="AD48" i="51" s="1"/>
  <c r="R49" i="51"/>
  <c r="AB47" i="51"/>
  <c r="V83" i="47"/>
  <c r="Q83" i="47" s="1"/>
  <c r="F83" i="47" s="1"/>
  <c r="H83" i="47" s="1"/>
  <c r="R43" i="26"/>
  <c r="Y56" i="1"/>
  <c r="Z56" i="1" s="1"/>
  <c r="AA56" i="1" s="1"/>
  <c r="J56" i="1" s="1"/>
  <c r="L56" i="1" s="1"/>
  <c r="B51" i="3"/>
  <c r="AL51" i="3"/>
  <c r="AM51" i="3" s="1"/>
  <c r="AN51" i="3"/>
  <c r="AP51" i="3" s="1"/>
  <c r="AB47" i="48"/>
  <c r="AI48" i="48"/>
  <c r="AJ48" i="48" s="1"/>
  <c r="AC48" i="48" s="1"/>
  <c r="R49" i="48"/>
  <c r="U49" i="48" s="1"/>
  <c r="P49" i="48" s="1"/>
  <c r="Z56" i="3"/>
  <c r="AA56" i="3" s="1"/>
  <c r="J56" i="3" s="1"/>
  <c r="L56" i="3" s="1"/>
  <c r="AA60" i="26"/>
  <c r="T60" i="26" s="1"/>
  <c r="AA101" i="68"/>
  <c r="AB101" i="68" s="1"/>
  <c r="K101" i="68" s="1"/>
  <c r="M101" i="68" s="1"/>
  <c r="AL51" i="1"/>
  <c r="AM51" i="1" s="1"/>
  <c r="AN51" i="1"/>
  <c r="AP51" i="1" s="1"/>
  <c r="B51" i="1"/>
  <c r="Q86" i="57"/>
  <c r="F49" i="57"/>
  <c r="AQ50" i="48"/>
  <c r="AS51" i="48" s="1"/>
  <c r="AO50" i="48"/>
  <c r="AC95" i="68"/>
  <c r="AK96" i="68"/>
  <c r="AM96" i="68" s="1"/>
  <c r="AF96" i="68" s="1"/>
  <c r="S97" i="68"/>
  <c r="W97" i="68" s="1"/>
  <c r="R97" i="68" s="1"/>
  <c r="G97" i="68" s="1"/>
  <c r="I97" i="68" s="1"/>
  <c r="AO50" i="51"/>
  <c r="AQ50" i="51"/>
  <c r="AS51" i="51" s="1"/>
  <c r="AJ47" i="48"/>
  <c r="AC47" i="48" s="1"/>
  <c r="AC49" i="57"/>
  <c r="AC86" i="57" s="1"/>
  <c r="AJ86" i="57"/>
  <c r="Y55" i="52"/>
  <c r="Z55" i="1"/>
  <c r="AA55" i="1" s="1"/>
  <c r="J55" i="1" s="1"/>
  <c r="L55" i="1" s="1"/>
  <c r="Y57" i="3"/>
  <c r="Z57" i="3" s="1"/>
  <c r="AA57" i="3" s="1"/>
  <c r="J57" i="3" s="1"/>
  <c r="AA102" i="68"/>
  <c r="AB102" i="68" s="1"/>
  <c r="K102" i="68" s="1"/>
  <c r="M102" i="68" s="1"/>
  <c r="Z102" i="68"/>
  <c r="AI102" i="68" s="1"/>
  <c r="AJ102" i="68" s="1"/>
  <c r="AK47" i="48"/>
  <c r="AD47" i="48" s="1"/>
  <c r="AO50" i="1"/>
  <c r="AQ50" i="1"/>
  <c r="AS51" i="1" s="1"/>
  <c r="G50" i="41"/>
  <c r="H50" i="41" s="1"/>
  <c r="K50" i="41"/>
  <c r="AI51" i="41"/>
  <c r="AJ51" i="41" s="1"/>
  <c r="AC51" i="41" s="1"/>
  <c r="AB50" i="41"/>
  <c r="R52" i="41"/>
  <c r="U52" i="41" s="1"/>
  <c r="P52" i="41" s="1"/>
  <c r="B51" i="51"/>
  <c r="AL51" i="51"/>
  <c r="AM51" i="51" s="1"/>
  <c r="AN51" i="51"/>
  <c r="AP51" i="51" s="1"/>
  <c r="E48" i="61"/>
  <c r="L48" i="61"/>
  <c r="AD49" i="57"/>
  <c r="AD86" i="57" s="1"/>
  <c r="AK86" i="57"/>
  <c r="L50" i="41"/>
  <c r="Y89" i="47"/>
  <c r="AH89" i="47" s="1"/>
  <c r="AI89" i="47" s="1"/>
  <c r="AQ52" i="41"/>
  <c r="AS53" i="41" s="1"/>
  <c r="AO52" i="41"/>
  <c r="AM83" i="59"/>
  <c r="AF83" i="59" s="1"/>
  <c r="AC83" i="59"/>
  <c r="AK84" i="59"/>
  <c r="AM84" i="59" s="1"/>
  <c r="AF84" i="59" s="1"/>
  <c r="S85" i="59"/>
  <c r="V85" i="59" s="1"/>
  <c r="Q85" i="59" s="1"/>
  <c r="AG55" i="1"/>
  <c r="AH55" i="1" s="1"/>
  <c r="Y59" i="48"/>
  <c r="AG59" i="48" s="1"/>
  <c r="AH59" i="48" s="1"/>
  <c r="AO42" i="26"/>
  <c r="AF42" i="26" s="1"/>
  <c r="AP42" i="26"/>
  <c r="AG42" i="26" s="1"/>
  <c r="G42" i="26" s="1"/>
  <c r="H42" i="26" s="1"/>
  <c r="AQ50" i="3"/>
  <c r="AS51" i="3" s="1"/>
  <c r="AO50" i="3"/>
  <c r="Z91" i="59"/>
  <c r="AA91" i="59" s="1"/>
  <c r="AB91" i="59" s="1"/>
  <c r="K91" i="59" s="1"/>
  <c r="M91" i="59" s="1"/>
  <c r="U48" i="48"/>
  <c r="P48" i="48" s="1"/>
  <c r="Y56" i="39"/>
  <c r="Z56" i="39" s="1"/>
  <c r="AA56" i="39" s="1"/>
  <c r="J56" i="39" s="1"/>
  <c r="AL95" i="68"/>
  <c r="AE95" i="68" s="1"/>
  <c r="S60" i="26"/>
  <c r="AJ60" i="26" s="1"/>
  <c r="AK60" i="26" s="1"/>
  <c r="K60" i="26" s="1"/>
  <c r="AL53" i="41"/>
  <c r="AM53" i="41" s="1"/>
  <c r="AN53" i="41"/>
  <c r="AP53" i="41" s="1"/>
  <c r="B53" i="41"/>
  <c r="AI59" i="26"/>
  <c r="AL59" i="26" s="1"/>
  <c r="V51" i="41"/>
  <c r="Q51" i="41" s="1"/>
  <c r="AL51" i="48"/>
  <c r="AM51" i="48" s="1"/>
  <c r="B51" i="48"/>
  <c r="AN51" i="48"/>
  <c r="AP51" i="48" s="1"/>
  <c r="W96" i="68"/>
  <c r="R96" i="68" s="1"/>
  <c r="G96" i="68" s="1"/>
  <c r="I96" i="68" s="1"/>
  <c r="Y52" i="41"/>
  <c r="AG52" i="41" s="1"/>
  <c r="AH52" i="41" s="1"/>
  <c r="Z52" i="41"/>
  <c r="AA52" i="41" s="1"/>
  <c r="AG54" i="52"/>
  <c r="AH54" i="52" s="1"/>
  <c r="Y53" i="51"/>
  <c r="AG53" i="51" s="1"/>
  <c r="AH53" i="51" s="1"/>
  <c r="V52" i="41" l="1"/>
  <c r="Q52" i="41" s="1"/>
  <c r="F52" i="41" s="1"/>
  <c r="AL96" i="68"/>
  <c r="AE96" i="68" s="1"/>
  <c r="AN100" i="68"/>
  <c r="AO100" i="68" s="1"/>
  <c r="B100" i="68"/>
  <c r="AP100" i="68"/>
  <c r="AR100" i="68" s="1"/>
  <c r="AQ99" i="68"/>
  <c r="AS99" i="68"/>
  <c r="AU100" i="68" s="1"/>
  <c r="V50" i="1"/>
  <c r="AB49" i="1"/>
  <c r="P50" i="1"/>
  <c r="AI50" i="1"/>
  <c r="AK50" i="1" s="1"/>
  <c r="AD50" i="1" s="1"/>
  <c r="R51" i="1"/>
  <c r="U51" i="1" s="1"/>
  <c r="P51" i="1" s="1"/>
  <c r="AP89" i="47"/>
  <c r="B90" i="47"/>
  <c r="B91" i="47" s="1"/>
  <c r="AM90" i="47"/>
  <c r="AN90" i="47" s="1"/>
  <c r="AR90" i="47" s="1"/>
  <c r="AT91" i="47" s="1"/>
  <c r="Y54" i="50"/>
  <c r="Z54" i="50" s="1"/>
  <c r="AA54" i="50" s="1"/>
  <c r="J54" i="50" s="1"/>
  <c r="L54" i="50" s="1"/>
  <c r="AG53" i="50"/>
  <c r="AH53" i="50" s="1"/>
  <c r="AC84" i="60"/>
  <c r="AK85" i="60"/>
  <c r="AC85" i="60"/>
  <c r="V85" i="60"/>
  <c r="Q85" i="60" s="1"/>
  <c r="Q94" i="67"/>
  <c r="AP97" i="67"/>
  <c r="AR97" i="67" s="1"/>
  <c r="B97" i="67"/>
  <c r="AN97" i="67"/>
  <c r="AO97" i="67" s="1"/>
  <c r="AS96" i="67"/>
  <c r="AU97" i="67" s="1"/>
  <c r="AQ96" i="67"/>
  <c r="AC93" i="67"/>
  <c r="AG53" i="49"/>
  <c r="AH53" i="49" s="1"/>
  <c r="Z53" i="49"/>
  <c r="AA53" i="49" s="1"/>
  <c r="J53" i="49" s="1"/>
  <c r="L53" i="49" s="1"/>
  <c r="Y54" i="49"/>
  <c r="AQ49" i="39"/>
  <c r="AS50" i="39" s="1"/>
  <c r="AO49" i="39"/>
  <c r="AN50" i="39"/>
  <c r="AP50" i="39" s="1"/>
  <c r="AL50" i="39"/>
  <c r="AM50" i="39" s="1"/>
  <c r="B50" i="39"/>
  <c r="AK47" i="3"/>
  <c r="AD47" i="3" s="1"/>
  <c r="G47" i="3" s="1"/>
  <c r="H47" i="3" s="1"/>
  <c r="V48" i="3"/>
  <c r="Q48" i="3" s="1"/>
  <c r="F48" i="3" s="1"/>
  <c r="R49" i="3"/>
  <c r="AB47" i="3"/>
  <c r="AI48" i="3"/>
  <c r="U48" i="3"/>
  <c r="P48" i="3" s="1"/>
  <c r="AK48" i="49"/>
  <c r="AD48" i="49" s="1"/>
  <c r="AJ48" i="49"/>
  <c r="AC48" i="49" s="1"/>
  <c r="R50" i="49"/>
  <c r="U49" i="49"/>
  <c r="P49" i="49" s="1"/>
  <c r="AB48" i="49"/>
  <c r="AI49" i="49"/>
  <c r="V49" i="49"/>
  <c r="Q49" i="49" s="1"/>
  <c r="F49" i="49" s="1"/>
  <c r="H49" i="49" s="1"/>
  <c r="AK47" i="50"/>
  <c r="AD47" i="50" s="1"/>
  <c r="AJ47" i="50"/>
  <c r="AC47" i="50" s="1"/>
  <c r="V48" i="50"/>
  <c r="Q48" i="50" s="1"/>
  <c r="F48" i="50" s="1"/>
  <c r="H48" i="50" s="1"/>
  <c r="AB47" i="50"/>
  <c r="R49" i="50"/>
  <c r="U49" i="50" s="1"/>
  <c r="P49" i="50" s="1"/>
  <c r="U48" i="50"/>
  <c r="P48" i="50" s="1"/>
  <c r="AI48" i="50"/>
  <c r="AK48" i="39"/>
  <c r="AD48" i="39" s="1"/>
  <c r="G48" i="39" s="1"/>
  <c r="H48" i="39" s="1"/>
  <c r="W85" i="59"/>
  <c r="R85" i="59" s="1"/>
  <c r="G85" i="59" s="1"/>
  <c r="I85" i="59" s="1"/>
  <c r="AK48" i="48"/>
  <c r="AD48" i="48" s="1"/>
  <c r="AL84" i="60"/>
  <c r="AE84" i="60" s="1"/>
  <c r="AM84" i="60"/>
  <c r="AF84" i="60" s="1"/>
  <c r="AL50" i="52"/>
  <c r="AM50" i="52" s="1"/>
  <c r="AN50" i="52"/>
  <c r="AP50" i="52" s="1"/>
  <c r="B50" i="52"/>
  <c r="AK48" i="52"/>
  <c r="AD48" i="52" s="1"/>
  <c r="AS56" i="26"/>
  <c r="AU56" i="26" s="1"/>
  <c r="B56" i="26"/>
  <c r="AQ56" i="26"/>
  <c r="AR56" i="26" s="1"/>
  <c r="V49" i="39"/>
  <c r="Q49" i="39" s="1"/>
  <c r="F49" i="39" s="1"/>
  <c r="R84" i="60"/>
  <c r="G84" i="60" s="1"/>
  <c r="W122" i="60"/>
  <c r="AT55" i="26"/>
  <c r="AV55" i="26"/>
  <c r="AX56" i="26" s="1"/>
  <c r="U49" i="52"/>
  <c r="P49" i="52" s="1"/>
  <c r="V49" i="52"/>
  <c r="Q49" i="52" s="1"/>
  <c r="F49" i="52" s="1"/>
  <c r="H49" i="52" s="1"/>
  <c r="AI49" i="52"/>
  <c r="AB48" i="52"/>
  <c r="R50" i="52"/>
  <c r="AQ49" i="52"/>
  <c r="AS50" i="52" s="1"/>
  <c r="AO49" i="52"/>
  <c r="AB60" i="26"/>
  <c r="AC60" i="26" s="1"/>
  <c r="AG56" i="1"/>
  <c r="AH56" i="1" s="1"/>
  <c r="W94" i="67"/>
  <c r="R94" i="67" s="1"/>
  <c r="AQ52" i="49"/>
  <c r="AS53" i="49" s="1"/>
  <c r="AO52" i="49"/>
  <c r="AL53" i="49"/>
  <c r="AM53" i="49" s="1"/>
  <c r="B53" i="49"/>
  <c r="AN53" i="49"/>
  <c r="AP53" i="49" s="1"/>
  <c r="AI60" i="26"/>
  <c r="AL60" i="26" s="1"/>
  <c r="AP88" i="59"/>
  <c r="AR88" i="59" s="1"/>
  <c r="AN88" i="59"/>
  <c r="AO88" i="59" s="1"/>
  <c r="B88" i="59"/>
  <c r="AQ87" i="59"/>
  <c r="AS87" i="59"/>
  <c r="AU88" i="59" s="1"/>
  <c r="S95" i="67"/>
  <c r="V95" i="67" s="1"/>
  <c r="AK94" i="67"/>
  <c r="L42" i="26"/>
  <c r="R50" i="51"/>
  <c r="AI49" i="51"/>
  <c r="AJ49" i="51" s="1"/>
  <c r="AC49" i="51" s="1"/>
  <c r="AB48" i="51"/>
  <c r="R93" i="67"/>
  <c r="G93" i="67" s="1"/>
  <c r="AB83" i="47"/>
  <c r="AJ84" i="47"/>
  <c r="AK84" i="47" s="1"/>
  <c r="AD84" i="47" s="1"/>
  <c r="R85" i="47"/>
  <c r="U85" i="47" s="1"/>
  <c r="P85" i="47" s="1"/>
  <c r="AO51" i="50"/>
  <c r="AQ51" i="50"/>
  <c r="AS52" i="50" s="1"/>
  <c r="AE92" i="67"/>
  <c r="AK83" i="47"/>
  <c r="AD83" i="47" s="1"/>
  <c r="AB48" i="39"/>
  <c r="R50" i="39"/>
  <c r="U50" i="39" s="1"/>
  <c r="P50" i="39" s="1"/>
  <c r="AI49" i="39"/>
  <c r="AJ49" i="39" s="1"/>
  <c r="AC49" i="39" s="1"/>
  <c r="U49" i="51"/>
  <c r="P49" i="51" s="1"/>
  <c r="V49" i="51"/>
  <c r="Q49" i="51" s="1"/>
  <c r="F49" i="51" s="1"/>
  <c r="H49" i="51" s="1"/>
  <c r="AM93" i="67"/>
  <c r="AL93" i="67"/>
  <c r="AE93" i="67" s="1"/>
  <c r="U84" i="47"/>
  <c r="P84" i="47" s="1"/>
  <c r="AJ48" i="51"/>
  <c r="AC48" i="51" s="1"/>
  <c r="B52" i="50"/>
  <c r="AN52" i="50"/>
  <c r="AP52" i="50" s="1"/>
  <c r="AL52" i="50"/>
  <c r="AM52" i="50" s="1"/>
  <c r="Y56" i="52"/>
  <c r="Z56" i="52" s="1"/>
  <c r="AA56" i="52" s="1"/>
  <c r="J56" i="52" s="1"/>
  <c r="L56" i="52" s="1"/>
  <c r="Y54" i="51"/>
  <c r="AG54" i="51" s="1"/>
  <c r="AH54" i="51" s="1"/>
  <c r="AG56" i="39"/>
  <c r="AH56" i="39" s="1"/>
  <c r="K56" i="39" s="1"/>
  <c r="L56" i="39" s="1"/>
  <c r="AN52" i="1"/>
  <c r="AP52" i="1" s="1"/>
  <c r="AL52" i="1"/>
  <c r="AM52" i="1" s="1"/>
  <c r="B52" i="1"/>
  <c r="Y53" i="41"/>
  <c r="AG53" i="41" s="1"/>
  <c r="AH53" i="41" s="1"/>
  <c r="AO51" i="48"/>
  <c r="AQ51" i="48"/>
  <c r="AS52" i="48" s="1"/>
  <c r="AQ53" i="41"/>
  <c r="AS54" i="41" s="1"/>
  <c r="AO53" i="41"/>
  <c r="AC84" i="59"/>
  <c r="AK85" i="59"/>
  <c r="AL85" i="59" s="1"/>
  <c r="AE85" i="59" s="1"/>
  <c r="S86" i="59"/>
  <c r="V86" i="59" s="1"/>
  <c r="Q86" i="59" s="1"/>
  <c r="Z89" i="47"/>
  <c r="AA89" i="47" s="1"/>
  <c r="J89" i="47" s="1"/>
  <c r="L89" i="47" s="1"/>
  <c r="D49" i="61"/>
  <c r="C49" i="61" s="1"/>
  <c r="L49" i="61" s="1"/>
  <c r="AO51" i="51"/>
  <c r="AQ51" i="51"/>
  <c r="AS52" i="51" s="1"/>
  <c r="AI52" i="41"/>
  <c r="AJ52" i="41" s="1"/>
  <c r="AC52" i="41" s="1"/>
  <c r="R53" i="41"/>
  <c r="V53" i="41" s="1"/>
  <c r="Q53" i="41" s="1"/>
  <c r="AB51" i="41"/>
  <c r="AK52" i="41"/>
  <c r="AD52" i="41" s="1"/>
  <c r="AG57" i="3"/>
  <c r="AH57" i="3" s="1"/>
  <c r="K57" i="3" s="1"/>
  <c r="L57" i="3" s="1"/>
  <c r="Z55" i="52"/>
  <c r="AA55" i="52" s="1"/>
  <c r="J55" i="52" s="1"/>
  <c r="L55" i="52" s="1"/>
  <c r="AK51" i="41"/>
  <c r="AD51" i="41" s="1"/>
  <c r="AA61" i="26"/>
  <c r="AB61" i="26" s="1"/>
  <c r="AC61" i="26" s="1"/>
  <c r="AO51" i="3"/>
  <c r="AQ51" i="3"/>
  <c r="AS52" i="3" s="1"/>
  <c r="Y57" i="1"/>
  <c r="Z57" i="1" s="1"/>
  <c r="AA57" i="1" s="1"/>
  <c r="J57" i="1" s="1"/>
  <c r="L57" i="1" s="1"/>
  <c r="H49" i="57"/>
  <c r="F50" i="57"/>
  <c r="B52" i="48"/>
  <c r="AN52" i="48"/>
  <c r="AP52" i="48" s="1"/>
  <c r="AL52" i="48"/>
  <c r="AM52" i="48" s="1"/>
  <c r="S61" i="26"/>
  <c r="AJ61" i="26" s="1"/>
  <c r="AK61" i="26" s="1"/>
  <c r="K61" i="26" s="1"/>
  <c r="Z92" i="59"/>
  <c r="AI92" i="59" s="1"/>
  <c r="AJ92" i="59" s="1"/>
  <c r="Y60" i="48"/>
  <c r="AG60" i="48" s="1"/>
  <c r="AH60" i="48" s="1"/>
  <c r="AG55" i="52"/>
  <c r="AH55" i="52" s="1"/>
  <c r="Z53" i="51"/>
  <c r="AA53" i="51" s="1"/>
  <c r="J53" i="51" s="1"/>
  <c r="L53" i="51" s="1"/>
  <c r="X60" i="26"/>
  <c r="Y60" i="26" s="1"/>
  <c r="J60" i="26" s="1"/>
  <c r="L60" i="26" s="1"/>
  <c r="AI91" i="59"/>
  <c r="AJ91" i="59" s="1"/>
  <c r="Z59" i="48"/>
  <c r="AA59" i="48" s="1"/>
  <c r="J59" i="48" s="1"/>
  <c r="L59" i="48" s="1"/>
  <c r="AL52" i="51"/>
  <c r="AM52" i="51" s="1"/>
  <c r="B52" i="51"/>
  <c r="AN52" i="51"/>
  <c r="AP52" i="51" s="1"/>
  <c r="Z103" i="68"/>
  <c r="AA103" i="68" s="1"/>
  <c r="AB103" i="68" s="1"/>
  <c r="K103" i="68" s="1"/>
  <c r="M103" i="68" s="1"/>
  <c r="AO51" i="1"/>
  <c r="AQ51" i="1"/>
  <c r="AS52" i="1" s="1"/>
  <c r="AN52" i="3"/>
  <c r="AP52" i="3" s="1"/>
  <c r="B52" i="3"/>
  <c r="AL52" i="3"/>
  <c r="AM52" i="3" s="1"/>
  <c r="AL84" i="59"/>
  <c r="AE84" i="59" s="1"/>
  <c r="AE42" i="26"/>
  <c r="AN43" i="26"/>
  <c r="AY43" i="26"/>
  <c r="D43" i="26" s="1"/>
  <c r="R44" i="26" s="1"/>
  <c r="W43" i="26"/>
  <c r="Q43" i="26" s="1"/>
  <c r="F43" i="26" s="1"/>
  <c r="V43" i="26"/>
  <c r="P43" i="26" s="1"/>
  <c r="AL54" i="41"/>
  <c r="AM54" i="41" s="1"/>
  <c r="AN54" i="41"/>
  <c r="AP54" i="41" s="1"/>
  <c r="B54" i="41"/>
  <c r="Y58" i="3"/>
  <c r="Z58" i="3" s="1"/>
  <c r="AA58" i="3" s="1"/>
  <c r="J58" i="3" s="1"/>
  <c r="AI49" i="48"/>
  <c r="AK49" i="48" s="1"/>
  <c r="AD49" i="48" s="1"/>
  <c r="AB48" i="48"/>
  <c r="R50" i="48"/>
  <c r="V50" i="48" s="1"/>
  <c r="Q50" i="48" s="1"/>
  <c r="F50" i="48" s="1"/>
  <c r="H50" i="48" s="1"/>
  <c r="J51" i="41"/>
  <c r="F51" i="41"/>
  <c r="Y57" i="39"/>
  <c r="AG57" i="39" s="1"/>
  <c r="AH57" i="39" s="1"/>
  <c r="K57" i="39" s="1"/>
  <c r="Y90" i="47"/>
  <c r="J52" i="41"/>
  <c r="AK97" i="68"/>
  <c r="AL97" i="68" s="1"/>
  <c r="AE97" i="68" s="1"/>
  <c r="S98" i="68"/>
  <c r="W98" i="68" s="1"/>
  <c r="R98" i="68" s="1"/>
  <c r="G98" i="68" s="1"/>
  <c r="I98" i="68" s="1"/>
  <c r="V98" i="68"/>
  <c r="Q98" i="68" s="1"/>
  <c r="AC96" i="68"/>
  <c r="V97" i="68"/>
  <c r="Q97" i="68" s="1"/>
  <c r="V49" i="48"/>
  <c r="Q49" i="48" s="1"/>
  <c r="F49" i="48" s="1"/>
  <c r="H49" i="48" s="1"/>
  <c r="U53" i="41" l="1"/>
  <c r="P53" i="41" s="1"/>
  <c r="B101" i="68"/>
  <c r="AN101" i="68"/>
  <c r="AO101" i="68" s="1"/>
  <c r="AP101" i="68"/>
  <c r="AR101" i="68" s="1"/>
  <c r="AQ100" i="68"/>
  <c r="AS100" i="68"/>
  <c r="AU101" i="68" s="1"/>
  <c r="Z53" i="41"/>
  <c r="AA53" i="41" s="1"/>
  <c r="AP90" i="47"/>
  <c r="R52" i="1"/>
  <c r="U52" i="1" s="1"/>
  <c r="P52" i="1" s="1"/>
  <c r="AB50" i="1"/>
  <c r="Q51" i="1"/>
  <c r="F51" i="1" s="1"/>
  <c r="H51" i="1" s="1"/>
  <c r="V51" i="1"/>
  <c r="AI51" i="1"/>
  <c r="AK51" i="1" s="1"/>
  <c r="AD51" i="1" s="1"/>
  <c r="AJ50" i="1"/>
  <c r="AC50" i="1" s="1"/>
  <c r="AO91" i="47"/>
  <c r="AQ91" i="47" s="1"/>
  <c r="AM91" i="47"/>
  <c r="AN91" i="47" s="1"/>
  <c r="AR91" i="47" s="1"/>
  <c r="AT92" i="47" s="1"/>
  <c r="AG54" i="50"/>
  <c r="AH54" i="50" s="1"/>
  <c r="Y55" i="50"/>
  <c r="AG55" i="50" s="1"/>
  <c r="AH55" i="50" s="1"/>
  <c r="AC122" i="60"/>
  <c r="V122" i="60"/>
  <c r="AL85" i="60"/>
  <c r="AE85" i="60" s="1"/>
  <c r="AM85" i="60"/>
  <c r="AF85" i="60" s="1"/>
  <c r="AK122" i="60"/>
  <c r="W95" i="67"/>
  <c r="R95" i="67" s="1"/>
  <c r="AP98" i="67"/>
  <c r="AR98" i="67" s="1"/>
  <c r="B98" i="67"/>
  <c r="AN98" i="67"/>
  <c r="AO98" i="67" s="1"/>
  <c r="AS97" i="67"/>
  <c r="AU98" i="67" s="1"/>
  <c r="AQ97" i="67"/>
  <c r="Y55" i="49"/>
  <c r="AG54" i="49"/>
  <c r="AH54" i="49" s="1"/>
  <c r="Z54" i="49"/>
  <c r="AA54" i="49" s="1"/>
  <c r="J54" i="49" s="1"/>
  <c r="L54" i="49" s="1"/>
  <c r="AQ50" i="39"/>
  <c r="AS51" i="39" s="1"/>
  <c r="AO50" i="39"/>
  <c r="B51" i="39"/>
  <c r="AN51" i="39"/>
  <c r="AP51" i="39" s="1"/>
  <c r="AL51" i="39"/>
  <c r="AM51" i="39" s="1"/>
  <c r="AK48" i="3"/>
  <c r="AD48" i="3" s="1"/>
  <c r="G48" i="3" s="1"/>
  <c r="H48" i="3" s="1"/>
  <c r="AJ48" i="3"/>
  <c r="AC48" i="3" s="1"/>
  <c r="U49" i="3"/>
  <c r="P49" i="3" s="1"/>
  <c r="AI49" i="3"/>
  <c r="V49" i="3"/>
  <c r="Q49" i="3" s="1"/>
  <c r="F49" i="3" s="1"/>
  <c r="AB48" i="3"/>
  <c r="R50" i="3"/>
  <c r="U50" i="49"/>
  <c r="P50" i="49" s="1"/>
  <c r="AB49" i="49"/>
  <c r="V50" i="49"/>
  <c r="Q50" i="49" s="1"/>
  <c r="F50" i="49" s="1"/>
  <c r="H50" i="49" s="1"/>
  <c r="R51" i="49"/>
  <c r="AI50" i="49"/>
  <c r="AK49" i="49"/>
  <c r="AD49" i="49" s="1"/>
  <c r="AJ49" i="49"/>
  <c r="AC49" i="49" s="1"/>
  <c r="AJ48" i="50"/>
  <c r="AC48" i="50" s="1"/>
  <c r="AK48" i="50"/>
  <c r="AD48" i="50" s="1"/>
  <c r="V49" i="50"/>
  <c r="Q49" i="50" s="1"/>
  <c r="F49" i="50" s="1"/>
  <c r="H49" i="50" s="1"/>
  <c r="AI49" i="50"/>
  <c r="R50" i="50"/>
  <c r="AB48" i="50"/>
  <c r="U50" i="48"/>
  <c r="P50" i="48" s="1"/>
  <c r="Z57" i="39"/>
  <c r="AA57" i="39" s="1"/>
  <c r="J57" i="39" s="1"/>
  <c r="L57" i="39" s="1"/>
  <c r="AG57" i="1"/>
  <c r="AH57" i="1" s="1"/>
  <c r="V50" i="52"/>
  <c r="Q50" i="52" s="1"/>
  <c r="F50" i="52" s="1"/>
  <c r="H50" i="52" s="1"/>
  <c r="AB49" i="52"/>
  <c r="R51" i="52"/>
  <c r="AI50" i="52"/>
  <c r="I84" i="60"/>
  <c r="G85" i="60"/>
  <c r="AO50" i="52"/>
  <c r="AQ50" i="52"/>
  <c r="AS51" i="52" s="1"/>
  <c r="AG58" i="3"/>
  <c r="AH58" i="3" s="1"/>
  <c r="K58" i="3" s="1"/>
  <c r="L58" i="3" s="1"/>
  <c r="AL84" i="47"/>
  <c r="AE84" i="47" s="1"/>
  <c r="AK49" i="52"/>
  <c r="AD49" i="52" s="1"/>
  <c r="AJ49" i="52"/>
  <c r="AC49" i="52" s="1"/>
  <c r="AT56" i="26"/>
  <c r="AV56" i="26"/>
  <c r="AX57" i="26" s="1"/>
  <c r="AL51" i="52"/>
  <c r="AM51" i="52" s="1"/>
  <c r="AN51" i="52"/>
  <c r="AP51" i="52" s="1"/>
  <c r="B51" i="52"/>
  <c r="B57" i="26"/>
  <c r="AS57" i="26"/>
  <c r="AU57" i="26" s="1"/>
  <c r="AQ57" i="26"/>
  <c r="AR57" i="26" s="1"/>
  <c r="U50" i="52"/>
  <c r="P50" i="52" s="1"/>
  <c r="AK49" i="51"/>
  <c r="AD49" i="51" s="1"/>
  <c r="AQ53" i="49"/>
  <c r="AS54" i="49" s="1"/>
  <c r="AO53" i="49"/>
  <c r="AL54" i="49"/>
  <c r="AM54" i="49" s="1"/>
  <c r="B54" i="49"/>
  <c r="AN54" i="49"/>
  <c r="AP54" i="49" s="1"/>
  <c r="Q95" i="67"/>
  <c r="W86" i="59"/>
  <c r="R86" i="59" s="1"/>
  <c r="G86" i="59" s="1"/>
  <c r="I86" i="59" s="1"/>
  <c r="Z60" i="48"/>
  <c r="AA60" i="48" s="1"/>
  <c r="J60" i="48" s="1"/>
  <c r="L60" i="48" s="1"/>
  <c r="V50" i="39"/>
  <c r="Q50" i="39" s="1"/>
  <c r="F50" i="39" s="1"/>
  <c r="AL94" i="67"/>
  <c r="AE94" i="67" s="1"/>
  <c r="AQ88" i="59"/>
  <c r="AS88" i="59"/>
  <c r="AU89" i="59" s="1"/>
  <c r="AM94" i="67"/>
  <c r="AF94" i="67" s="1"/>
  <c r="AK95" i="67"/>
  <c r="AL95" i="67" s="1"/>
  <c r="AE95" i="67" s="1"/>
  <c r="S96" i="67"/>
  <c r="V96" i="67" s="1"/>
  <c r="AC94" i="67"/>
  <c r="AN89" i="59"/>
  <c r="AO89" i="59" s="1"/>
  <c r="B89" i="59"/>
  <c r="AP89" i="59"/>
  <c r="AR89" i="59" s="1"/>
  <c r="V44" i="26"/>
  <c r="P44" i="26" s="1"/>
  <c r="W44" i="26"/>
  <c r="Q44" i="26" s="1"/>
  <c r="F44" i="26" s="1"/>
  <c r="AJ49" i="48"/>
  <c r="AC49" i="48" s="1"/>
  <c r="Z54" i="51"/>
  <c r="AA54" i="51" s="1"/>
  <c r="J54" i="51" s="1"/>
  <c r="L54" i="51" s="1"/>
  <c r="AQ52" i="50"/>
  <c r="AS53" i="50" s="1"/>
  <c r="AO52" i="50"/>
  <c r="AJ85" i="47"/>
  <c r="AK85" i="47" s="1"/>
  <c r="AD85" i="47" s="1"/>
  <c r="AB84" i="47"/>
  <c r="R86" i="47"/>
  <c r="AI50" i="51"/>
  <c r="AJ50" i="51" s="1"/>
  <c r="AC50" i="51" s="1"/>
  <c r="AB49" i="51"/>
  <c r="R51" i="51"/>
  <c r="U50" i="51"/>
  <c r="P50" i="51" s="1"/>
  <c r="AG56" i="52"/>
  <c r="AH56" i="52" s="1"/>
  <c r="AN53" i="50"/>
  <c r="AP53" i="50" s="1"/>
  <c r="AL53" i="50"/>
  <c r="AM53" i="50" s="1"/>
  <c r="B53" i="50"/>
  <c r="AF93" i="67"/>
  <c r="AK49" i="39"/>
  <c r="AD49" i="39" s="1"/>
  <c r="G49" i="39" s="1"/>
  <c r="H49" i="39" s="1"/>
  <c r="V85" i="47"/>
  <c r="Q85" i="47" s="1"/>
  <c r="F85" i="47" s="1"/>
  <c r="H85" i="47" s="1"/>
  <c r="I93" i="67"/>
  <c r="G94" i="67"/>
  <c r="I94" i="67" s="1"/>
  <c r="V50" i="51"/>
  <c r="Q50" i="51" s="1"/>
  <c r="F50" i="51" s="1"/>
  <c r="H50" i="51" s="1"/>
  <c r="AI50" i="39"/>
  <c r="AB49" i="39"/>
  <c r="R51" i="39"/>
  <c r="V51" i="39" s="1"/>
  <c r="Q51" i="39" s="1"/>
  <c r="F51" i="39" s="1"/>
  <c r="D50" i="61"/>
  <c r="C50" i="61" s="1"/>
  <c r="E50" i="61" s="1"/>
  <c r="Y91" i="47"/>
  <c r="AH91" i="47" s="1"/>
  <c r="AI91" i="47" s="1"/>
  <c r="AO52" i="3"/>
  <c r="AQ52" i="3"/>
  <c r="AS53" i="3" s="1"/>
  <c r="Z93" i="59"/>
  <c r="AI93" i="59" s="1"/>
  <c r="AJ93" i="59" s="1"/>
  <c r="F22" i="57"/>
  <c r="H10" i="57" s="1"/>
  <c r="H50" i="57"/>
  <c r="H22" i="57" s="1"/>
  <c r="AA62" i="26"/>
  <c r="AB62" i="26" s="1"/>
  <c r="AC62" i="26" s="1"/>
  <c r="AC97" i="68"/>
  <c r="AK98" i="68"/>
  <c r="S99" i="68"/>
  <c r="W99" i="68" s="1"/>
  <c r="R99" i="68" s="1"/>
  <c r="G99" i="68" s="1"/>
  <c r="I99" i="68" s="1"/>
  <c r="Z90" i="47"/>
  <c r="AA90" i="47" s="1"/>
  <c r="J90" i="47" s="1"/>
  <c r="L90" i="47" s="1"/>
  <c r="Y58" i="39"/>
  <c r="AG58" i="39" s="1"/>
  <c r="AH58" i="39" s="1"/>
  <c r="K58" i="39" s="1"/>
  <c r="Y59" i="3"/>
  <c r="AG59" i="3" s="1"/>
  <c r="AH59" i="3" s="1"/>
  <c r="K59" i="3" s="1"/>
  <c r="AL53" i="3"/>
  <c r="AM53" i="3" s="1"/>
  <c r="B53" i="3"/>
  <c r="AN53" i="3"/>
  <c r="AP53" i="3" s="1"/>
  <c r="AI103" i="68"/>
  <c r="AJ103" i="68" s="1"/>
  <c r="AN53" i="51"/>
  <c r="AP53" i="51" s="1"/>
  <c r="AL53" i="51"/>
  <c r="AM53" i="51" s="1"/>
  <c r="B53" i="51"/>
  <c r="AM85" i="59"/>
  <c r="AF85" i="59" s="1"/>
  <c r="Y61" i="48"/>
  <c r="AG61" i="48" s="1"/>
  <c r="AH61" i="48" s="1"/>
  <c r="X61" i="26"/>
  <c r="Y61" i="26" s="1"/>
  <c r="J61" i="26" s="1"/>
  <c r="L61" i="26" s="1"/>
  <c r="Y58" i="1"/>
  <c r="Z58" i="1" s="1"/>
  <c r="AA58" i="1" s="1"/>
  <c r="J58" i="1" s="1"/>
  <c r="L58" i="1" s="1"/>
  <c r="T61" i="26"/>
  <c r="AI53" i="41"/>
  <c r="R54" i="41"/>
  <c r="V54" i="41" s="1"/>
  <c r="Q54" i="41" s="1"/>
  <c r="AB52" i="41"/>
  <c r="AC85" i="59"/>
  <c r="AK86" i="59"/>
  <c r="AL86" i="59" s="1"/>
  <c r="AE86" i="59" s="1"/>
  <c r="S87" i="59"/>
  <c r="V87" i="59" s="1"/>
  <c r="Q87" i="59" s="1"/>
  <c r="Y55" i="51"/>
  <c r="AG55" i="51" s="1"/>
  <c r="AH55" i="51" s="1"/>
  <c r="Y57" i="52"/>
  <c r="AG57" i="52" s="1"/>
  <c r="AH57" i="52" s="1"/>
  <c r="AN55" i="41"/>
  <c r="AP55" i="41" s="1"/>
  <c r="AL55" i="41"/>
  <c r="AM55" i="41" s="1"/>
  <c r="B55" i="41"/>
  <c r="B92" i="47"/>
  <c r="AO92" i="47"/>
  <c r="AQ92" i="47" s="1"/>
  <c r="AM92" i="47"/>
  <c r="AN92" i="47" s="1"/>
  <c r="AL98" i="68"/>
  <c r="AE98" i="68" s="1"/>
  <c r="AM98" i="68"/>
  <c r="AF98" i="68" s="1"/>
  <c r="AH90" i="47"/>
  <c r="AI90" i="47" s="1"/>
  <c r="AO54" i="41"/>
  <c r="AQ54" i="41"/>
  <c r="AS55" i="41" s="1"/>
  <c r="AE43" i="26"/>
  <c r="AN44" i="26"/>
  <c r="AO44" i="26" s="1"/>
  <c r="AF44" i="26" s="1"/>
  <c r="AY44" i="26"/>
  <c r="D44" i="26" s="1"/>
  <c r="AO43" i="26"/>
  <c r="AF43" i="26" s="1"/>
  <c r="AP43" i="26"/>
  <c r="AG43" i="26" s="1"/>
  <c r="G43" i="26" s="1"/>
  <c r="H43" i="26" s="1"/>
  <c r="AQ52" i="51"/>
  <c r="AS53" i="51" s="1"/>
  <c r="AO52" i="51"/>
  <c r="AA92" i="59"/>
  <c r="AB92" i="59" s="1"/>
  <c r="K92" i="59" s="1"/>
  <c r="M92" i="59" s="1"/>
  <c r="AN53" i="48"/>
  <c r="AP53" i="48" s="1"/>
  <c r="AL53" i="48"/>
  <c r="AM53" i="48" s="1"/>
  <c r="B53" i="48"/>
  <c r="AI61" i="26"/>
  <c r="AL61" i="26" s="1"/>
  <c r="AM97" i="68"/>
  <c r="AF97" i="68" s="1"/>
  <c r="K52" i="41"/>
  <c r="L52" i="41" s="1"/>
  <c r="G52" i="41"/>
  <c r="H52" i="41" s="1"/>
  <c r="AK53" i="41"/>
  <c r="AD53" i="41" s="1"/>
  <c r="AJ53" i="41"/>
  <c r="AC53" i="41" s="1"/>
  <c r="Y54" i="41"/>
  <c r="Z54" i="41" s="1"/>
  <c r="AA54" i="41" s="1"/>
  <c r="Z104" i="68"/>
  <c r="AA104" i="68" s="1"/>
  <c r="AB104" i="68" s="1"/>
  <c r="K104" i="68" s="1"/>
  <c r="M104" i="68" s="1"/>
  <c r="S62" i="26"/>
  <c r="X62" i="26" s="1"/>
  <c r="Y62" i="26" s="1"/>
  <c r="J62" i="26" s="1"/>
  <c r="F53" i="41"/>
  <c r="J53" i="41"/>
  <c r="E49" i="61"/>
  <c r="B53" i="1"/>
  <c r="AN53" i="1"/>
  <c r="AP53" i="1" s="1"/>
  <c r="AL53" i="1"/>
  <c r="AM53" i="1" s="1"/>
  <c r="AB49" i="48"/>
  <c r="AI50" i="48"/>
  <c r="R51" i="48"/>
  <c r="U51" i="48" s="1"/>
  <c r="P51" i="48" s="1"/>
  <c r="AO52" i="48"/>
  <c r="AQ52" i="48"/>
  <c r="AS53" i="48" s="1"/>
  <c r="G51" i="41"/>
  <c r="H51" i="41" s="1"/>
  <c r="K51" i="41"/>
  <c r="L51" i="41" s="1"/>
  <c r="AQ52" i="1"/>
  <c r="AS53" i="1" s="1"/>
  <c r="AO52" i="1"/>
  <c r="AN102" i="68" l="1"/>
  <c r="AO102" i="68" s="1"/>
  <c r="B102" i="68"/>
  <c r="AP102" i="68"/>
  <c r="AR102" i="68" s="1"/>
  <c r="AQ101" i="68"/>
  <c r="AS101" i="68"/>
  <c r="AU102" i="68" s="1"/>
  <c r="V52" i="1"/>
  <c r="AG54" i="41"/>
  <c r="AH54" i="41" s="1"/>
  <c r="Q52" i="1"/>
  <c r="F52" i="1" s="1"/>
  <c r="H52" i="1" s="1"/>
  <c r="AB51" i="1"/>
  <c r="R53" i="1"/>
  <c r="V53" i="1" s="1"/>
  <c r="AI52" i="1"/>
  <c r="AJ52" i="1" s="1"/>
  <c r="AC52" i="1" s="1"/>
  <c r="AJ51" i="1"/>
  <c r="AC51" i="1" s="1"/>
  <c r="AP91" i="47"/>
  <c r="Z55" i="50"/>
  <c r="AA55" i="50" s="1"/>
  <c r="J55" i="50" s="1"/>
  <c r="L55" i="50" s="1"/>
  <c r="Y56" i="50"/>
  <c r="AG56" i="50" s="1"/>
  <c r="AH56" i="50" s="1"/>
  <c r="G95" i="67"/>
  <c r="I95" i="67" s="1"/>
  <c r="I85" i="60"/>
  <c r="G86" i="60"/>
  <c r="I86" i="60" s="1"/>
  <c r="Q96" i="67"/>
  <c r="AS98" i="67"/>
  <c r="AU99" i="67" s="1"/>
  <c r="AQ98" i="67"/>
  <c r="B99" i="67"/>
  <c r="AP99" i="67"/>
  <c r="AR99" i="67" s="1"/>
  <c r="AN99" i="67"/>
  <c r="AO99" i="67" s="1"/>
  <c r="AG55" i="49"/>
  <c r="AH55" i="49" s="1"/>
  <c r="Z55" i="49"/>
  <c r="AA55" i="49" s="1"/>
  <c r="J55" i="49" s="1"/>
  <c r="L55" i="49" s="1"/>
  <c r="Y56" i="49"/>
  <c r="AL52" i="39"/>
  <c r="AM52" i="39" s="1"/>
  <c r="AN52" i="39"/>
  <c r="AP52" i="39" s="1"/>
  <c r="B52" i="39"/>
  <c r="AO51" i="39"/>
  <c r="AQ51" i="39"/>
  <c r="AS52" i="39" s="1"/>
  <c r="AK49" i="3"/>
  <c r="AD49" i="3" s="1"/>
  <c r="G49" i="3" s="1"/>
  <c r="H49" i="3" s="1"/>
  <c r="AJ49" i="3"/>
  <c r="AC49" i="3" s="1"/>
  <c r="V50" i="3"/>
  <c r="Q50" i="3" s="1"/>
  <c r="F50" i="3" s="1"/>
  <c r="AB49" i="3"/>
  <c r="R51" i="3"/>
  <c r="U50" i="3"/>
  <c r="P50" i="3" s="1"/>
  <c r="AI50" i="3"/>
  <c r="U51" i="49"/>
  <c r="P51" i="49" s="1"/>
  <c r="V51" i="49"/>
  <c r="Q51" i="49" s="1"/>
  <c r="F51" i="49" s="1"/>
  <c r="H51" i="49" s="1"/>
  <c r="AB50" i="49"/>
  <c r="AI51" i="49"/>
  <c r="R52" i="49"/>
  <c r="V52" i="49" s="1"/>
  <c r="Q52" i="49" s="1"/>
  <c r="F52" i="49" s="1"/>
  <c r="H52" i="49" s="1"/>
  <c r="AJ50" i="49"/>
  <c r="AC50" i="49" s="1"/>
  <c r="AK50" i="49"/>
  <c r="AD50" i="49" s="1"/>
  <c r="AK49" i="50"/>
  <c r="AD49" i="50" s="1"/>
  <c r="AJ49" i="50"/>
  <c r="AC49" i="50" s="1"/>
  <c r="V50" i="50"/>
  <c r="Q50" i="50" s="1"/>
  <c r="F50" i="50" s="1"/>
  <c r="H50" i="50" s="1"/>
  <c r="U50" i="50"/>
  <c r="P50" i="50" s="1"/>
  <c r="AB49" i="50"/>
  <c r="R51" i="50"/>
  <c r="AI50" i="50"/>
  <c r="AL85" i="47"/>
  <c r="AE85" i="47" s="1"/>
  <c r="AO51" i="52"/>
  <c r="AQ51" i="52"/>
  <c r="AS52" i="52" s="1"/>
  <c r="AJ50" i="52"/>
  <c r="AC50" i="52" s="1"/>
  <c r="AK50" i="52"/>
  <c r="AD50" i="52" s="1"/>
  <c r="U51" i="39"/>
  <c r="P51" i="39" s="1"/>
  <c r="AS58" i="26"/>
  <c r="AU58" i="26" s="1"/>
  <c r="AQ58" i="26"/>
  <c r="AR58" i="26" s="1"/>
  <c r="B58" i="26"/>
  <c r="V51" i="52"/>
  <c r="Q51" i="52" s="1"/>
  <c r="F51" i="52" s="1"/>
  <c r="H51" i="52" s="1"/>
  <c r="AI51" i="52"/>
  <c r="U51" i="52"/>
  <c r="P51" i="52" s="1"/>
  <c r="R52" i="52"/>
  <c r="AB50" i="52"/>
  <c r="AL52" i="52"/>
  <c r="AM52" i="52" s="1"/>
  <c r="B52" i="52"/>
  <c r="AN52" i="52"/>
  <c r="AP52" i="52" s="1"/>
  <c r="V51" i="48"/>
  <c r="Q51" i="48" s="1"/>
  <c r="F51" i="48" s="1"/>
  <c r="H51" i="48" s="1"/>
  <c r="AT57" i="26"/>
  <c r="AV57" i="26"/>
  <c r="AX58" i="26" s="1"/>
  <c r="W96" i="67"/>
  <c r="R96" i="67" s="1"/>
  <c r="AQ54" i="49"/>
  <c r="AS55" i="49" s="1"/>
  <c r="AO54" i="49"/>
  <c r="W87" i="59"/>
  <c r="R87" i="59" s="1"/>
  <c r="G87" i="59" s="1"/>
  <c r="I87" i="59" s="1"/>
  <c r="AL55" i="49"/>
  <c r="AM55" i="49" s="1"/>
  <c r="B55" i="49"/>
  <c r="AN55" i="49"/>
  <c r="AP55" i="49" s="1"/>
  <c r="AP44" i="26"/>
  <c r="AG44" i="26" s="1"/>
  <c r="G44" i="26" s="1"/>
  <c r="H44" i="26" s="1"/>
  <c r="AI62" i="26"/>
  <c r="AL62" i="26" s="1"/>
  <c r="AA93" i="59"/>
  <c r="AB93" i="59" s="1"/>
  <c r="K93" i="59" s="1"/>
  <c r="M93" i="59" s="1"/>
  <c r="S97" i="67"/>
  <c r="V97" i="67" s="1"/>
  <c r="AC95" i="67"/>
  <c r="AK96" i="67"/>
  <c r="AL96" i="67" s="1"/>
  <c r="T62" i="26"/>
  <c r="AN90" i="59"/>
  <c r="AO90" i="59" s="1"/>
  <c r="B90" i="59"/>
  <c r="AP90" i="59"/>
  <c r="AR90" i="59" s="1"/>
  <c r="AM95" i="67"/>
  <c r="AS89" i="59"/>
  <c r="AU90" i="59" s="1"/>
  <c r="AQ89" i="59"/>
  <c r="Z55" i="51"/>
  <c r="AA55" i="51" s="1"/>
  <c r="J55" i="51" s="1"/>
  <c r="L55" i="51" s="1"/>
  <c r="Z59" i="3"/>
  <c r="AA59" i="3" s="1"/>
  <c r="J59" i="3" s="1"/>
  <c r="L59" i="3" s="1"/>
  <c r="AB50" i="51"/>
  <c r="AI51" i="51"/>
  <c r="AK51" i="51" s="1"/>
  <c r="AD51" i="51" s="1"/>
  <c r="R52" i="51"/>
  <c r="V52" i="51" s="1"/>
  <c r="Q52" i="51" s="1"/>
  <c r="F52" i="51" s="1"/>
  <c r="H52" i="51" s="1"/>
  <c r="V51" i="51"/>
  <c r="Q51" i="51" s="1"/>
  <c r="F51" i="51" s="1"/>
  <c r="H51" i="51" s="1"/>
  <c r="AO53" i="50"/>
  <c r="AQ53" i="50"/>
  <c r="AS54" i="50" s="1"/>
  <c r="AB85" i="47"/>
  <c r="AJ86" i="47"/>
  <c r="AK86" i="47" s="1"/>
  <c r="AD86" i="47" s="1"/>
  <c r="R87" i="47"/>
  <c r="U87" i="47" s="1"/>
  <c r="P87" i="47" s="1"/>
  <c r="Z91" i="47"/>
  <c r="AA91" i="47" s="1"/>
  <c r="J91" i="47" s="1"/>
  <c r="L91" i="47" s="1"/>
  <c r="AJ50" i="39"/>
  <c r="AC50" i="39" s="1"/>
  <c r="U86" i="47"/>
  <c r="P86" i="47" s="1"/>
  <c r="Z61" i="48"/>
  <c r="AA61" i="48" s="1"/>
  <c r="J61" i="48" s="1"/>
  <c r="L61" i="48" s="1"/>
  <c r="R52" i="39"/>
  <c r="U52" i="39" s="1"/>
  <c r="P52" i="39" s="1"/>
  <c r="AI51" i="39"/>
  <c r="AJ51" i="39" s="1"/>
  <c r="AC51" i="39" s="1"/>
  <c r="AB50" i="39"/>
  <c r="AK50" i="39"/>
  <c r="AD50" i="39" s="1"/>
  <c r="G50" i="39" s="1"/>
  <c r="H50" i="39" s="1"/>
  <c r="AL54" i="50"/>
  <c r="AM54" i="50" s="1"/>
  <c r="AN54" i="50"/>
  <c r="AP54" i="50" s="1"/>
  <c r="B54" i="50"/>
  <c r="U51" i="51"/>
  <c r="P51" i="51" s="1"/>
  <c r="V86" i="47"/>
  <c r="Q86" i="47" s="1"/>
  <c r="F86" i="47" s="1"/>
  <c r="H86" i="47" s="1"/>
  <c r="AK50" i="51"/>
  <c r="AD50" i="51" s="1"/>
  <c r="F54" i="41"/>
  <c r="J54" i="41"/>
  <c r="R45" i="26"/>
  <c r="S63" i="26"/>
  <c r="X63" i="26" s="1"/>
  <c r="Y63" i="26" s="1"/>
  <c r="J63" i="26" s="1"/>
  <c r="G53" i="41"/>
  <c r="H53" i="41" s="1"/>
  <c r="K53" i="41"/>
  <c r="B54" i="48"/>
  <c r="AL54" i="48"/>
  <c r="AM54" i="48" s="1"/>
  <c r="AN54" i="48"/>
  <c r="AP54" i="48" s="1"/>
  <c r="AK50" i="48"/>
  <c r="AD50" i="48" s="1"/>
  <c r="AQ55" i="41"/>
  <c r="AS56" i="41" s="1"/>
  <c r="AO55" i="41"/>
  <c r="Y59" i="1"/>
  <c r="AG59" i="1" s="1"/>
  <c r="AH59" i="1" s="1"/>
  <c r="AQ53" i="51"/>
  <c r="AS54" i="51" s="1"/>
  <c r="AO53" i="51"/>
  <c r="AL54" i="3"/>
  <c r="AM54" i="3" s="1"/>
  <c r="AN54" i="3"/>
  <c r="AP54" i="3" s="1"/>
  <c r="B54" i="3"/>
  <c r="L43" i="26"/>
  <c r="Y59" i="39"/>
  <c r="Z59" i="39" s="1"/>
  <c r="AA59" i="39" s="1"/>
  <c r="J59" i="39" s="1"/>
  <c r="AC98" i="68"/>
  <c r="S100" i="68"/>
  <c r="V100" i="68" s="1"/>
  <c r="Q100" i="68" s="1"/>
  <c r="AK99" i="68"/>
  <c r="AL99" i="68" s="1"/>
  <c r="AE99" i="68" s="1"/>
  <c r="V99" i="68"/>
  <c r="Q99" i="68" s="1"/>
  <c r="Y92" i="47"/>
  <c r="Z92" i="47" s="1"/>
  <c r="AA92" i="47" s="1"/>
  <c r="J92" i="47" s="1"/>
  <c r="L92" i="47" s="1"/>
  <c r="Z105" i="68"/>
  <c r="AI105" i="68" s="1"/>
  <c r="AJ105" i="68" s="1"/>
  <c r="Y58" i="52"/>
  <c r="AG58" i="52" s="1"/>
  <c r="AH58" i="52" s="1"/>
  <c r="B54" i="1"/>
  <c r="AL54" i="1"/>
  <c r="AM54" i="1" s="1"/>
  <c r="AN54" i="1"/>
  <c r="AP54" i="1" s="1"/>
  <c r="L53" i="41"/>
  <c r="AB50" i="48"/>
  <c r="AI51" i="48"/>
  <c r="AK51" i="48" s="1"/>
  <c r="AD51" i="48" s="1"/>
  <c r="R52" i="48"/>
  <c r="V52" i="48" s="1"/>
  <c r="Q52" i="48" s="1"/>
  <c r="F52" i="48" s="1"/>
  <c r="H52" i="48" s="1"/>
  <c r="AO53" i="1"/>
  <c r="AQ53" i="1"/>
  <c r="AS54" i="1" s="1"/>
  <c r="AJ62" i="26"/>
  <c r="AK62" i="26" s="1"/>
  <c r="K62" i="26" s="1"/>
  <c r="L62" i="26" s="1"/>
  <c r="AI104" i="68"/>
  <c r="AJ104" i="68" s="1"/>
  <c r="AQ53" i="48"/>
  <c r="AS54" i="48" s="1"/>
  <c r="AO53" i="48"/>
  <c r="AJ50" i="48"/>
  <c r="AC50" i="48" s="1"/>
  <c r="AP92" i="47"/>
  <c r="AR92" i="47"/>
  <c r="AT93" i="47" s="1"/>
  <c r="Z57" i="52"/>
  <c r="AA57" i="52" s="1"/>
  <c r="J57" i="52" s="1"/>
  <c r="L57" i="52" s="1"/>
  <c r="Y56" i="51"/>
  <c r="AG56" i="51" s="1"/>
  <c r="AH56" i="51" s="1"/>
  <c r="AO53" i="3"/>
  <c r="AQ53" i="3"/>
  <c r="AS54" i="3" s="1"/>
  <c r="AM99" i="68"/>
  <c r="AF99" i="68" s="1"/>
  <c r="AA63" i="26"/>
  <c r="AB63" i="26" s="1"/>
  <c r="AC63" i="26" s="1"/>
  <c r="Z94" i="59"/>
  <c r="AI94" i="59" s="1"/>
  <c r="AJ94" i="59" s="1"/>
  <c r="AI54" i="41"/>
  <c r="AK54" i="41" s="1"/>
  <c r="AD54" i="41" s="1"/>
  <c r="AB53" i="41"/>
  <c r="R55" i="41"/>
  <c r="U55" i="41" s="1"/>
  <c r="P55" i="41" s="1"/>
  <c r="Y55" i="41"/>
  <c r="AG55" i="41" s="1"/>
  <c r="AH55" i="41" s="1"/>
  <c r="Z55" i="41"/>
  <c r="AA55" i="41" s="1"/>
  <c r="AM93" i="47"/>
  <c r="AN93" i="47" s="1"/>
  <c r="B93" i="47"/>
  <c r="AO93" i="47"/>
  <c r="AQ93" i="47" s="1"/>
  <c r="AN56" i="41"/>
  <c r="AP56" i="41" s="1"/>
  <c r="AL56" i="41"/>
  <c r="AM56" i="41" s="1"/>
  <c r="B56" i="41"/>
  <c r="AC86" i="59"/>
  <c r="AK87" i="59"/>
  <c r="AL87" i="59" s="1"/>
  <c r="AE87" i="59" s="1"/>
  <c r="S88" i="59"/>
  <c r="U54" i="41"/>
  <c r="P54" i="41" s="1"/>
  <c r="AJ54" i="41"/>
  <c r="AC54" i="41" s="1"/>
  <c r="AG58" i="1"/>
  <c r="AH58" i="1" s="1"/>
  <c r="Y62" i="48"/>
  <c r="Z62" i="48" s="1"/>
  <c r="AA62" i="48" s="1"/>
  <c r="J62" i="48" s="1"/>
  <c r="L62" i="48" s="1"/>
  <c r="AL54" i="51"/>
  <c r="AM54" i="51" s="1"/>
  <c r="B54" i="51"/>
  <c r="AN54" i="51"/>
  <c r="AP54" i="51" s="1"/>
  <c r="Y60" i="3"/>
  <c r="AG60" i="3" s="1"/>
  <c r="AH60" i="3" s="1"/>
  <c r="K60" i="3" s="1"/>
  <c r="Z58" i="39"/>
  <c r="AA58" i="39" s="1"/>
  <c r="J58" i="39" s="1"/>
  <c r="L58" i="39" s="1"/>
  <c r="AM86" i="59"/>
  <c r="AF86" i="59" s="1"/>
  <c r="L50" i="61"/>
  <c r="AP103" i="68" l="1"/>
  <c r="AR103" i="68" s="1"/>
  <c r="B103" i="68"/>
  <c r="AN103" i="68"/>
  <c r="AO103" i="68" s="1"/>
  <c r="AQ102" i="68"/>
  <c r="AS102" i="68"/>
  <c r="AU103" i="68" s="1"/>
  <c r="W100" i="68"/>
  <c r="R100" i="68" s="1"/>
  <c r="G100" i="68" s="1"/>
  <c r="I100" i="68" s="1"/>
  <c r="AB52" i="1"/>
  <c r="U53" i="1"/>
  <c r="P53" i="1" s="1"/>
  <c r="R54" i="1"/>
  <c r="U54" i="1" s="1"/>
  <c r="P54" i="1" s="1"/>
  <c r="AI53" i="1"/>
  <c r="AK53" i="1" s="1"/>
  <c r="AD53" i="1" s="1"/>
  <c r="AK52" i="1"/>
  <c r="AD52" i="1" s="1"/>
  <c r="Z56" i="50"/>
  <c r="AA56" i="50" s="1"/>
  <c r="J56" i="50" s="1"/>
  <c r="L56" i="50" s="1"/>
  <c r="Y57" i="50"/>
  <c r="Y58" i="50" s="1"/>
  <c r="AG58" i="50" s="1"/>
  <c r="AH58" i="50" s="1"/>
  <c r="I58" i="60"/>
  <c r="I122" i="60"/>
  <c r="G122" i="60"/>
  <c r="G58" i="60" s="1"/>
  <c r="I45" i="60" s="1"/>
  <c r="G96" i="67"/>
  <c r="I96" i="67" s="1"/>
  <c r="AQ99" i="67"/>
  <c r="AS99" i="67"/>
  <c r="AU100" i="67" s="1"/>
  <c r="AN100" i="67"/>
  <c r="AO100" i="67" s="1"/>
  <c r="AP100" i="67"/>
  <c r="AR100" i="67" s="1"/>
  <c r="B100" i="67"/>
  <c r="AG56" i="49"/>
  <c r="AH56" i="49" s="1"/>
  <c r="Y57" i="49"/>
  <c r="Z56" i="49"/>
  <c r="AA56" i="49" s="1"/>
  <c r="J56" i="49" s="1"/>
  <c r="L56" i="49" s="1"/>
  <c r="AL53" i="39"/>
  <c r="AM53" i="39" s="1"/>
  <c r="AN53" i="39"/>
  <c r="AP53" i="39" s="1"/>
  <c r="B53" i="39"/>
  <c r="AO52" i="39"/>
  <c r="AQ52" i="39"/>
  <c r="AS53" i="39" s="1"/>
  <c r="AK50" i="3"/>
  <c r="AD50" i="3" s="1"/>
  <c r="G50" i="3" s="1"/>
  <c r="H50" i="3" s="1"/>
  <c r="AJ50" i="3"/>
  <c r="AC50" i="3" s="1"/>
  <c r="AI51" i="3"/>
  <c r="V51" i="3"/>
  <c r="Q51" i="3" s="1"/>
  <c r="F51" i="3" s="1"/>
  <c r="AB50" i="3"/>
  <c r="R52" i="3"/>
  <c r="U51" i="3"/>
  <c r="P51" i="3" s="1"/>
  <c r="AJ51" i="49"/>
  <c r="AC51" i="49" s="1"/>
  <c r="AK51" i="49"/>
  <c r="AD51" i="49" s="1"/>
  <c r="U52" i="49"/>
  <c r="P52" i="49" s="1"/>
  <c r="R53" i="49"/>
  <c r="AI52" i="49"/>
  <c r="AJ52" i="49" s="1"/>
  <c r="AC52" i="49" s="1"/>
  <c r="AB51" i="49"/>
  <c r="L44" i="26"/>
  <c r="AK50" i="50"/>
  <c r="AD50" i="50" s="1"/>
  <c r="AJ50" i="50"/>
  <c r="AC50" i="50" s="1"/>
  <c r="U51" i="50"/>
  <c r="P51" i="50" s="1"/>
  <c r="AI51" i="50"/>
  <c r="R52" i="50"/>
  <c r="AB50" i="50"/>
  <c r="V51" i="50"/>
  <c r="Q51" i="50" s="1"/>
  <c r="F51" i="50" s="1"/>
  <c r="H51" i="50" s="1"/>
  <c r="U52" i="51"/>
  <c r="P52" i="51" s="1"/>
  <c r="Z59" i="1"/>
  <c r="AA59" i="1" s="1"/>
  <c r="J59" i="1" s="1"/>
  <c r="L59" i="1" s="1"/>
  <c r="U52" i="48"/>
  <c r="P52" i="48" s="1"/>
  <c r="AN53" i="52"/>
  <c r="AP53" i="52" s="1"/>
  <c r="B53" i="52"/>
  <c r="AL53" i="52"/>
  <c r="AM53" i="52" s="1"/>
  <c r="AT58" i="26"/>
  <c r="AV58" i="26"/>
  <c r="AX59" i="26" s="1"/>
  <c r="AO52" i="52"/>
  <c r="AQ52" i="52"/>
  <c r="AS53" i="52" s="1"/>
  <c r="AJ51" i="52"/>
  <c r="AC51" i="52" s="1"/>
  <c r="AK51" i="52"/>
  <c r="AD51" i="52" s="1"/>
  <c r="U52" i="52"/>
  <c r="P52" i="52" s="1"/>
  <c r="AB51" i="52"/>
  <c r="R53" i="52"/>
  <c r="V52" i="52"/>
  <c r="Q52" i="52" s="1"/>
  <c r="F52" i="52" s="1"/>
  <c r="H52" i="52" s="1"/>
  <c r="AI52" i="52"/>
  <c r="AS59" i="26"/>
  <c r="AU59" i="26" s="1"/>
  <c r="AQ59" i="26"/>
  <c r="AR59" i="26" s="1"/>
  <c r="B59" i="26"/>
  <c r="AG62" i="48"/>
  <c r="AH62" i="48" s="1"/>
  <c r="AM96" i="67"/>
  <c r="AF96" i="67" s="1"/>
  <c r="W97" i="67"/>
  <c r="R97" i="67" s="1"/>
  <c r="AL56" i="49"/>
  <c r="AM56" i="49" s="1"/>
  <c r="AN56" i="49"/>
  <c r="AP56" i="49" s="1"/>
  <c r="B56" i="49"/>
  <c r="AQ55" i="49"/>
  <c r="AS56" i="49" s="1"/>
  <c r="AO55" i="49"/>
  <c r="Q97" i="67"/>
  <c r="AE96" i="67"/>
  <c r="Z58" i="52"/>
  <c r="AA58" i="52" s="1"/>
  <c r="J58" i="52" s="1"/>
  <c r="L58" i="52" s="1"/>
  <c r="AL86" i="47"/>
  <c r="AE86" i="47" s="1"/>
  <c r="AJ63" i="26"/>
  <c r="AK63" i="26" s="1"/>
  <c r="K63" i="26" s="1"/>
  <c r="L63" i="26" s="1"/>
  <c r="V52" i="39"/>
  <c r="Q52" i="39" s="1"/>
  <c r="F52" i="39" s="1"/>
  <c r="B91" i="59"/>
  <c r="AP91" i="59"/>
  <c r="AR91" i="59" s="1"/>
  <c r="AN91" i="59"/>
  <c r="AO91" i="59" s="1"/>
  <c r="AF95" i="67"/>
  <c r="AQ90" i="59"/>
  <c r="AS90" i="59"/>
  <c r="AU91" i="59" s="1"/>
  <c r="S98" i="67"/>
  <c r="AK97" i="67"/>
  <c r="AM97" i="67" s="1"/>
  <c r="AF97" i="67" s="1"/>
  <c r="AC96" i="67"/>
  <c r="AG59" i="39"/>
  <c r="AH59" i="39" s="1"/>
  <c r="K59" i="39" s="1"/>
  <c r="L59" i="39" s="1"/>
  <c r="AB51" i="51"/>
  <c r="AI52" i="51"/>
  <c r="AK52" i="51" s="1"/>
  <c r="AD52" i="51" s="1"/>
  <c r="R53" i="51"/>
  <c r="AK51" i="39"/>
  <c r="AD51" i="39" s="1"/>
  <c r="G51" i="39" s="1"/>
  <c r="H51" i="39" s="1"/>
  <c r="B55" i="50"/>
  <c r="AL55" i="50"/>
  <c r="AM55" i="50" s="1"/>
  <c r="AN55" i="50"/>
  <c r="AP55" i="50" s="1"/>
  <c r="Z60" i="3"/>
  <c r="AA60" i="3" s="1"/>
  <c r="J60" i="3" s="1"/>
  <c r="L60" i="3" s="1"/>
  <c r="AH92" i="47"/>
  <c r="AI92" i="47" s="1"/>
  <c r="V87" i="47"/>
  <c r="Q87" i="47" s="1"/>
  <c r="F87" i="47" s="1"/>
  <c r="H87" i="47" s="1"/>
  <c r="R88" i="47"/>
  <c r="V88" i="47" s="1"/>
  <c r="Q88" i="47" s="1"/>
  <c r="F88" i="47" s="1"/>
  <c r="H88" i="47" s="1"/>
  <c r="AJ87" i="47"/>
  <c r="AK87" i="47" s="1"/>
  <c r="AD87" i="47" s="1"/>
  <c r="AB86" i="47"/>
  <c r="AJ51" i="51"/>
  <c r="AC51" i="51" s="1"/>
  <c r="AO54" i="50"/>
  <c r="AQ54" i="50"/>
  <c r="AS55" i="50" s="1"/>
  <c r="AI52" i="39"/>
  <c r="AK52" i="39" s="1"/>
  <c r="AD52" i="39" s="1"/>
  <c r="G52" i="39" s="1"/>
  <c r="R53" i="39"/>
  <c r="V53" i="39" s="1"/>
  <c r="Q53" i="39" s="1"/>
  <c r="F53" i="39" s="1"/>
  <c r="AB51" i="39"/>
  <c r="K54" i="41"/>
  <c r="G54" i="41"/>
  <c r="Z95" i="59"/>
  <c r="AA95" i="59" s="1"/>
  <c r="AB95" i="59" s="1"/>
  <c r="K95" i="59" s="1"/>
  <c r="M95" i="59" s="1"/>
  <c r="AA64" i="26"/>
  <c r="T64" i="26" s="1"/>
  <c r="Y57" i="51"/>
  <c r="Z57" i="51" s="1"/>
  <c r="AA57" i="51" s="1"/>
  <c r="J57" i="51" s="1"/>
  <c r="L57" i="51" s="1"/>
  <c r="D51" i="61"/>
  <c r="C51" i="61" s="1"/>
  <c r="E51" i="61" s="1"/>
  <c r="Y56" i="41"/>
  <c r="Z56" i="41" s="1"/>
  <c r="AA56" i="41" s="1"/>
  <c r="AI63" i="26"/>
  <c r="AL63" i="26" s="1"/>
  <c r="AM87" i="59"/>
  <c r="AF87" i="59" s="1"/>
  <c r="AB51" i="48"/>
  <c r="AI52" i="48"/>
  <c r="AJ52" i="48" s="1"/>
  <c r="AC52" i="48" s="1"/>
  <c r="R53" i="48"/>
  <c r="U53" i="48" s="1"/>
  <c r="P53" i="48" s="1"/>
  <c r="Y59" i="52"/>
  <c r="Z59" i="52" s="1"/>
  <c r="AA59" i="52" s="1"/>
  <c r="J59" i="52" s="1"/>
  <c r="L59" i="52" s="1"/>
  <c r="Y93" i="47"/>
  <c r="Z93" i="47" s="1"/>
  <c r="AA93" i="47" s="1"/>
  <c r="J93" i="47" s="1"/>
  <c r="L93" i="47" s="1"/>
  <c r="AK100" i="68"/>
  <c r="AC99" i="68"/>
  <c r="S101" i="68"/>
  <c r="W101" i="68" s="1"/>
  <c r="R101" i="68" s="1"/>
  <c r="G101" i="68" s="1"/>
  <c r="I101" i="68" s="1"/>
  <c r="Y60" i="1"/>
  <c r="Z60" i="1" s="1"/>
  <c r="AA60" i="1" s="1"/>
  <c r="J60" i="1" s="1"/>
  <c r="L60" i="1" s="1"/>
  <c r="AN55" i="48"/>
  <c r="AP55" i="48" s="1"/>
  <c r="B55" i="48"/>
  <c r="AL55" i="48"/>
  <c r="AM55" i="48" s="1"/>
  <c r="AQ54" i="51"/>
  <c r="AS55" i="51" s="1"/>
  <c r="AO54" i="51"/>
  <c r="AC87" i="59"/>
  <c r="AK88" i="59"/>
  <c r="AL88" i="59" s="1"/>
  <c r="AE88" i="59" s="1"/>
  <c r="S89" i="59"/>
  <c r="V89" i="59" s="1"/>
  <c r="Q89" i="59" s="1"/>
  <c r="AP93" i="47"/>
  <c r="AR93" i="47"/>
  <c r="AT94" i="47" s="1"/>
  <c r="AI55" i="41"/>
  <c r="AK55" i="41" s="1"/>
  <c r="AD55" i="41" s="1"/>
  <c r="AB54" i="41"/>
  <c r="R56" i="41"/>
  <c r="U56" i="41" s="1"/>
  <c r="P56" i="41" s="1"/>
  <c r="AL55" i="1"/>
  <c r="AM55" i="1" s="1"/>
  <c r="AN55" i="1"/>
  <c r="AP55" i="1" s="1"/>
  <c r="B55" i="1"/>
  <c r="Y61" i="3"/>
  <c r="Z61" i="3" s="1"/>
  <c r="AA61" i="3" s="1"/>
  <c r="J61" i="3" s="1"/>
  <c r="AN55" i="51"/>
  <c r="AP55" i="51" s="1"/>
  <c r="B55" i="51"/>
  <c r="AL55" i="51"/>
  <c r="AM55" i="51" s="1"/>
  <c r="Y63" i="48"/>
  <c r="Z63" i="48" s="1"/>
  <c r="AA63" i="48" s="1"/>
  <c r="J63" i="48" s="1"/>
  <c r="L63" i="48" s="1"/>
  <c r="W88" i="59"/>
  <c r="R88" i="59" s="1"/>
  <c r="G88" i="59" s="1"/>
  <c r="I88" i="59" s="1"/>
  <c r="AN57" i="41"/>
  <c r="AP57" i="41" s="1"/>
  <c r="B57" i="41"/>
  <c r="AL57" i="41"/>
  <c r="AM57" i="41" s="1"/>
  <c r="AM94" i="47"/>
  <c r="AN94" i="47" s="1"/>
  <c r="AO94" i="47"/>
  <c r="AQ94" i="47" s="1"/>
  <c r="B94" i="47"/>
  <c r="V55" i="41"/>
  <c r="Q55" i="41" s="1"/>
  <c r="AA94" i="59"/>
  <c r="AB94" i="59" s="1"/>
  <c r="K94" i="59" s="1"/>
  <c r="M94" i="59" s="1"/>
  <c r="T63" i="26"/>
  <c r="Z56" i="51"/>
  <c r="AA56" i="51" s="1"/>
  <c r="J56" i="51" s="1"/>
  <c r="L56" i="51" s="1"/>
  <c r="AO54" i="1"/>
  <c r="AQ54" i="1"/>
  <c r="AS55" i="1" s="1"/>
  <c r="AL55" i="3"/>
  <c r="AM55" i="3" s="1"/>
  <c r="AN55" i="3"/>
  <c r="AP55" i="3" s="1"/>
  <c r="B55" i="3"/>
  <c r="S64" i="26"/>
  <c r="AJ55" i="41"/>
  <c r="AC55" i="41" s="1"/>
  <c r="L54" i="41"/>
  <c r="AQ56" i="41"/>
  <c r="AS57" i="41" s="1"/>
  <c r="AO56" i="41"/>
  <c r="Z106" i="68"/>
  <c r="AA106" i="68" s="1"/>
  <c r="AB106" i="68" s="1"/>
  <c r="K106" i="68" s="1"/>
  <c r="M106" i="68" s="1"/>
  <c r="V88" i="59"/>
  <c r="Q88" i="59" s="1"/>
  <c r="AA105" i="68"/>
  <c r="AB105" i="68" s="1"/>
  <c r="K105" i="68" s="1"/>
  <c r="M105" i="68" s="1"/>
  <c r="AL100" i="68"/>
  <c r="AE100" i="68" s="1"/>
  <c r="AM100" i="68"/>
  <c r="AF100" i="68" s="1"/>
  <c r="Y60" i="39"/>
  <c r="AQ54" i="3"/>
  <c r="AS55" i="3" s="1"/>
  <c r="AO54" i="3"/>
  <c r="AQ54" i="48"/>
  <c r="AS55" i="48" s="1"/>
  <c r="AO54" i="48"/>
  <c r="AJ51" i="48"/>
  <c r="AC51" i="48" s="1"/>
  <c r="AN45" i="26"/>
  <c r="AY45" i="26"/>
  <c r="D45" i="26" s="1"/>
  <c r="R46" i="26" s="1"/>
  <c r="AE44" i="26"/>
  <c r="W45" i="26"/>
  <c r="Q45" i="26" s="1"/>
  <c r="F45" i="26" s="1"/>
  <c r="V45" i="26"/>
  <c r="P45" i="26" s="1"/>
  <c r="H54" i="41"/>
  <c r="B104" i="68" l="1"/>
  <c r="AN104" i="68"/>
  <c r="AO104" i="68" s="1"/>
  <c r="AP104" i="68"/>
  <c r="AR104" i="68" s="1"/>
  <c r="AI106" i="68"/>
  <c r="AJ106" i="68" s="1"/>
  <c r="AQ103" i="68"/>
  <c r="AS103" i="68"/>
  <c r="AU104" i="68" s="1"/>
  <c r="V101" i="68"/>
  <c r="Q101" i="68" s="1"/>
  <c r="AJ53" i="1"/>
  <c r="AC53" i="1" s="1"/>
  <c r="AI54" i="1"/>
  <c r="AK54" i="1" s="1"/>
  <c r="AD54" i="1" s="1"/>
  <c r="Q53" i="1"/>
  <c r="F53" i="1" s="1"/>
  <c r="H53" i="1" s="1"/>
  <c r="V54" i="1"/>
  <c r="AB53" i="1"/>
  <c r="Q54" i="1"/>
  <c r="F54" i="1" s="1"/>
  <c r="H54" i="1" s="1"/>
  <c r="R55" i="1"/>
  <c r="U55" i="1" s="1"/>
  <c r="P55" i="1" s="1"/>
  <c r="AG57" i="50"/>
  <c r="AH57" i="50" s="1"/>
  <c r="Z57" i="50"/>
  <c r="AA57" i="50" s="1"/>
  <c r="J57" i="50" s="1"/>
  <c r="L57" i="50" s="1"/>
  <c r="G97" i="67"/>
  <c r="I97" i="67" s="1"/>
  <c r="AP101" i="67"/>
  <c r="AR101" i="67" s="1"/>
  <c r="B101" i="67"/>
  <c r="AN101" i="67"/>
  <c r="AO101" i="67" s="1"/>
  <c r="W98" i="67"/>
  <c r="R98" i="67" s="1"/>
  <c r="V98" i="67"/>
  <c r="AQ100" i="67"/>
  <c r="AS100" i="67"/>
  <c r="AU101" i="67" s="1"/>
  <c r="AG57" i="49"/>
  <c r="AH57" i="49" s="1"/>
  <c r="Z57" i="49"/>
  <c r="AA57" i="49" s="1"/>
  <c r="J57" i="49" s="1"/>
  <c r="L57" i="49" s="1"/>
  <c r="Y58" i="49"/>
  <c r="AN54" i="39"/>
  <c r="AP54" i="39" s="1"/>
  <c r="AL54" i="39"/>
  <c r="AM54" i="39" s="1"/>
  <c r="B54" i="39"/>
  <c r="AQ53" i="39"/>
  <c r="AS54" i="39" s="1"/>
  <c r="AO53" i="39"/>
  <c r="AJ51" i="3"/>
  <c r="AC51" i="3" s="1"/>
  <c r="AK51" i="3"/>
  <c r="AD51" i="3" s="1"/>
  <c r="G51" i="3" s="1"/>
  <c r="H51" i="3" s="1"/>
  <c r="U52" i="3"/>
  <c r="P52" i="3" s="1"/>
  <c r="V52" i="3"/>
  <c r="Q52" i="3" s="1"/>
  <c r="F52" i="3" s="1"/>
  <c r="AB51" i="3"/>
  <c r="AI52" i="3"/>
  <c r="R53" i="3"/>
  <c r="AK52" i="49"/>
  <c r="AD52" i="49" s="1"/>
  <c r="V53" i="49"/>
  <c r="Q53" i="49" s="1"/>
  <c r="F53" i="49" s="1"/>
  <c r="H53" i="49" s="1"/>
  <c r="AI53" i="49"/>
  <c r="U53" i="49"/>
  <c r="P53" i="49" s="1"/>
  <c r="R54" i="49"/>
  <c r="AB52" i="49"/>
  <c r="AK52" i="48"/>
  <c r="AD52" i="48" s="1"/>
  <c r="AJ51" i="50"/>
  <c r="AC51" i="50" s="1"/>
  <c r="AK51" i="50"/>
  <c r="AD51" i="50" s="1"/>
  <c r="U52" i="50"/>
  <c r="P52" i="50" s="1"/>
  <c r="AB51" i="50"/>
  <c r="R53" i="50"/>
  <c r="V52" i="50"/>
  <c r="Q52" i="50" s="1"/>
  <c r="F52" i="50" s="1"/>
  <c r="H52" i="50" s="1"/>
  <c r="AI52" i="50"/>
  <c r="AT59" i="26"/>
  <c r="AV59" i="26"/>
  <c r="AX60" i="26" s="1"/>
  <c r="U53" i="52"/>
  <c r="P53" i="52" s="1"/>
  <c r="V53" i="52"/>
  <c r="Q53" i="52" s="1"/>
  <c r="F53" i="52" s="1"/>
  <c r="H53" i="52" s="1"/>
  <c r="AB52" i="52"/>
  <c r="R54" i="52"/>
  <c r="AI53" i="52"/>
  <c r="AJ53" i="52" s="1"/>
  <c r="AC53" i="52" s="1"/>
  <c r="AQ60" i="26"/>
  <c r="AR60" i="26" s="1"/>
  <c r="AS60" i="26"/>
  <c r="AU60" i="26" s="1"/>
  <c r="B60" i="26"/>
  <c r="AL87" i="47"/>
  <c r="AE87" i="47" s="1"/>
  <c r="AQ53" i="52"/>
  <c r="AS54" i="52" s="1"/>
  <c r="AO53" i="52"/>
  <c r="AJ52" i="52"/>
  <c r="AC52" i="52" s="1"/>
  <c r="AK52" i="52"/>
  <c r="AD52" i="52" s="1"/>
  <c r="AL54" i="52"/>
  <c r="AM54" i="52" s="1"/>
  <c r="B54" i="52"/>
  <c r="AN54" i="52"/>
  <c r="AP54" i="52" s="1"/>
  <c r="AO56" i="49"/>
  <c r="AQ56" i="49"/>
  <c r="AS57" i="49" s="1"/>
  <c r="AG59" i="52"/>
  <c r="AH59" i="52" s="1"/>
  <c r="B57" i="49"/>
  <c r="AL57" i="49"/>
  <c r="AM57" i="49" s="1"/>
  <c r="AN57" i="49"/>
  <c r="AP57" i="49" s="1"/>
  <c r="H52" i="39"/>
  <c r="U88" i="47"/>
  <c r="P88" i="47" s="1"/>
  <c r="AQ91" i="59"/>
  <c r="AS91" i="59"/>
  <c r="AU92" i="59" s="1"/>
  <c r="AL97" i="67"/>
  <c r="AP92" i="59"/>
  <c r="AR92" i="59" s="1"/>
  <c r="AN92" i="59"/>
  <c r="AO92" i="59" s="1"/>
  <c r="B92" i="59"/>
  <c r="S99" i="67"/>
  <c r="V99" i="67" s="1"/>
  <c r="AC97" i="67"/>
  <c r="AK98" i="67"/>
  <c r="AQ55" i="50"/>
  <c r="AS56" i="50" s="1"/>
  <c r="AO55" i="50"/>
  <c r="V53" i="51"/>
  <c r="Q53" i="51" s="1"/>
  <c r="F53" i="51" s="1"/>
  <c r="H53" i="51" s="1"/>
  <c r="AI53" i="51"/>
  <c r="AJ53" i="51" s="1"/>
  <c r="AC53" i="51" s="1"/>
  <c r="AB52" i="51"/>
  <c r="R54" i="51"/>
  <c r="U54" i="51" s="1"/>
  <c r="P54" i="51" s="1"/>
  <c r="U53" i="51"/>
  <c r="P53" i="51" s="1"/>
  <c r="B56" i="50"/>
  <c r="AL56" i="50"/>
  <c r="AM56" i="50" s="1"/>
  <c r="AN56" i="50"/>
  <c r="AP56" i="50" s="1"/>
  <c r="AG63" i="48"/>
  <c r="AH63" i="48" s="1"/>
  <c r="Z58" i="50"/>
  <c r="AA58" i="50" s="1"/>
  <c r="J58" i="50" s="1"/>
  <c r="L58" i="50" s="1"/>
  <c r="W89" i="59"/>
  <c r="R89" i="59" s="1"/>
  <c r="G89" i="59" s="1"/>
  <c r="I89" i="59" s="1"/>
  <c r="AG60" i="1"/>
  <c r="AH60" i="1" s="1"/>
  <c r="AH93" i="47"/>
  <c r="AI93" i="47" s="1"/>
  <c r="V53" i="48"/>
  <c r="Q53" i="48" s="1"/>
  <c r="F53" i="48" s="1"/>
  <c r="H53" i="48" s="1"/>
  <c r="U53" i="39"/>
  <c r="P53" i="39" s="1"/>
  <c r="AB52" i="39"/>
  <c r="R54" i="39"/>
  <c r="U54" i="39" s="1"/>
  <c r="P54" i="39" s="1"/>
  <c r="AI53" i="39"/>
  <c r="AK53" i="39" s="1"/>
  <c r="AD53" i="39" s="1"/>
  <c r="G53" i="39" s="1"/>
  <c r="H53" i="39" s="1"/>
  <c r="AJ52" i="51"/>
  <c r="AC52" i="51" s="1"/>
  <c r="AI95" i="59"/>
  <c r="AJ95" i="59" s="1"/>
  <c r="AB87" i="47"/>
  <c r="R89" i="47"/>
  <c r="V89" i="47" s="1"/>
  <c r="Q89" i="47" s="1"/>
  <c r="F89" i="47" s="1"/>
  <c r="H89" i="47" s="1"/>
  <c r="AJ88" i="47"/>
  <c r="AJ52" i="39"/>
  <c r="AC52" i="39" s="1"/>
  <c r="AN46" i="26"/>
  <c r="AO46" i="26" s="1"/>
  <c r="AF46" i="26" s="1"/>
  <c r="AY46" i="26"/>
  <c r="D46" i="26" s="1"/>
  <c r="R47" i="26" s="1"/>
  <c r="AE45" i="26"/>
  <c r="W46" i="26"/>
  <c r="Q46" i="26" s="1"/>
  <c r="F46" i="26" s="1"/>
  <c r="V46" i="26"/>
  <c r="P46" i="26" s="1"/>
  <c r="K55" i="41"/>
  <c r="G55" i="41"/>
  <c r="S65" i="26"/>
  <c r="X65" i="26" s="1"/>
  <c r="Y65" i="26" s="1"/>
  <c r="J65" i="26" s="1"/>
  <c r="Y61" i="39"/>
  <c r="AG61" i="39" s="1"/>
  <c r="AH61" i="39" s="1"/>
  <c r="K61" i="39" s="1"/>
  <c r="AO55" i="3"/>
  <c r="AQ55" i="3"/>
  <c r="AS56" i="3" s="1"/>
  <c r="Z60" i="39"/>
  <c r="AA60" i="39" s="1"/>
  <c r="J60" i="39" s="1"/>
  <c r="Z107" i="68"/>
  <c r="AI107" i="68" s="1"/>
  <c r="AJ107" i="68" s="1"/>
  <c r="AA107" i="68"/>
  <c r="AB107" i="68" s="1"/>
  <c r="K107" i="68" s="1"/>
  <c r="M107" i="68" s="1"/>
  <c r="AJ64" i="26"/>
  <c r="AK64" i="26" s="1"/>
  <c r="K64" i="26" s="1"/>
  <c r="AP94" i="47"/>
  <c r="AR94" i="47"/>
  <c r="AT95" i="47" s="1"/>
  <c r="Y64" i="48"/>
  <c r="AG64" i="48" s="1"/>
  <c r="AH64" i="48" s="1"/>
  <c r="B56" i="48"/>
  <c r="AL56" i="48"/>
  <c r="AM56" i="48" s="1"/>
  <c r="AN56" i="48"/>
  <c r="AP56" i="48" s="1"/>
  <c r="Y94" i="47"/>
  <c r="Z94" i="47" s="1"/>
  <c r="AA94" i="47" s="1"/>
  <c r="J94" i="47" s="1"/>
  <c r="L94" i="47" s="1"/>
  <c r="AB52" i="48"/>
  <c r="AI53" i="48"/>
  <c r="R54" i="48"/>
  <c r="V54" i="48" s="1"/>
  <c r="Q54" i="48" s="1"/>
  <c r="F54" i="48" s="1"/>
  <c r="H54" i="48" s="1"/>
  <c r="AG57" i="51"/>
  <c r="AH57" i="51" s="1"/>
  <c r="AB64" i="26"/>
  <c r="AC64" i="26" s="1"/>
  <c r="Y62" i="3"/>
  <c r="AG60" i="39"/>
  <c r="AH60" i="39" s="1"/>
  <c r="K60" i="39" s="1"/>
  <c r="AL56" i="3"/>
  <c r="AM56" i="3" s="1"/>
  <c r="AN56" i="3"/>
  <c r="AP56" i="3" s="1"/>
  <c r="B56" i="3"/>
  <c r="AQ57" i="41"/>
  <c r="AS58" i="41" s="1"/>
  <c r="AO57" i="41"/>
  <c r="AO55" i="51"/>
  <c r="AQ55" i="51"/>
  <c r="AS56" i="51" s="1"/>
  <c r="AG61" i="3"/>
  <c r="AH61" i="3" s="1"/>
  <c r="K61" i="3" s="1"/>
  <c r="L61" i="3" s="1"/>
  <c r="AQ55" i="1"/>
  <c r="AS56" i="1" s="1"/>
  <c r="AO55" i="1"/>
  <c r="Y59" i="50"/>
  <c r="AG59" i="50" s="1"/>
  <c r="AH59" i="50" s="1"/>
  <c r="Y61" i="1"/>
  <c r="Z61" i="1" s="1"/>
  <c r="AA61" i="1" s="1"/>
  <c r="J61" i="1" s="1"/>
  <c r="L61" i="1" s="1"/>
  <c r="AK101" i="68"/>
  <c r="AC100" i="68"/>
  <c r="S102" i="68"/>
  <c r="W102" i="68" s="1"/>
  <c r="R102" i="68" s="1"/>
  <c r="G102" i="68" s="1"/>
  <c r="I102" i="68" s="1"/>
  <c r="Y60" i="52"/>
  <c r="AG60" i="52" s="1"/>
  <c r="AH60" i="52" s="1"/>
  <c r="AM88" i="59"/>
  <c r="AF88" i="59" s="1"/>
  <c r="Z96" i="59"/>
  <c r="Z97" i="59" s="1"/>
  <c r="AO45" i="26"/>
  <c r="AF45" i="26" s="1"/>
  <c r="AP45" i="26"/>
  <c r="AG45" i="26" s="1"/>
  <c r="G45" i="26" s="1"/>
  <c r="H45" i="26" s="1"/>
  <c r="AL58" i="41"/>
  <c r="AM58" i="41" s="1"/>
  <c r="B58" i="41"/>
  <c r="AN58" i="41"/>
  <c r="AP58" i="41" s="1"/>
  <c r="Y57" i="41"/>
  <c r="AG57" i="41" s="1"/>
  <c r="AH57" i="41" s="1"/>
  <c r="Y58" i="51"/>
  <c r="AA65" i="26"/>
  <c r="AI65" i="26" s="1"/>
  <c r="AL65" i="26" s="1"/>
  <c r="J55" i="41"/>
  <c r="L55" i="41" s="1"/>
  <c r="F55" i="41"/>
  <c r="H55" i="41" s="1"/>
  <c r="AO95" i="47"/>
  <c r="AQ95" i="47" s="1"/>
  <c r="B95" i="47"/>
  <c r="AM95" i="47"/>
  <c r="AN95" i="47" s="1"/>
  <c r="B56" i="51"/>
  <c r="AL56" i="51"/>
  <c r="AM56" i="51" s="1"/>
  <c r="AN56" i="51"/>
  <c r="AP56" i="51" s="1"/>
  <c r="AJ56" i="41"/>
  <c r="AC56" i="41" s="1"/>
  <c r="X64" i="26"/>
  <c r="Y64" i="26" s="1"/>
  <c r="J64" i="26" s="1"/>
  <c r="B56" i="1"/>
  <c r="AL56" i="1"/>
  <c r="AM56" i="1" s="1"/>
  <c r="AN56" i="1"/>
  <c r="AP56" i="1" s="1"/>
  <c r="AI56" i="41"/>
  <c r="AB55" i="41"/>
  <c r="R57" i="41"/>
  <c r="U57" i="41" s="1"/>
  <c r="P57" i="41" s="1"/>
  <c r="V56" i="41"/>
  <c r="Q56" i="41" s="1"/>
  <c r="AC88" i="59"/>
  <c r="AK89" i="59"/>
  <c r="AL89" i="59" s="1"/>
  <c r="AE89" i="59" s="1"/>
  <c r="S90" i="59"/>
  <c r="W90" i="59" s="1"/>
  <c r="R90" i="59" s="1"/>
  <c r="G90" i="59" s="1"/>
  <c r="I90" i="59" s="1"/>
  <c r="AO55" i="48"/>
  <c r="AQ55" i="48"/>
  <c r="AS56" i="48" s="1"/>
  <c r="AM101" i="68"/>
  <c r="AF101" i="68" s="1"/>
  <c r="AL101" i="68"/>
  <c r="AE101" i="68" s="1"/>
  <c r="AG56" i="41"/>
  <c r="AH56" i="41" s="1"/>
  <c r="L51" i="61"/>
  <c r="AI64" i="26"/>
  <c r="AL64" i="26" s="1"/>
  <c r="AS104" i="68" l="1"/>
  <c r="AU105" i="68" s="1"/>
  <c r="AQ104" i="68"/>
  <c r="AP105" i="68"/>
  <c r="AR105" i="68" s="1"/>
  <c r="B105" i="68"/>
  <c r="AN105" i="68"/>
  <c r="AO105" i="68" s="1"/>
  <c r="Z57" i="41"/>
  <c r="AA57" i="41" s="1"/>
  <c r="V102" i="68"/>
  <c r="Q102" i="68" s="1"/>
  <c r="AJ54" i="1"/>
  <c r="AC54" i="1" s="1"/>
  <c r="Q55" i="1"/>
  <c r="F55" i="1" s="1"/>
  <c r="H55" i="1" s="1"/>
  <c r="AI55" i="1"/>
  <c r="AK55" i="1" s="1"/>
  <c r="AD55" i="1" s="1"/>
  <c r="AB54" i="1"/>
  <c r="R56" i="1"/>
  <c r="U56" i="1" s="1"/>
  <c r="P56" i="1" s="1"/>
  <c r="V55" i="1"/>
  <c r="AS101" i="67"/>
  <c r="AU102" i="67" s="1"/>
  <c r="AQ101" i="67"/>
  <c r="B102" i="67"/>
  <c r="AP102" i="67"/>
  <c r="AR102" i="67" s="1"/>
  <c r="AN102" i="67"/>
  <c r="AO102" i="67" s="1"/>
  <c r="W99" i="67"/>
  <c r="R99" i="67" s="1"/>
  <c r="Z58" i="49"/>
  <c r="AA58" i="49" s="1"/>
  <c r="J58" i="49" s="1"/>
  <c r="L58" i="49" s="1"/>
  <c r="Y59" i="49"/>
  <c r="AG58" i="49"/>
  <c r="AH58" i="49" s="1"/>
  <c r="AN55" i="39"/>
  <c r="AP55" i="39" s="1"/>
  <c r="AL55" i="39"/>
  <c r="AM55" i="39" s="1"/>
  <c r="B55" i="39"/>
  <c r="AQ54" i="39"/>
  <c r="AS55" i="39" s="1"/>
  <c r="AO54" i="39"/>
  <c r="V53" i="3"/>
  <c r="Q53" i="3" s="1"/>
  <c r="F53" i="3" s="1"/>
  <c r="AB52" i="3"/>
  <c r="U53" i="3"/>
  <c r="P53" i="3" s="1"/>
  <c r="R54" i="3"/>
  <c r="AI53" i="3"/>
  <c r="AJ52" i="3"/>
  <c r="AC52" i="3" s="1"/>
  <c r="AK52" i="3"/>
  <c r="AD52" i="3" s="1"/>
  <c r="G52" i="3" s="1"/>
  <c r="H52" i="3" s="1"/>
  <c r="AJ53" i="49"/>
  <c r="AC53" i="49" s="1"/>
  <c r="AK53" i="49"/>
  <c r="AD53" i="49" s="1"/>
  <c r="U54" i="49"/>
  <c r="P54" i="49" s="1"/>
  <c r="AI54" i="49"/>
  <c r="AB53" i="49"/>
  <c r="R55" i="49"/>
  <c r="V54" i="49"/>
  <c r="Q54" i="49" s="1"/>
  <c r="F54" i="49" s="1"/>
  <c r="H54" i="49" s="1"/>
  <c r="AJ52" i="50"/>
  <c r="AC52" i="50" s="1"/>
  <c r="AK52" i="50"/>
  <c r="AD52" i="50" s="1"/>
  <c r="V53" i="50"/>
  <c r="Q53" i="50" s="1"/>
  <c r="F53" i="50" s="1"/>
  <c r="H53" i="50" s="1"/>
  <c r="AB52" i="50"/>
  <c r="AI53" i="50"/>
  <c r="R54" i="50"/>
  <c r="U53" i="50"/>
  <c r="P53" i="50" s="1"/>
  <c r="AP46" i="26"/>
  <c r="AG46" i="26" s="1"/>
  <c r="G46" i="26" s="1"/>
  <c r="L46" i="26" s="1"/>
  <c r="AG61" i="1"/>
  <c r="AH61" i="1" s="1"/>
  <c r="AK53" i="52"/>
  <c r="AD53" i="52" s="1"/>
  <c r="L64" i="26"/>
  <c r="AQ61" i="26"/>
  <c r="AR61" i="26" s="1"/>
  <c r="AS61" i="26"/>
  <c r="AU61" i="26" s="1"/>
  <c r="B61" i="26"/>
  <c r="U54" i="52"/>
  <c r="P54" i="52" s="1"/>
  <c r="V54" i="52"/>
  <c r="Q54" i="52" s="1"/>
  <c r="F54" i="52" s="1"/>
  <c r="H54" i="52" s="1"/>
  <c r="R55" i="52"/>
  <c r="AB53" i="52"/>
  <c r="AI54" i="52"/>
  <c r="AK54" i="52" s="1"/>
  <c r="AD54" i="52" s="1"/>
  <c r="AN55" i="52"/>
  <c r="AP55" i="52" s="1"/>
  <c r="B55" i="52"/>
  <c r="AL55" i="52"/>
  <c r="AM55" i="52" s="1"/>
  <c r="AO54" i="52"/>
  <c r="AQ54" i="52"/>
  <c r="AS55" i="52" s="1"/>
  <c r="AT60" i="26"/>
  <c r="AV60" i="26"/>
  <c r="AX61" i="26" s="1"/>
  <c r="Q99" i="67"/>
  <c r="AO57" i="49"/>
  <c r="AQ57" i="49"/>
  <c r="AS58" i="49" s="1"/>
  <c r="AN58" i="49"/>
  <c r="AP58" i="49" s="1"/>
  <c r="AL58" i="49"/>
  <c r="AM58" i="49" s="1"/>
  <c r="B58" i="49"/>
  <c r="AN93" i="59"/>
  <c r="AO93" i="59" s="1"/>
  <c r="B93" i="59"/>
  <c r="AP93" i="59"/>
  <c r="AR93" i="59" s="1"/>
  <c r="AE97" i="67"/>
  <c r="AI96" i="59"/>
  <c r="AJ96" i="59" s="1"/>
  <c r="L45" i="26"/>
  <c r="AA96" i="59"/>
  <c r="AB96" i="59" s="1"/>
  <c r="K96" i="59" s="1"/>
  <c r="M96" i="59" s="1"/>
  <c r="Z61" i="39"/>
  <c r="AA61" i="39" s="1"/>
  <c r="J61" i="39" s="1"/>
  <c r="L61" i="39" s="1"/>
  <c r="AQ92" i="59"/>
  <c r="AS92" i="59"/>
  <c r="AU93" i="59" s="1"/>
  <c r="AM98" i="67"/>
  <c r="S100" i="67"/>
  <c r="AC98" i="67"/>
  <c r="AK99" i="67"/>
  <c r="AL98" i="67"/>
  <c r="AE98" i="67" s="1"/>
  <c r="Q98" i="67"/>
  <c r="G98" i="67" s="1"/>
  <c r="I98" i="67" s="1"/>
  <c r="V90" i="59"/>
  <c r="Q90" i="59" s="1"/>
  <c r="AB65" i="26"/>
  <c r="AC65" i="26" s="1"/>
  <c r="Z64" i="48"/>
  <c r="AA64" i="48" s="1"/>
  <c r="J64" i="48" s="1"/>
  <c r="L64" i="48" s="1"/>
  <c r="AJ89" i="47"/>
  <c r="AK89" i="47" s="1"/>
  <c r="AD89" i="47" s="1"/>
  <c r="AB88" i="47"/>
  <c r="R90" i="47"/>
  <c r="U90" i="47" s="1"/>
  <c r="P90" i="47" s="1"/>
  <c r="AQ56" i="50"/>
  <c r="AS57" i="50" s="1"/>
  <c r="AO56" i="50"/>
  <c r="AK53" i="51"/>
  <c r="AD53" i="51" s="1"/>
  <c r="T65" i="26"/>
  <c r="Z60" i="52"/>
  <c r="AA60" i="52" s="1"/>
  <c r="J60" i="52" s="1"/>
  <c r="L60" i="52" s="1"/>
  <c r="Z59" i="50"/>
  <c r="AA59" i="50" s="1"/>
  <c r="J59" i="50" s="1"/>
  <c r="L59" i="50" s="1"/>
  <c r="AL88" i="47"/>
  <c r="AE88" i="47" s="1"/>
  <c r="AK88" i="47"/>
  <c r="AD88" i="47" s="1"/>
  <c r="R55" i="39"/>
  <c r="V55" i="39" s="1"/>
  <c r="Q55" i="39" s="1"/>
  <c r="F55" i="39" s="1"/>
  <c r="AI54" i="39"/>
  <c r="AJ54" i="39" s="1"/>
  <c r="AC54" i="39" s="1"/>
  <c r="AB53" i="39"/>
  <c r="AN57" i="50"/>
  <c r="AP57" i="50" s="1"/>
  <c r="B57" i="50"/>
  <c r="AL57" i="50"/>
  <c r="AM57" i="50" s="1"/>
  <c r="L60" i="39"/>
  <c r="AB53" i="51"/>
  <c r="V54" i="51"/>
  <c r="Q54" i="51" s="1"/>
  <c r="F54" i="51" s="1"/>
  <c r="H54" i="51" s="1"/>
  <c r="AI54" i="51"/>
  <c r="R55" i="51"/>
  <c r="U89" i="47"/>
  <c r="P89" i="47" s="1"/>
  <c r="AJ53" i="39"/>
  <c r="AC53" i="39" s="1"/>
  <c r="V54" i="39"/>
  <c r="Q54" i="39" s="1"/>
  <c r="F54" i="39" s="1"/>
  <c r="AY47" i="26"/>
  <c r="D47" i="26" s="1"/>
  <c r="R48" i="26" s="1"/>
  <c r="W48" i="26" s="1"/>
  <c r="Q48" i="26" s="1"/>
  <c r="F48" i="26" s="1"/>
  <c r="AN47" i="26"/>
  <c r="AO47" i="26" s="1"/>
  <c r="AF47" i="26" s="1"/>
  <c r="AE46" i="26"/>
  <c r="V47" i="26"/>
  <c r="P47" i="26" s="1"/>
  <c r="W47" i="26"/>
  <c r="Q47" i="26" s="1"/>
  <c r="F47" i="26" s="1"/>
  <c r="D52" i="61"/>
  <c r="C52" i="61" s="1"/>
  <c r="E52" i="61" s="1"/>
  <c r="AO56" i="51"/>
  <c r="AQ56" i="51"/>
  <c r="AS57" i="51" s="1"/>
  <c r="Y59" i="51"/>
  <c r="Z59" i="51" s="1"/>
  <c r="AA59" i="51" s="1"/>
  <c r="J59" i="51" s="1"/>
  <c r="L59" i="51" s="1"/>
  <c r="B57" i="3"/>
  <c r="AL57" i="3"/>
  <c r="AM57" i="3" s="1"/>
  <c r="AN57" i="3"/>
  <c r="AP57" i="3" s="1"/>
  <c r="Y63" i="3"/>
  <c r="AG63" i="3" s="1"/>
  <c r="AH63" i="3" s="1"/>
  <c r="K63" i="3" s="1"/>
  <c r="F56" i="41"/>
  <c r="J56" i="41"/>
  <c r="AQ56" i="1"/>
  <c r="AS57" i="1" s="1"/>
  <c r="AO56" i="1"/>
  <c r="B57" i="51"/>
  <c r="AL57" i="51"/>
  <c r="AM57" i="51" s="1"/>
  <c r="AN57" i="51"/>
  <c r="AP57" i="51" s="1"/>
  <c r="AA66" i="26"/>
  <c r="Z98" i="59"/>
  <c r="AA97" i="59"/>
  <c r="AB97" i="59" s="1"/>
  <c r="K97" i="59" s="1"/>
  <c r="AI97" i="59"/>
  <c r="AJ97" i="59" s="1"/>
  <c r="AC89" i="59"/>
  <c r="AK90" i="59"/>
  <c r="AL90" i="59" s="1"/>
  <c r="AE90" i="59" s="1"/>
  <c r="S91" i="59"/>
  <c r="W91" i="59" s="1"/>
  <c r="R91" i="59" s="1"/>
  <c r="G91" i="59" s="1"/>
  <c r="I91" i="59" s="1"/>
  <c r="AN57" i="1"/>
  <c r="AP57" i="1" s="1"/>
  <c r="B57" i="1"/>
  <c r="AL57" i="1"/>
  <c r="AM57" i="1" s="1"/>
  <c r="AP95" i="47"/>
  <c r="AR95" i="47"/>
  <c r="AT96" i="47" s="1"/>
  <c r="Z58" i="51"/>
  <c r="AA58" i="51" s="1"/>
  <c r="J58" i="51" s="1"/>
  <c r="L58" i="51" s="1"/>
  <c r="B59" i="41"/>
  <c r="AN59" i="41"/>
  <c r="AP59" i="41" s="1"/>
  <c r="AL59" i="41"/>
  <c r="AM59" i="41" s="1"/>
  <c r="AJ53" i="48"/>
  <c r="AC53" i="48" s="1"/>
  <c r="Y61" i="52"/>
  <c r="Z61" i="52" s="1"/>
  <c r="AA61" i="52" s="1"/>
  <c r="J61" i="52" s="1"/>
  <c r="L61" i="52" s="1"/>
  <c r="Y62" i="1"/>
  <c r="AQ56" i="3"/>
  <c r="AS57" i="3" s="1"/>
  <c r="AO56" i="3"/>
  <c r="Z62" i="3"/>
  <c r="AA62" i="3" s="1"/>
  <c r="J62" i="3" s="1"/>
  <c r="AB53" i="48"/>
  <c r="AI54" i="48"/>
  <c r="R55" i="48"/>
  <c r="V55" i="48" s="1"/>
  <c r="Q55" i="48" s="1"/>
  <c r="F55" i="48" s="1"/>
  <c r="H55" i="48" s="1"/>
  <c r="AH94" i="47"/>
  <c r="AI94" i="47" s="1"/>
  <c r="AO56" i="48"/>
  <c r="AQ56" i="48"/>
  <c r="AS57" i="48" s="1"/>
  <c r="Y65" i="48"/>
  <c r="AG65" i="48" s="1"/>
  <c r="AH65" i="48" s="1"/>
  <c r="Z108" i="68"/>
  <c r="AA108" i="68" s="1"/>
  <c r="AB108" i="68" s="1"/>
  <c r="K108" i="68" s="1"/>
  <c r="M108" i="68" s="1"/>
  <c r="AJ65" i="26"/>
  <c r="AK65" i="26" s="1"/>
  <c r="K65" i="26" s="1"/>
  <c r="L65" i="26" s="1"/>
  <c r="AI57" i="41"/>
  <c r="AB56" i="41"/>
  <c r="R58" i="41"/>
  <c r="U58" i="41" s="1"/>
  <c r="P58" i="41" s="1"/>
  <c r="V57" i="41"/>
  <c r="Q57" i="41" s="1"/>
  <c r="AK56" i="41"/>
  <c r="AD56" i="41" s="1"/>
  <c r="AM96" i="47"/>
  <c r="AN96" i="47" s="1"/>
  <c r="AO96" i="47"/>
  <c r="AQ96" i="47" s="1"/>
  <c r="B96" i="47"/>
  <c r="AG58" i="51"/>
  <c r="AH58" i="51" s="1"/>
  <c r="AG58" i="41"/>
  <c r="AH58" i="41" s="1"/>
  <c r="Y58" i="41"/>
  <c r="Z58" i="41" s="1"/>
  <c r="AA58" i="41" s="1"/>
  <c r="AQ58" i="41"/>
  <c r="AS59" i="41" s="1"/>
  <c r="AO58" i="41"/>
  <c r="AK53" i="48"/>
  <c r="AD53" i="48" s="1"/>
  <c r="S103" i="68"/>
  <c r="AK102" i="68"/>
  <c r="AL102" i="68" s="1"/>
  <c r="AE102" i="68" s="1"/>
  <c r="AC101" i="68"/>
  <c r="W103" i="68"/>
  <c r="R103" i="68" s="1"/>
  <c r="G103" i="68" s="1"/>
  <c r="I103" i="68" s="1"/>
  <c r="V103" i="68"/>
  <c r="Q103" i="68" s="1"/>
  <c r="AM102" i="68"/>
  <c r="AF102" i="68" s="1"/>
  <c r="AM89" i="59"/>
  <c r="AF89" i="59" s="1"/>
  <c r="Y60" i="50"/>
  <c r="Z60" i="50" s="1"/>
  <c r="AA60" i="50" s="1"/>
  <c r="J60" i="50" s="1"/>
  <c r="L60" i="50" s="1"/>
  <c r="AG62" i="3"/>
  <c r="AH62" i="3" s="1"/>
  <c r="K62" i="3" s="1"/>
  <c r="U54" i="48"/>
  <c r="P54" i="48" s="1"/>
  <c r="AN57" i="48"/>
  <c r="AP57" i="48" s="1"/>
  <c r="B57" i="48"/>
  <c r="AL57" i="48"/>
  <c r="AM57" i="48" s="1"/>
  <c r="Y62" i="39"/>
  <c r="AG62" i="39" s="1"/>
  <c r="AH62" i="39" s="1"/>
  <c r="K62" i="39" s="1"/>
  <c r="Y95" i="47"/>
  <c r="AH95" i="47" s="1"/>
  <c r="AI95" i="47" s="1"/>
  <c r="S66" i="26"/>
  <c r="AJ66" i="26" s="1"/>
  <c r="AK66" i="26" s="1"/>
  <c r="K66" i="26" s="1"/>
  <c r="B106" i="68" l="1"/>
  <c r="AN106" i="68"/>
  <c r="AO106" i="68" s="1"/>
  <c r="AP106" i="68"/>
  <c r="AR106" i="68" s="1"/>
  <c r="AQ105" i="68"/>
  <c r="AS105" i="68"/>
  <c r="AU106" i="68" s="1"/>
  <c r="AJ55" i="1"/>
  <c r="AC55" i="1" s="1"/>
  <c r="R57" i="1"/>
  <c r="U57" i="1" s="1"/>
  <c r="Q57" i="1" s="1"/>
  <c r="F57" i="1" s="1"/>
  <c r="H57" i="1" s="1"/>
  <c r="AI56" i="1"/>
  <c r="AK56" i="1" s="1"/>
  <c r="AD56" i="1" s="1"/>
  <c r="Q56" i="1"/>
  <c r="F56" i="1" s="1"/>
  <c r="H56" i="1" s="1"/>
  <c r="V56" i="1"/>
  <c r="AB55" i="1"/>
  <c r="Z99" i="59"/>
  <c r="Z100" i="59" s="1"/>
  <c r="Z101" i="59" s="1"/>
  <c r="Z102" i="59" s="1"/>
  <c r="Z103" i="59" s="1"/>
  <c r="Z104" i="59" s="1"/>
  <c r="Z105" i="59" s="1"/>
  <c r="Z106" i="59" s="1"/>
  <c r="Z107" i="59" s="1"/>
  <c r="Z108" i="59" s="1"/>
  <c r="Z109" i="59" s="1"/>
  <c r="Z110" i="59" s="1"/>
  <c r="Z111" i="59" s="1"/>
  <c r="Z112" i="59" s="1"/>
  <c r="Z113" i="59" s="1"/>
  <c r="Z114" i="59" s="1"/>
  <c r="Z115" i="59" s="1"/>
  <c r="Z116" i="59" s="1"/>
  <c r="Z117" i="59" s="1"/>
  <c r="Z118" i="59" s="1"/>
  <c r="Z119" i="59" s="1"/>
  <c r="Z120" i="59" s="1"/>
  <c r="Z121" i="59" s="1"/>
  <c r="Z122" i="59" s="1"/>
  <c r="AI98" i="59"/>
  <c r="AJ98" i="59" s="1"/>
  <c r="AA98" i="59"/>
  <c r="AB98" i="59" s="1"/>
  <c r="K98" i="59" s="1"/>
  <c r="M98" i="59" s="1"/>
  <c r="V100" i="67"/>
  <c r="Q100" i="67" s="1"/>
  <c r="B103" i="67"/>
  <c r="AP103" i="67"/>
  <c r="AR103" i="67" s="1"/>
  <c r="AN103" i="67"/>
  <c r="AO103" i="67" s="1"/>
  <c r="W100" i="67"/>
  <c r="R100" i="67" s="1"/>
  <c r="G99" i="67"/>
  <c r="I99" i="67" s="1"/>
  <c r="AQ102" i="67"/>
  <c r="AS102" i="67"/>
  <c r="AU103" i="67" s="1"/>
  <c r="Y60" i="49"/>
  <c r="Z59" i="49"/>
  <c r="AA59" i="49" s="1"/>
  <c r="J59" i="49" s="1"/>
  <c r="L59" i="49" s="1"/>
  <c r="AG59" i="49"/>
  <c r="AH59" i="49" s="1"/>
  <c r="B56" i="39"/>
  <c r="AN56" i="39"/>
  <c r="AP56" i="39" s="1"/>
  <c r="AL56" i="39"/>
  <c r="AM56" i="39" s="1"/>
  <c r="AQ55" i="39"/>
  <c r="AS56" i="39" s="1"/>
  <c r="AO55" i="39"/>
  <c r="U54" i="3"/>
  <c r="P54" i="3" s="1"/>
  <c r="V54" i="3"/>
  <c r="Q54" i="3" s="1"/>
  <c r="F54" i="3" s="1"/>
  <c r="AB53" i="3"/>
  <c r="AI54" i="3"/>
  <c r="R55" i="3"/>
  <c r="AJ53" i="3"/>
  <c r="AC53" i="3" s="1"/>
  <c r="AK53" i="3"/>
  <c r="AD53" i="3" s="1"/>
  <c r="G53" i="3" s="1"/>
  <c r="H53" i="3" s="1"/>
  <c r="H46" i="26"/>
  <c r="AK54" i="49"/>
  <c r="AD54" i="49" s="1"/>
  <c r="AJ54" i="49"/>
  <c r="AC54" i="49" s="1"/>
  <c r="V55" i="49"/>
  <c r="Q55" i="49" s="1"/>
  <c r="F55" i="49" s="1"/>
  <c r="H55" i="49" s="1"/>
  <c r="U55" i="49"/>
  <c r="P55" i="49" s="1"/>
  <c r="AI55" i="49"/>
  <c r="AK55" i="49" s="1"/>
  <c r="AD55" i="49" s="1"/>
  <c r="AB54" i="49"/>
  <c r="R56" i="49"/>
  <c r="R55" i="50"/>
  <c r="AI54" i="50"/>
  <c r="AK54" i="50" s="1"/>
  <c r="AD54" i="50" s="1"/>
  <c r="V54" i="50"/>
  <c r="Q54" i="50" s="1"/>
  <c r="F54" i="50" s="1"/>
  <c r="H54" i="50" s="1"/>
  <c r="AB53" i="50"/>
  <c r="U54" i="50"/>
  <c r="P54" i="50" s="1"/>
  <c r="AK53" i="50"/>
  <c r="AD53" i="50" s="1"/>
  <c r="AJ53" i="50"/>
  <c r="AC53" i="50" s="1"/>
  <c r="U55" i="39"/>
  <c r="P55" i="39" s="1"/>
  <c r="V90" i="47"/>
  <c r="Q90" i="47" s="1"/>
  <c r="F90" i="47" s="1"/>
  <c r="H90" i="47" s="1"/>
  <c r="AJ54" i="52"/>
  <c r="AC54" i="52" s="1"/>
  <c r="AQ55" i="52"/>
  <c r="AS56" i="52" s="1"/>
  <c r="AO55" i="52"/>
  <c r="AQ62" i="26"/>
  <c r="AR62" i="26" s="1"/>
  <c r="AS62" i="26"/>
  <c r="AU62" i="26" s="1"/>
  <c r="B62" i="26"/>
  <c r="AP47" i="26"/>
  <c r="AG47" i="26" s="1"/>
  <c r="G47" i="26" s="1"/>
  <c r="H47" i="26" s="1"/>
  <c r="AL56" i="52"/>
  <c r="AM56" i="52" s="1"/>
  <c r="AN56" i="52"/>
  <c r="AP56" i="52" s="1"/>
  <c r="B56" i="52"/>
  <c r="V55" i="52"/>
  <c r="Q55" i="52" s="1"/>
  <c r="F55" i="52" s="1"/>
  <c r="H55" i="52" s="1"/>
  <c r="U55" i="52"/>
  <c r="P55" i="52" s="1"/>
  <c r="AB54" i="52"/>
  <c r="R56" i="52"/>
  <c r="AI55" i="52"/>
  <c r="AV61" i="26"/>
  <c r="AX62" i="26" s="1"/>
  <c r="AT61" i="26"/>
  <c r="AM90" i="59"/>
  <c r="AF90" i="59" s="1"/>
  <c r="AL59" i="49"/>
  <c r="AM59" i="49" s="1"/>
  <c r="B59" i="49"/>
  <c r="AN59" i="49"/>
  <c r="AP59" i="49" s="1"/>
  <c r="AO58" i="49"/>
  <c r="AQ58" i="49"/>
  <c r="AS59" i="49" s="1"/>
  <c r="AK100" i="67"/>
  <c r="AL100" i="67" s="1"/>
  <c r="AE100" i="67" s="1"/>
  <c r="S101" i="67"/>
  <c r="AC99" i="67"/>
  <c r="AM99" i="67"/>
  <c r="AF99" i="67" s="1"/>
  <c r="Z62" i="39"/>
  <c r="AA62" i="39" s="1"/>
  <c r="J62" i="39" s="1"/>
  <c r="L62" i="39" s="1"/>
  <c r="AF98" i="67"/>
  <c r="B94" i="59"/>
  <c r="AN94" i="59"/>
  <c r="AO94" i="59" s="1"/>
  <c r="AP94" i="59"/>
  <c r="AR94" i="59" s="1"/>
  <c r="AL99" i="67"/>
  <c r="AE99" i="67" s="1"/>
  <c r="AG59" i="51"/>
  <c r="AH59" i="51" s="1"/>
  <c r="AQ93" i="59"/>
  <c r="AS93" i="59"/>
  <c r="AU94" i="59" s="1"/>
  <c r="U55" i="48"/>
  <c r="P55" i="48" s="1"/>
  <c r="V55" i="51"/>
  <c r="Q55" i="51" s="1"/>
  <c r="F55" i="51" s="1"/>
  <c r="H55" i="51" s="1"/>
  <c r="AB54" i="51"/>
  <c r="R56" i="51"/>
  <c r="U55" i="51"/>
  <c r="P55" i="51" s="1"/>
  <c r="AI55" i="51"/>
  <c r="AJ55" i="51" s="1"/>
  <c r="AC55" i="51" s="1"/>
  <c r="AI55" i="39"/>
  <c r="AJ55" i="39" s="1"/>
  <c r="AC55" i="39" s="1"/>
  <c r="AB54" i="39"/>
  <c r="R56" i="39"/>
  <c r="Z63" i="3"/>
  <c r="AA63" i="3" s="1"/>
  <c r="J63" i="3" s="1"/>
  <c r="L63" i="3" s="1"/>
  <c r="AQ57" i="50"/>
  <c r="AS58" i="50" s="1"/>
  <c r="AO57" i="50"/>
  <c r="AJ54" i="51"/>
  <c r="AC54" i="51" s="1"/>
  <c r="AB89" i="47"/>
  <c r="R91" i="47"/>
  <c r="AJ90" i="47"/>
  <c r="AL90" i="47" s="1"/>
  <c r="AE90" i="47" s="1"/>
  <c r="AK54" i="39"/>
  <c r="AD54" i="39" s="1"/>
  <c r="G54" i="39" s="1"/>
  <c r="H54" i="39" s="1"/>
  <c r="B58" i="50"/>
  <c r="AN58" i="50"/>
  <c r="AP58" i="50" s="1"/>
  <c r="AL58" i="50"/>
  <c r="AM58" i="50" s="1"/>
  <c r="AL89" i="47"/>
  <c r="AE89" i="47" s="1"/>
  <c r="AK54" i="51"/>
  <c r="AD54" i="51" s="1"/>
  <c r="Y63" i="1"/>
  <c r="Z63" i="1" s="1"/>
  <c r="AA63" i="1" s="1"/>
  <c r="J63" i="1" s="1"/>
  <c r="L63" i="1" s="1"/>
  <c r="AA67" i="26"/>
  <c r="AB67" i="26" s="1"/>
  <c r="AC67" i="26" s="1"/>
  <c r="AG60" i="50"/>
  <c r="AH60" i="50" s="1"/>
  <c r="AP96" i="47"/>
  <c r="AR96" i="47"/>
  <c r="AT97" i="47" s="1"/>
  <c r="AI58" i="41"/>
  <c r="AJ58" i="41" s="1"/>
  <c r="AC58" i="41" s="1"/>
  <c r="AB57" i="41"/>
  <c r="R59" i="41"/>
  <c r="V59" i="41" s="1"/>
  <c r="Q59" i="41" s="1"/>
  <c r="Z65" i="48"/>
  <c r="AA65" i="48" s="1"/>
  <c r="J65" i="48" s="1"/>
  <c r="L65" i="48" s="1"/>
  <c r="AG61" i="52"/>
  <c r="AH61" i="52" s="1"/>
  <c r="AO59" i="41"/>
  <c r="AQ59" i="41"/>
  <c r="AS60" i="41" s="1"/>
  <c r="AK91" i="59"/>
  <c r="AM91" i="59" s="1"/>
  <c r="AF91" i="59" s="1"/>
  <c r="AC90" i="59"/>
  <c r="S92" i="59"/>
  <c r="W92" i="59" s="1"/>
  <c r="R92" i="59" s="1"/>
  <c r="G92" i="59" s="1"/>
  <c r="I92" i="59" s="1"/>
  <c r="AI66" i="26"/>
  <c r="AL66" i="26" s="1"/>
  <c r="AL58" i="51"/>
  <c r="AM58" i="51" s="1"/>
  <c r="B58" i="51"/>
  <c r="AN58" i="51"/>
  <c r="AP58" i="51" s="1"/>
  <c r="AL58" i="3"/>
  <c r="AM58" i="3" s="1"/>
  <c r="B58" i="3"/>
  <c r="AN58" i="3"/>
  <c r="AP58" i="3" s="1"/>
  <c r="V48" i="26"/>
  <c r="P48" i="26" s="1"/>
  <c r="X66" i="26"/>
  <c r="Y66" i="26" s="1"/>
  <c r="J66" i="26" s="1"/>
  <c r="L66" i="26" s="1"/>
  <c r="Z95" i="47"/>
  <c r="AA95" i="47" s="1"/>
  <c r="J95" i="47" s="1"/>
  <c r="L95" i="47" s="1"/>
  <c r="Y63" i="39"/>
  <c r="AG63" i="39" s="1"/>
  <c r="AH63" i="39" s="1"/>
  <c r="K63" i="39" s="1"/>
  <c r="AQ57" i="48"/>
  <c r="AS58" i="48" s="1"/>
  <c r="AO57" i="48"/>
  <c r="Y59" i="41"/>
  <c r="AG59" i="41" s="1"/>
  <c r="AH59" i="41" s="1"/>
  <c r="Z59" i="41"/>
  <c r="AA59" i="41" s="1"/>
  <c r="G56" i="41"/>
  <c r="H56" i="41" s="1"/>
  <c r="K56" i="41"/>
  <c r="L56" i="41" s="1"/>
  <c r="V58" i="41"/>
  <c r="Q58" i="41" s="1"/>
  <c r="AI55" i="48"/>
  <c r="AK55" i="48" s="1"/>
  <c r="AD55" i="48" s="1"/>
  <c r="AB54" i="48"/>
  <c r="R56" i="48"/>
  <c r="V56" i="48" s="1"/>
  <c r="Q56" i="48" s="1"/>
  <c r="F56" i="48" s="1"/>
  <c r="H56" i="48" s="1"/>
  <c r="AG62" i="1"/>
  <c r="AH62" i="1" s="1"/>
  <c r="AK57" i="41"/>
  <c r="AD57" i="41" s="1"/>
  <c r="V91" i="59"/>
  <c r="Q91" i="59" s="1"/>
  <c r="M97" i="59"/>
  <c r="AB66" i="26"/>
  <c r="AC66" i="26" s="1"/>
  <c r="AK54" i="48"/>
  <c r="AD54" i="48" s="1"/>
  <c r="Y64" i="3"/>
  <c r="Z64" i="3" s="1"/>
  <c r="AA64" i="3" s="1"/>
  <c r="J64" i="3" s="1"/>
  <c r="Y60" i="51"/>
  <c r="Z60" i="51" s="1"/>
  <c r="AA60" i="51" s="1"/>
  <c r="J60" i="51" s="1"/>
  <c r="L60" i="51" s="1"/>
  <c r="L52" i="61"/>
  <c r="S67" i="26"/>
  <c r="X67" i="26" s="1"/>
  <c r="Y67" i="26" s="1"/>
  <c r="J67" i="26" s="1"/>
  <c r="Y96" i="47"/>
  <c r="Z96" i="47" s="1"/>
  <c r="AA96" i="47" s="1"/>
  <c r="J96" i="47" s="1"/>
  <c r="L96" i="47" s="1"/>
  <c r="AN58" i="48"/>
  <c r="AP58" i="48" s="1"/>
  <c r="B58" i="48"/>
  <c r="AL58" i="48"/>
  <c r="AM58" i="48" s="1"/>
  <c r="Y61" i="50"/>
  <c r="AC102" i="68"/>
  <c r="AK103" i="68"/>
  <c r="AM103" i="68" s="1"/>
  <c r="AF103" i="68" s="1"/>
  <c r="S104" i="68"/>
  <c r="W104" i="68" s="1"/>
  <c r="R104" i="68" s="1"/>
  <c r="G104" i="68" s="1"/>
  <c r="I104" i="68" s="1"/>
  <c r="B97" i="47"/>
  <c r="AO97" i="47"/>
  <c r="AQ97" i="47" s="1"/>
  <c r="AM97" i="47"/>
  <c r="AN97" i="47" s="1"/>
  <c r="F57" i="41"/>
  <c r="J57" i="41"/>
  <c r="Z109" i="68"/>
  <c r="Z110" i="68" s="1"/>
  <c r="Z111" i="68" s="1"/>
  <c r="Z112" i="68" s="1"/>
  <c r="Z113" i="68" s="1"/>
  <c r="Z114" i="68" s="1"/>
  <c r="Z115" i="68" s="1"/>
  <c r="Z116" i="68" s="1"/>
  <c r="Z117" i="68" s="1"/>
  <c r="Z118" i="68" s="1"/>
  <c r="Z119" i="68" s="1"/>
  <c r="Z120" i="68" s="1"/>
  <c r="Z121" i="68" s="1"/>
  <c r="Z122" i="68" s="1"/>
  <c r="Z123" i="68" s="1"/>
  <c r="Z124" i="68" s="1"/>
  <c r="Z125" i="68" s="1"/>
  <c r="Z126" i="68" s="1"/>
  <c r="Z127" i="68" s="1"/>
  <c r="Z128" i="68" s="1"/>
  <c r="Z129" i="68" s="1"/>
  <c r="Z130" i="68" s="1"/>
  <c r="Z131" i="68" s="1"/>
  <c r="Z132" i="68" s="1"/>
  <c r="AI108" i="68"/>
  <c r="AJ108" i="68" s="1"/>
  <c r="Y66" i="48"/>
  <c r="Z66" i="48" s="1"/>
  <c r="AA66" i="48" s="1"/>
  <c r="J66" i="48" s="1"/>
  <c r="L66" i="48" s="1"/>
  <c r="L62" i="3"/>
  <c r="Z62" i="1"/>
  <c r="AA62" i="1" s="1"/>
  <c r="J62" i="1" s="1"/>
  <c r="L62" i="1" s="1"/>
  <c r="Y62" i="52"/>
  <c r="Z62" i="52" s="1"/>
  <c r="AA62" i="52" s="1"/>
  <c r="J62" i="52" s="1"/>
  <c r="L62" i="52" s="1"/>
  <c r="AN60" i="41"/>
  <c r="AP60" i="41" s="1"/>
  <c r="B60" i="41"/>
  <c r="AL60" i="41"/>
  <c r="AM60" i="41" s="1"/>
  <c r="AO57" i="1"/>
  <c r="AQ57" i="1"/>
  <c r="AS58" i="1" s="1"/>
  <c r="AJ57" i="41"/>
  <c r="AC57" i="41" s="1"/>
  <c r="T66" i="26"/>
  <c r="AJ54" i="48"/>
  <c r="AC54" i="48" s="1"/>
  <c r="AN58" i="1"/>
  <c r="AP58" i="1" s="1"/>
  <c r="B58" i="1"/>
  <c r="AL58" i="1"/>
  <c r="AM58" i="1" s="1"/>
  <c r="AQ57" i="51"/>
  <c r="AS58" i="51" s="1"/>
  <c r="AO57" i="51"/>
  <c r="AO57" i="3"/>
  <c r="AQ57" i="3"/>
  <c r="AS58" i="3" s="1"/>
  <c r="AY48" i="26"/>
  <c r="D48" i="26" s="1"/>
  <c r="R49" i="26" s="1"/>
  <c r="AN48" i="26"/>
  <c r="AO48" i="26" s="1"/>
  <c r="AF48" i="26" s="1"/>
  <c r="AE47" i="26"/>
  <c r="AS106" i="68" l="1"/>
  <c r="AU107" i="68" s="1"/>
  <c r="AQ106" i="68"/>
  <c r="AP107" i="68"/>
  <c r="AR107" i="68" s="1"/>
  <c r="B107" i="68"/>
  <c r="AN107" i="68"/>
  <c r="AO107" i="68" s="1"/>
  <c r="AI57" i="1"/>
  <c r="AJ57" i="1" s="1"/>
  <c r="AC57" i="1" s="1"/>
  <c r="AJ56" i="1"/>
  <c r="AC56" i="1" s="1"/>
  <c r="AB56" i="1"/>
  <c r="V57" i="1"/>
  <c r="R58" i="1"/>
  <c r="U58" i="1" s="1"/>
  <c r="Q58" i="1" s="1"/>
  <c r="F58" i="1" s="1"/>
  <c r="H58" i="1" s="1"/>
  <c r="P57" i="1"/>
  <c r="M123" i="59"/>
  <c r="K123" i="59"/>
  <c r="AP104" i="67"/>
  <c r="AR104" i="67" s="1"/>
  <c r="B104" i="67"/>
  <c r="B105" i="67" s="1"/>
  <c r="B106" i="67" s="1"/>
  <c r="AN104" i="67"/>
  <c r="AO104" i="67" s="1"/>
  <c r="W101" i="67"/>
  <c r="R101" i="67" s="1"/>
  <c r="G100" i="67"/>
  <c r="I100" i="67" s="1"/>
  <c r="AQ103" i="67"/>
  <c r="AS103" i="67"/>
  <c r="AU104" i="67" s="1"/>
  <c r="V101" i="67"/>
  <c r="Z60" i="49"/>
  <c r="AA60" i="49" s="1"/>
  <c r="J60" i="49" s="1"/>
  <c r="L60" i="49" s="1"/>
  <c r="Y61" i="49"/>
  <c r="Z61" i="49" s="1"/>
  <c r="AA61" i="49" s="1"/>
  <c r="J61" i="49" s="1"/>
  <c r="L61" i="49" s="1"/>
  <c r="AG60" i="49"/>
  <c r="AH60" i="49" s="1"/>
  <c r="AO56" i="39"/>
  <c r="AQ56" i="39"/>
  <c r="AS57" i="39" s="1"/>
  <c r="AN57" i="39"/>
  <c r="AP57" i="39" s="1"/>
  <c r="AL57" i="39"/>
  <c r="AM57" i="39" s="1"/>
  <c r="B57" i="39"/>
  <c r="AK54" i="3"/>
  <c r="AD54" i="3" s="1"/>
  <c r="G54" i="3" s="1"/>
  <c r="H54" i="3" s="1"/>
  <c r="AJ54" i="3"/>
  <c r="AC54" i="3" s="1"/>
  <c r="V55" i="3"/>
  <c r="Q55" i="3" s="1"/>
  <c r="F55" i="3" s="1"/>
  <c r="R56" i="3"/>
  <c r="U56" i="3" s="1"/>
  <c r="P56" i="3" s="1"/>
  <c r="U55" i="3"/>
  <c r="P55" i="3" s="1"/>
  <c r="AB54" i="3"/>
  <c r="AI55" i="3"/>
  <c r="L47" i="26"/>
  <c r="AJ55" i="49"/>
  <c r="AC55" i="49" s="1"/>
  <c r="V56" i="49"/>
  <c r="Q56" i="49" s="1"/>
  <c r="F56" i="49" s="1"/>
  <c r="H56" i="49" s="1"/>
  <c r="AB55" i="49"/>
  <c r="AI56" i="49"/>
  <c r="R57" i="49"/>
  <c r="U56" i="49"/>
  <c r="P56" i="49" s="1"/>
  <c r="AJ54" i="50"/>
  <c r="AC54" i="50" s="1"/>
  <c r="V55" i="50"/>
  <c r="Q55" i="50" s="1"/>
  <c r="F55" i="50" s="1"/>
  <c r="H55" i="50" s="1"/>
  <c r="U55" i="50"/>
  <c r="P55" i="50" s="1"/>
  <c r="AI55" i="50"/>
  <c r="R56" i="50"/>
  <c r="AB54" i="50"/>
  <c r="AG60" i="51"/>
  <c r="AH60" i="51" s="1"/>
  <c r="AQ56" i="52"/>
  <c r="AS57" i="52" s="1"/>
  <c r="AO56" i="52"/>
  <c r="AJ55" i="52"/>
  <c r="AC55" i="52" s="1"/>
  <c r="AK55" i="52"/>
  <c r="AD55" i="52" s="1"/>
  <c r="AV62" i="26"/>
  <c r="AX63" i="26" s="1"/>
  <c r="AT62" i="26"/>
  <c r="V56" i="52"/>
  <c r="Q56" i="52" s="1"/>
  <c r="F56" i="52" s="1"/>
  <c r="H56" i="52" s="1"/>
  <c r="U56" i="52"/>
  <c r="P56" i="52" s="1"/>
  <c r="R57" i="52"/>
  <c r="AI56" i="52"/>
  <c r="AB55" i="52"/>
  <c r="AN57" i="52"/>
  <c r="AP57" i="52" s="1"/>
  <c r="AL57" i="52"/>
  <c r="AM57" i="52" s="1"/>
  <c r="B57" i="52"/>
  <c r="AS63" i="26"/>
  <c r="AU63" i="26" s="1"/>
  <c r="B63" i="26"/>
  <c r="AQ63" i="26"/>
  <c r="AR63" i="26" s="1"/>
  <c r="AG64" i="3"/>
  <c r="AH64" i="3" s="1"/>
  <c r="K64" i="3" s="1"/>
  <c r="L64" i="3" s="1"/>
  <c r="Z63" i="39"/>
  <c r="AA63" i="39" s="1"/>
  <c r="J63" i="39" s="1"/>
  <c r="L63" i="39" s="1"/>
  <c r="B60" i="49"/>
  <c r="AL60" i="49"/>
  <c r="AM60" i="49" s="1"/>
  <c r="AN60" i="49"/>
  <c r="AP60" i="49" s="1"/>
  <c r="AO59" i="49"/>
  <c r="AQ59" i="49"/>
  <c r="AS60" i="49" s="1"/>
  <c r="T67" i="26"/>
  <c r="AQ94" i="59"/>
  <c r="AS94" i="59"/>
  <c r="AU95" i="59" s="1"/>
  <c r="AM100" i="67"/>
  <c r="AJ67" i="26"/>
  <c r="AK67" i="26" s="1"/>
  <c r="K67" i="26" s="1"/>
  <c r="L67" i="26" s="1"/>
  <c r="AI67" i="26"/>
  <c r="AL67" i="26" s="1"/>
  <c r="AP95" i="59"/>
  <c r="AR95" i="59" s="1"/>
  <c r="AN95" i="59"/>
  <c r="AO95" i="59" s="1"/>
  <c r="B95" i="59"/>
  <c r="S102" i="67"/>
  <c r="AK101" i="67"/>
  <c r="AL101" i="67" s="1"/>
  <c r="AE101" i="67" s="1"/>
  <c r="AC100" i="67"/>
  <c r="AG63" i="1"/>
  <c r="AH63" i="1" s="1"/>
  <c r="V92" i="59"/>
  <c r="Q92" i="59" s="1"/>
  <c r="AJ55" i="48"/>
  <c r="AC55" i="48" s="1"/>
  <c r="AQ58" i="50"/>
  <c r="AS59" i="50" s="1"/>
  <c r="AO58" i="50"/>
  <c r="AB90" i="47"/>
  <c r="AJ91" i="47"/>
  <c r="AL91" i="47" s="1"/>
  <c r="AE91" i="47" s="1"/>
  <c r="R92" i="47"/>
  <c r="V92" i="47" s="1"/>
  <c r="Q92" i="47" s="1"/>
  <c r="F92" i="47" s="1"/>
  <c r="H92" i="47" s="1"/>
  <c r="U56" i="39"/>
  <c r="P56" i="39" s="1"/>
  <c r="R57" i="39"/>
  <c r="AB55" i="39"/>
  <c r="AI56" i="39"/>
  <c r="AK56" i="39" s="1"/>
  <c r="AD56" i="39" s="1"/>
  <c r="G56" i="39" s="1"/>
  <c r="AK55" i="39"/>
  <c r="AD55" i="39" s="1"/>
  <c r="G55" i="39" s="1"/>
  <c r="H55" i="39" s="1"/>
  <c r="AG62" i="52"/>
  <c r="AH62" i="52" s="1"/>
  <c r="V91" i="47"/>
  <c r="Q91" i="47" s="1"/>
  <c r="F91" i="47" s="1"/>
  <c r="H91" i="47" s="1"/>
  <c r="B59" i="50"/>
  <c r="AL59" i="50"/>
  <c r="AM59" i="50" s="1"/>
  <c r="AN59" i="50"/>
  <c r="AP59" i="50" s="1"/>
  <c r="U91" i="47"/>
  <c r="P91" i="47" s="1"/>
  <c r="U56" i="51"/>
  <c r="P56" i="51" s="1"/>
  <c r="V56" i="51"/>
  <c r="Q56" i="51" s="1"/>
  <c r="F56" i="51" s="1"/>
  <c r="H56" i="51" s="1"/>
  <c r="AB55" i="51"/>
  <c r="R57" i="51"/>
  <c r="AI56" i="51"/>
  <c r="U56" i="48"/>
  <c r="P56" i="48" s="1"/>
  <c r="AK55" i="51"/>
  <c r="AD55" i="51" s="1"/>
  <c r="V56" i="39"/>
  <c r="Q56" i="39" s="1"/>
  <c r="F56" i="39" s="1"/>
  <c r="AK90" i="47"/>
  <c r="AD90" i="47" s="1"/>
  <c r="AN49" i="26"/>
  <c r="AO49" i="26" s="1"/>
  <c r="AF49" i="26" s="1"/>
  <c r="AY49" i="26"/>
  <c r="D49" i="26" s="1"/>
  <c r="R54" i="26" s="1"/>
  <c r="AE48" i="26"/>
  <c r="V49" i="26"/>
  <c r="P49" i="26" s="1"/>
  <c r="W49" i="26"/>
  <c r="Q49" i="26" s="1"/>
  <c r="F49" i="26" s="1"/>
  <c r="Y62" i="50"/>
  <c r="Z62" i="50" s="1"/>
  <c r="AA62" i="50" s="1"/>
  <c r="J62" i="50" s="1"/>
  <c r="L62" i="50" s="1"/>
  <c r="AL59" i="3"/>
  <c r="AM59" i="3" s="1"/>
  <c r="B59" i="3"/>
  <c r="AN59" i="3"/>
  <c r="AP59" i="3" s="1"/>
  <c r="R60" i="41"/>
  <c r="V60" i="41" s="1"/>
  <c r="Q60" i="41" s="1"/>
  <c r="AB58" i="41"/>
  <c r="AI59" i="41"/>
  <c r="AO58" i="1"/>
  <c r="AQ58" i="1"/>
  <c r="AS59" i="1" s="1"/>
  <c r="AL91" i="59"/>
  <c r="AE91" i="59" s="1"/>
  <c r="AO60" i="41"/>
  <c r="AQ60" i="41"/>
  <c r="AS61" i="41" s="1"/>
  <c r="Y63" i="52"/>
  <c r="AG63" i="52" s="1"/>
  <c r="AH63" i="52" s="1"/>
  <c r="AG66" i="48"/>
  <c r="AH66" i="48" s="1"/>
  <c r="AO98" i="47"/>
  <c r="AQ98" i="47" s="1"/>
  <c r="AM98" i="47"/>
  <c r="AN98" i="47" s="1"/>
  <c r="B98" i="47"/>
  <c r="AG61" i="50"/>
  <c r="AH61" i="50" s="1"/>
  <c r="B59" i="48"/>
  <c r="AL59" i="48"/>
  <c r="AM59" i="48" s="1"/>
  <c r="AN59" i="48"/>
  <c r="AP59" i="48" s="1"/>
  <c r="AH96" i="47"/>
  <c r="AI96" i="47" s="1"/>
  <c r="S68" i="26"/>
  <c r="X68" i="26" s="1"/>
  <c r="Y68" i="26" s="1"/>
  <c r="J68" i="26" s="1"/>
  <c r="AP48" i="26"/>
  <c r="AG48" i="26" s="1"/>
  <c r="G48" i="26" s="1"/>
  <c r="H48" i="26" s="1"/>
  <c r="Y61" i="51"/>
  <c r="AG61" i="51" s="1"/>
  <c r="AH61" i="51" s="1"/>
  <c r="Y65" i="3"/>
  <c r="Z65" i="3" s="1"/>
  <c r="AA65" i="3" s="1"/>
  <c r="J65" i="3" s="1"/>
  <c r="Y60" i="41"/>
  <c r="Z60" i="41" s="1"/>
  <c r="AA60" i="41" s="1"/>
  <c r="AO58" i="3"/>
  <c r="AQ58" i="3"/>
  <c r="AS59" i="3" s="1"/>
  <c r="AO58" i="51"/>
  <c r="AQ58" i="51"/>
  <c r="AS59" i="51" s="1"/>
  <c r="AK58" i="41"/>
  <c r="AD58" i="41" s="1"/>
  <c r="AA68" i="26"/>
  <c r="AB68" i="26" s="1"/>
  <c r="AC68" i="26" s="1"/>
  <c r="AK104" i="68"/>
  <c r="AL104" i="68" s="1"/>
  <c r="AE104" i="68" s="1"/>
  <c r="AC103" i="68"/>
  <c r="S105" i="68"/>
  <c r="V105" i="68" s="1"/>
  <c r="Q105" i="68" s="1"/>
  <c r="V104" i="68"/>
  <c r="Q104" i="68" s="1"/>
  <c r="AL59" i="1"/>
  <c r="AM59" i="1" s="1"/>
  <c r="B59" i="1"/>
  <c r="AN59" i="1"/>
  <c r="AP59" i="1" s="1"/>
  <c r="B61" i="41"/>
  <c r="AL61" i="41"/>
  <c r="AM61" i="41" s="1"/>
  <c r="AN61" i="41"/>
  <c r="AP61" i="41" s="1"/>
  <c r="Z61" i="50"/>
  <c r="AA61" i="50" s="1"/>
  <c r="J61" i="50" s="1"/>
  <c r="L61" i="50" s="1"/>
  <c r="D53" i="61"/>
  <c r="C53" i="61" s="1"/>
  <c r="E53" i="61" s="1"/>
  <c r="K57" i="41"/>
  <c r="L57" i="41" s="1"/>
  <c r="G57" i="41"/>
  <c r="H57" i="41" s="1"/>
  <c r="AI56" i="48"/>
  <c r="AK56" i="48" s="1"/>
  <c r="AD56" i="48" s="1"/>
  <c r="AB55" i="48"/>
  <c r="R57" i="48"/>
  <c r="U57" i="48" s="1"/>
  <c r="P57" i="48" s="1"/>
  <c r="AL103" i="68"/>
  <c r="AE103" i="68" s="1"/>
  <c r="AC91" i="59"/>
  <c r="AK92" i="59"/>
  <c r="S93" i="59"/>
  <c r="V93" i="59" s="1"/>
  <c r="Q93" i="59" s="1"/>
  <c r="AK57" i="1"/>
  <c r="AD57" i="1" s="1"/>
  <c r="U59" i="41"/>
  <c r="P59" i="41" s="1"/>
  <c r="Y64" i="1"/>
  <c r="AG64" i="1" s="1"/>
  <c r="AH64" i="1" s="1"/>
  <c r="Y67" i="48"/>
  <c r="Z67" i="48" s="1"/>
  <c r="AA67" i="48" s="1"/>
  <c r="J67" i="48" s="1"/>
  <c r="L67" i="48" s="1"/>
  <c r="J59" i="41"/>
  <c r="F59" i="41"/>
  <c r="AK59" i="41"/>
  <c r="AD59" i="41" s="1"/>
  <c r="AJ59" i="41"/>
  <c r="AC59" i="41" s="1"/>
  <c r="AR97" i="47"/>
  <c r="AT98" i="47" s="1"/>
  <c r="AP97" i="47"/>
  <c r="AO58" i="48"/>
  <c r="AQ58" i="48"/>
  <c r="AS59" i="48" s="1"/>
  <c r="Y97" i="47"/>
  <c r="J58" i="41"/>
  <c r="F58" i="41"/>
  <c r="Y64" i="39"/>
  <c r="AG64" i="39" s="1"/>
  <c r="AH64" i="39" s="1"/>
  <c r="K64" i="39" s="1"/>
  <c r="AN59" i="51"/>
  <c r="AP59" i="51" s="1"/>
  <c r="B59" i="51"/>
  <c r="AL59" i="51"/>
  <c r="AM59" i="51" s="1"/>
  <c r="AP108" i="68" l="1"/>
  <c r="AR108" i="68" s="1"/>
  <c r="B108" i="68"/>
  <c r="AN108" i="68"/>
  <c r="AO108" i="68" s="1"/>
  <c r="AS107" i="68"/>
  <c r="AU108" i="68" s="1"/>
  <c r="AQ107" i="68"/>
  <c r="AM104" i="68"/>
  <c r="AF104" i="68" s="1"/>
  <c r="U60" i="41"/>
  <c r="P60" i="41" s="1"/>
  <c r="AI58" i="1"/>
  <c r="AJ58" i="1" s="1"/>
  <c r="AC58" i="1" s="1"/>
  <c r="P58" i="1"/>
  <c r="R59" i="1"/>
  <c r="U59" i="1" s="1"/>
  <c r="P59" i="1" s="1"/>
  <c r="AB57" i="1"/>
  <c r="V58" i="1"/>
  <c r="AN61" i="49"/>
  <c r="AP61" i="49" s="1"/>
  <c r="AL61" i="49"/>
  <c r="AM61" i="49" s="1"/>
  <c r="B61" i="49"/>
  <c r="Y62" i="49"/>
  <c r="Y63" i="49" s="1"/>
  <c r="Y64" i="49" s="1"/>
  <c r="Y65" i="49" s="1"/>
  <c r="Y66" i="49" s="1"/>
  <c r="Y67" i="49" s="1"/>
  <c r="Y68" i="49" s="1"/>
  <c r="Y69" i="49" s="1"/>
  <c r="Y70" i="49" s="1"/>
  <c r="Y71" i="49" s="1"/>
  <c r="Y72" i="49" s="1"/>
  <c r="Y73" i="49" s="1"/>
  <c r="Y74" i="49" s="1"/>
  <c r="Y75" i="49" s="1"/>
  <c r="Y76" i="49" s="1"/>
  <c r="Y77" i="49" s="1"/>
  <c r="Y78" i="49" s="1"/>
  <c r="Y79" i="49" s="1"/>
  <c r="Y80" i="49" s="1"/>
  <c r="Y81" i="49" s="1"/>
  <c r="Y82" i="49" s="1"/>
  <c r="Y83" i="49" s="1"/>
  <c r="Y84" i="49" s="1"/>
  <c r="Y85" i="49" s="1"/>
  <c r="AG61" i="49"/>
  <c r="AH61" i="49" s="1"/>
  <c r="AM101" i="67"/>
  <c r="AF101" i="67" s="1"/>
  <c r="W102" i="67"/>
  <c r="R102" i="67" s="1"/>
  <c r="AS104" i="67"/>
  <c r="AU105" i="67" s="1"/>
  <c r="AQ104" i="67"/>
  <c r="AN105" i="67"/>
  <c r="AO105" i="67" s="1"/>
  <c r="AP105" i="67"/>
  <c r="AR105" i="67" s="1"/>
  <c r="V102" i="67"/>
  <c r="Q102" i="67" s="1"/>
  <c r="AO57" i="39"/>
  <c r="AQ57" i="39"/>
  <c r="AS58" i="39" s="1"/>
  <c r="B58" i="39"/>
  <c r="AL58" i="39"/>
  <c r="AM58" i="39" s="1"/>
  <c r="AN58" i="39"/>
  <c r="AP58" i="39" s="1"/>
  <c r="V56" i="3"/>
  <c r="Q56" i="3" s="1"/>
  <c r="F56" i="3" s="1"/>
  <c r="R57" i="3"/>
  <c r="AI56" i="3"/>
  <c r="AB55" i="3"/>
  <c r="AJ55" i="3"/>
  <c r="AC55" i="3" s="1"/>
  <c r="AK55" i="3"/>
  <c r="AD55" i="3" s="1"/>
  <c r="G55" i="3" s="1"/>
  <c r="H55" i="3" s="1"/>
  <c r="U57" i="49"/>
  <c r="P57" i="49" s="1"/>
  <c r="R58" i="49"/>
  <c r="U58" i="49" s="1"/>
  <c r="P58" i="49" s="1"/>
  <c r="V57" i="49"/>
  <c r="Q57" i="49" s="1"/>
  <c r="F57" i="49" s="1"/>
  <c r="H57" i="49" s="1"/>
  <c r="AB56" i="49"/>
  <c r="AI57" i="49"/>
  <c r="AJ56" i="49"/>
  <c r="AC56" i="49" s="1"/>
  <c r="AK56" i="49"/>
  <c r="AD56" i="49" s="1"/>
  <c r="V56" i="50"/>
  <c r="Q56" i="50" s="1"/>
  <c r="F56" i="50" s="1"/>
  <c r="H56" i="50" s="1"/>
  <c r="AI56" i="50"/>
  <c r="U56" i="50"/>
  <c r="P56" i="50" s="1"/>
  <c r="R57" i="50"/>
  <c r="AB55" i="50"/>
  <c r="AK55" i="50"/>
  <c r="AD55" i="50" s="1"/>
  <c r="AJ55" i="50"/>
  <c r="AC55" i="50" s="1"/>
  <c r="AK91" i="47"/>
  <c r="AD91" i="47" s="1"/>
  <c r="L48" i="26"/>
  <c r="AP49" i="26"/>
  <c r="AG49" i="26" s="1"/>
  <c r="G49" i="26" s="1"/>
  <c r="H49" i="26" s="1"/>
  <c r="Z63" i="52"/>
  <c r="AA63" i="52" s="1"/>
  <c r="J63" i="52" s="1"/>
  <c r="L63" i="52" s="1"/>
  <c r="AG62" i="50"/>
  <c r="AH62" i="50" s="1"/>
  <c r="Z64" i="1"/>
  <c r="AA64" i="1" s="1"/>
  <c r="J64" i="1" s="1"/>
  <c r="L64" i="1" s="1"/>
  <c r="Z61" i="51"/>
  <c r="AA61" i="51" s="1"/>
  <c r="J61" i="51" s="1"/>
  <c r="L61" i="51" s="1"/>
  <c r="AS64" i="26"/>
  <c r="AU64" i="26" s="1"/>
  <c r="AQ64" i="26"/>
  <c r="AR64" i="26" s="1"/>
  <c r="B64" i="26"/>
  <c r="AN58" i="52"/>
  <c r="AP58" i="52" s="1"/>
  <c r="AL58" i="52"/>
  <c r="AM58" i="52" s="1"/>
  <c r="B58" i="52"/>
  <c r="AJ56" i="52"/>
  <c r="AC56" i="52" s="1"/>
  <c r="AK56" i="52"/>
  <c r="AD56" i="52" s="1"/>
  <c r="AT63" i="26"/>
  <c r="AV63" i="26"/>
  <c r="AX64" i="26" s="1"/>
  <c r="AQ57" i="52"/>
  <c r="AS58" i="52" s="1"/>
  <c r="AO57" i="52"/>
  <c r="V57" i="52"/>
  <c r="Q57" i="52" s="1"/>
  <c r="F57" i="52" s="1"/>
  <c r="H57" i="52" s="1"/>
  <c r="AB56" i="52"/>
  <c r="R58" i="52"/>
  <c r="U57" i="52"/>
  <c r="P57" i="52" s="1"/>
  <c r="AI57" i="52"/>
  <c r="AQ60" i="49"/>
  <c r="AS61" i="49" s="1"/>
  <c r="AO60" i="49"/>
  <c r="V57" i="48"/>
  <c r="Q57" i="48" s="1"/>
  <c r="F57" i="48" s="1"/>
  <c r="H57" i="48" s="1"/>
  <c r="Z64" i="39"/>
  <c r="AA64" i="39" s="1"/>
  <c r="J64" i="39" s="1"/>
  <c r="L64" i="39" s="1"/>
  <c r="AG65" i="3"/>
  <c r="AH65" i="3" s="1"/>
  <c r="K65" i="3" s="1"/>
  <c r="L65" i="3" s="1"/>
  <c r="AF100" i="67"/>
  <c r="S103" i="67"/>
  <c r="AC101" i="67"/>
  <c r="AK102" i="67"/>
  <c r="AL102" i="67" s="1"/>
  <c r="AE102" i="67" s="1"/>
  <c r="AP96" i="59"/>
  <c r="AR96" i="59" s="1"/>
  <c r="B96" i="59"/>
  <c r="AN96" i="59"/>
  <c r="AO96" i="59" s="1"/>
  <c r="Q101" i="67"/>
  <c r="G101" i="67" s="1"/>
  <c r="I101" i="67" s="1"/>
  <c r="AJ68" i="26"/>
  <c r="AK68" i="26" s="1"/>
  <c r="K68" i="26" s="1"/>
  <c r="L68" i="26" s="1"/>
  <c r="AQ95" i="59"/>
  <c r="AS95" i="59"/>
  <c r="AU96" i="59" s="1"/>
  <c r="AI68" i="26"/>
  <c r="AL68" i="26" s="1"/>
  <c r="AQ59" i="50"/>
  <c r="AS60" i="50" s="1"/>
  <c r="AO59" i="50"/>
  <c r="AJ56" i="39"/>
  <c r="AC56" i="39" s="1"/>
  <c r="AK56" i="51"/>
  <c r="AD56" i="51" s="1"/>
  <c r="AJ56" i="51"/>
  <c r="AC56" i="51" s="1"/>
  <c r="B60" i="50"/>
  <c r="AN60" i="50"/>
  <c r="AP60" i="50" s="1"/>
  <c r="AL60" i="50"/>
  <c r="AM60" i="50" s="1"/>
  <c r="W93" i="59"/>
  <c r="R93" i="59" s="1"/>
  <c r="G93" i="59" s="1"/>
  <c r="I93" i="59" s="1"/>
  <c r="U57" i="51"/>
  <c r="P57" i="51" s="1"/>
  <c r="AB56" i="51"/>
  <c r="R58" i="51"/>
  <c r="V58" i="51" s="1"/>
  <c r="Q58" i="51" s="1"/>
  <c r="F58" i="51" s="1"/>
  <c r="H58" i="51" s="1"/>
  <c r="V57" i="51"/>
  <c r="Q57" i="51" s="1"/>
  <c r="F57" i="51" s="1"/>
  <c r="H57" i="51" s="1"/>
  <c r="AI57" i="51"/>
  <c r="H56" i="39"/>
  <c r="R58" i="39"/>
  <c r="AI57" i="39"/>
  <c r="AB56" i="39"/>
  <c r="U57" i="39"/>
  <c r="P57" i="39" s="1"/>
  <c r="V57" i="39"/>
  <c r="Q57" i="39" s="1"/>
  <c r="F57" i="39" s="1"/>
  <c r="AB91" i="47"/>
  <c r="R93" i="47"/>
  <c r="U93" i="47" s="1"/>
  <c r="P93" i="47" s="1"/>
  <c r="AJ92" i="47"/>
  <c r="U92" i="47"/>
  <c r="P92" i="47" s="1"/>
  <c r="AN54" i="26"/>
  <c r="AO54" i="26" s="1"/>
  <c r="AF54" i="26" s="1"/>
  <c r="AE49" i="26"/>
  <c r="AY54" i="26"/>
  <c r="D54" i="26"/>
  <c r="V54" i="26"/>
  <c r="W54" i="26"/>
  <c r="Q54" i="26" s="1"/>
  <c r="F54" i="26" s="1"/>
  <c r="AO59" i="51"/>
  <c r="AQ59" i="51"/>
  <c r="AS60" i="51" s="1"/>
  <c r="Y98" i="47"/>
  <c r="AH98" i="47" s="1"/>
  <c r="AI98" i="47" s="1"/>
  <c r="AH97" i="47"/>
  <c r="AI97" i="47" s="1"/>
  <c r="G59" i="41"/>
  <c r="H59" i="41" s="1"/>
  <c r="K59" i="41"/>
  <c r="Z97" i="47"/>
  <c r="AA97" i="47" s="1"/>
  <c r="J97" i="47" s="1"/>
  <c r="L97" i="47" s="1"/>
  <c r="AG67" i="48"/>
  <c r="AH67" i="48" s="1"/>
  <c r="L53" i="61"/>
  <c r="W105" i="68"/>
  <c r="R105" i="68" s="1"/>
  <c r="G105" i="68" s="1"/>
  <c r="I105" i="68" s="1"/>
  <c r="T68" i="26"/>
  <c r="K58" i="41"/>
  <c r="G58" i="41"/>
  <c r="H58" i="41" s="1"/>
  <c r="AG60" i="41"/>
  <c r="AH60" i="41" s="1"/>
  <c r="Y62" i="51"/>
  <c r="Z62" i="51" s="1"/>
  <c r="AA62" i="51" s="1"/>
  <c r="J62" i="51" s="1"/>
  <c r="L62" i="51" s="1"/>
  <c r="AM99" i="47"/>
  <c r="AN99" i="47" s="1"/>
  <c r="AO99" i="47"/>
  <c r="AQ99" i="47" s="1"/>
  <c r="B99" i="47"/>
  <c r="Y64" i="52"/>
  <c r="AG64" i="52" s="1"/>
  <c r="AH64" i="52" s="1"/>
  <c r="AK58" i="1"/>
  <c r="AD58" i="1" s="1"/>
  <c r="AB59" i="41"/>
  <c r="R61" i="41"/>
  <c r="V61" i="41" s="1"/>
  <c r="Q61" i="41" s="1"/>
  <c r="AI60" i="41"/>
  <c r="U61" i="41"/>
  <c r="P61" i="41" s="1"/>
  <c r="AL92" i="59"/>
  <c r="AE92" i="59" s="1"/>
  <c r="AN60" i="3"/>
  <c r="AP60" i="3" s="1"/>
  <c r="AL60" i="3"/>
  <c r="AM60" i="3" s="1"/>
  <c r="B60" i="3"/>
  <c r="Y63" i="50"/>
  <c r="Z63" i="50" s="1"/>
  <c r="AA63" i="50" s="1"/>
  <c r="J63" i="50" s="1"/>
  <c r="L63" i="50" s="1"/>
  <c r="L59" i="41"/>
  <c r="AK93" i="59"/>
  <c r="AM93" i="59" s="1"/>
  <c r="AF93" i="59" s="1"/>
  <c r="AC92" i="59"/>
  <c r="S94" i="59"/>
  <c r="V94" i="59" s="1"/>
  <c r="Q94" i="59" s="1"/>
  <c r="AI57" i="48"/>
  <c r="AK57" i="48" s="1"/>
  <c r="AD57" i="48" s="1"/>
  <c r="AB56" i="48"/>
  <c r="R58" i="48"/>
  <c r="U58" i="48" s="1"/>
  <c r="P58" i="48" s="1"/>
  <c r="AO61" i="41"/>
  <c r="AQ61" i="41"/>
  <c r="AS62" i="41" s="1"/>
  <c r="Y66" i="3"/>
  <c r="Z66" i="3" s="1"/>
  <c r="AA66" i="3" s="1"/>
  <c r="J66" i="3" s="1"/>
  <c r="AQ59" i="48"/>
  <c r="AS60" i="48" s="1"/>
  <c r="AO59" i="48"/>
  <c r="AP98" i="47"/>
  <c r="AR98" i="47"/>
  <c r="AT99" i="47" s="1"/>
  <c r="AO59" i="3"/>
  <c r="AQ59" i="3"/>
  <c r="AS60" i="3" s="1"/>
  <c r="L58" i="41"/>
  <c r="Y65" i="39"/>
  <c r="AG65" i="39" s="1"/>
  <c r="AH65" i="39" s="1"/>
  <c r="K65" i="39" s="1"/>
  <c r="Y68" i="48"/>
  <c r="Z68" i="48" s="1"/>
  <c r="AA68" i="48" s="1"/>
  <c r="J68" i="48" s="1"/>
  <c r="L68" i="48" s="1"/>
  <c r="AN62" i="41"/>
  <c r="AP62" i="41" s="1"/>
  <c r="B62" i="41"/>
  <c r="AL62" i="41"/>
  <c r="AM62" i="41" s="1"/>
  <c r="AL60" i="1"/>
  <c r="AM60" i="1" s="1"/>
  <c r="B60" i="1"/>
  <c r="AN60" i="1"/>
  <c r="AP60" i="1" s="1"/>
  <c r="AA69" i="26"/>
  <c r="AI69" i="26" s="1"/>
  <c r="AL69" i="26" s="1"/>
  <c r="Y61" i="41"/>
  <c r="Z61" i="41" s="1"/>
  <c r="AA61" i="41" s="1"/>
  <c r="S69" i="26"/>
  <c r="AJ69" i="26" s="1"/>
  <c r="AK69" i="26" s="1"/>
  <c r="K69" i="26" s="1"/>
  <c r="B60" i="48"/>
  <c r="AN60" i="48"/>
  <c r="AP60" i="48" s="1"/>
  <c r="AL60" i="48"/>
  <c r="AM60" i="48" s="1"/>
  <c r="AK60" i="41"/>
  <c r="AD60" i="41" s="1"/>
  <c r="AJ60" i="41"/>
  <c r="AC60" i="41" s="1"/>
  <c r="F60" i="41"/>
  <c r="J60" i="41"/>
  <c r="AN60" i="51"/>
  <c r="AP60" i="51" s="1"/>
  <c r="AL60" i="51"/>
  <c r="AM60" i="51" s="1"/>
  <c r="B60" i="51"/>
  <c r="Y65" i="1"/>
  <c r="AG65" i="1" s="1"/>
  <c r="AH65" i="1" s="1"/>
  <c r="AO59" i="1"/>
  <c r="AQ59" i="1"/>
  <c r="AS60" i="1" s="1"/>
  <c r="AK105" i="68"/>
  <c r="AL105" i="68" s="1"/>
  <c r="AE105" i="68" s="1"/>
  <c r="AC104" i="68"/>
  <c r="S106" i="68"/>
  <c r="V106" i="68" s="1"/>
  <c r="Q106" i="68" s="1"/>
  <c r="AJ56" i="48"/>
  <c r="AC56" i="48" s="1"/>
  <c r="AM92" i="59"/>
  <c r="AF92" i="59" s="1"/>
  <c r="AM105" i="68" l="1"/>
  <c r="AF105" i="68" s="1"/>
  <c r="AS108" i="68"/>
  <c r="AU109" i="68" s="1"/>
  <c r="AQ108" i="68"/>
  <c r="AI59" i="1"/>
  <c r="AJ59" i="1" s="1"/>
  <c r="AC59" i="1" s="1"/>
  <c r="AB58" i="1"/>
  <c r="Q59" i="1"/>
  <c r="F59" i="1" s="1"/>
  <c r="H59" i="1" s="1"/>
  <c r="V59" i="1"/>
  <c r="R60" i="1"/>
  <c r="U60" i="1" s="1"/>
  <c r="Q60" i="1" s="1"/>
  <c r="F60" i="1" s="1"/>
  <c r="H60" i="1" s="1"/>
  <c r="AQ61" i="49"/>
  <c r="AS62" i="49" s="1"/>
  <c r="AO61" i="49"/>
  <c r="AP106" i="67"/>
  <c r="AR106" i="67" s="1"/>
  <c r="AN106" i="67"/>
  <c r="AO106" i="67" s="1"/>
  <c r="W103" i="67"/>
  <c r="R103" i="67" s="1"/>
  <c r="V103" i="67"/>
  <c r="AS105" i="67"/>
  <c r="AU106" i="67" s="1"/>
  <c r="AQ105" i="67"/>
  <c r="G102" i="67"/>
  <c r="I102" i="67" s="1"/>
  <c r="AO58" i="39"/>
  <c r="AQ58" i="39"/>
  <c r="AS59" i="39" s="1"/>
  <c r="AN59" i="39"/>
  <c r="AP59" i="39" s="1"/>
  <c r="AL59" i="39"/>
  <c r="AM59" i="39" s="1"/>
  <c r="B59" i="39"/>
  <c r="AJ56" i="3"/>
  <c r="AC56" i="3" s="1"/>
  <c r="AK56" i="3"/>
  <c r="AD56" i="3" s="1"/>
  <c r="G56" i="3" s="1"/>
  <c r="H56" i="3" s="1"/>
  <c r="V57" i="3"/>
  <c r="Q57" i="3" s="1"/>
  <c r="F57" i="3" s="1"/>
  <c r="R58" i="3"/>
  <c r="U57" i="3"/>
  <c r="P57" i="3" s="1"/>
  <c r="AI57" i="3"/>
  <c r="AJ57" i="3" s="1"/>
  <c r="AC57" i="3" s="1"/>
  <c r="AB56" i="3"/>
  <c r="L49" i="26"/>
  <c r="V58" i="49"/>
  <c r="Q58" i="49" s="1"/>
  <c r="F58" i="49" s="1"/>
  <c r="H58" i="49" s="1"/>
  <c r="R59" i="49"/>
  <c r="AI58" i="49"/>
  <c r="AB57" i="49"/>
  <c r="AJ57" i="49"/>
  <c r="AC57" i="49" s="1"/>
  <c r="AK57" i="49"/>
  <c r="AD57" i="49" s="1"/>
  <c r="V57" i="50"/>
  <c r="Q57" i="50" s="1"/>
  <c r="F57" i="50" s="1"/>
  <c r="H57" i="50" s="1"/>
  <c r="AI57" i="50"/>
  <c r="AB56" i="50"/>
  <c r="R58" i="50"/>
  <c r="U57" i="50"/>
  <c r="P57" i="50" s="1"/>
  <c r="AJ56" i="50"/>
  <c r="AC56" i="50" s="1"/>
  <c r="AK56" i="50"/>
  <c r="AD56" i="50" s="1"/>
  <c r="AJ57" i="48"/>
  <c r="AC57" i="48" s="1"/>
  <c r="AP54" i="26"/>
  <c r="AG54" i="26" s="1"/>
  <c r="G54" i="26" s="1"/>
  <c r="H54" i="26" s="1"/>
  <c r="AB57" i="52"/>
  <c r="U58" i="52"/>
  <c r="P58" i="52" s="1"/>
  <c r="AI58" i="52"/>
  <c r="V58" i="52"/>
  <c r="Q58" i="52" s="1"/>
  <c r="F58" i="52" s="1"/>
  <c r="H58" i="52" s="1"/>
  <c r="R59" i="52"/>
  <c r="B65" i="26"/>
  <c r="AQ65" i="26"/>
  <c r="AR65" i="26" s="1"/>
  <c r="AS65" i="26"/>
  <c r="AU65" i="26" s="1"/>
  <c r="Z98" i="47"/>
  <c r="AA98" i="47" s="1"/>
  <c r="J98" i="47" s="1"/>
  <c r="L98" i="47" s="1"/>
  <c r="AL59" i="52"/>
  <c r="AM59" i="52" s="1"/>
  <c r="B59" i="52"/>
  <c r="AN59" i="52"/>
  <c r="AP59" i="52" s="1"/>
  <c r="AT64" i="26"/>
  <c r="AV64" i="26"/>
  <c r="AX65" i="26" s="1"/>
  <c r="AJ57" i="52"/>
  <c r="AC57" i="52" s="1"/>
  <c r="AK57" i="52"/>
  <c r="AD57" i="52" s="1"/>
  <c r="AO58" i="52"/>
  <c r="AQ58" i="52"/>
  <c r="AS59" i="52" s="1"/>
  <c r="V58" i="48"/>
  <c r="Q58" i="48" s="1"/>
  <c r="F58" i="48" s="1"/>
  <c r="H58" i="48" s="1"/>
  <c r="AS96" i="59"/>
  <c r="AU97" i="59" s="1"/>
  <c r="AQ96" i="59"/>
  <c r="B97" i="59"/>
  <c r="AN97" i="59"/>
  <c r="AO97" i="59" s="1"/>
  <c r="AP97" i="59"/>
  <c r="AR97" i="59" s="1"/>
  <c r="S104" i="67"/>
  <c r="V104" i="67" s="1"/>
  <c r="AC102" i="67"/>
  <c r="AK103" i="67"/>
  <c r="AM103" i="67" s="1"/>
  <c r="AF103" i="67" s="1"/>
  <c r="AM102" i="67"/>
  <c r="R59" i="39"/>
  <c r="AB57" i="39"/>
  <c r="AI58" i="39"/>
  <c r="AK58" i="39" s="1"/>
  <c r="AD58" i="39" s="1"/>
  <c r="G58" i="39" s="1"/>
  <c r="Z65" i="1"/>
  <c r="AA65" i="1" s="1"/>
  <c r="J65" i="1" s="1"/>
  <c r="L65" i="1" s="1"/>
  <c r="AB69" i="26"/>
  <c r="AC69" i="26" s="1"/>
  <c r="Z65" i="39"/>
  <c r="AA65" i="39" s="1"/>
  <c r="J65" i="39" s="1"/>
  <c r="L65" i="39" s="1"/>
  <c r="AJ57" i="39"/>
  <c r="AC57" i="39" s="1"/>
  <c r="U58" i="51"/>
  <c r="P58" i="51" s="1"/>
  <c r="R59" i="51"/>
  <c r="AB57" i="51"/>
  <c r="AI58" i="51"/>
  <c r="AK92" i="47"/>
  <c r="AD92" i="47" s="1"/>
  <c r="AN61" i="50"/>
  <c r="AP61" i="50" s="1"/>
  <c r="B61" i="50"/>
  <c r="AL61" i="50"/>
  <c r="AM61" i="50" s="1"/>
  <c r="AK57" i="39"/>
  <c r="AD57" i="39" s="1"/>
  <c r="G57" i="39" s="1"/>
  <c r="H57" i="39" s="1"/>
  <c r="T69" i="26"/>
  <c r="AG68" i="48"/>
  <c r="AH68" i="48" s="1"/>
  <c r="AJ93" i="47"/>
  <c r="AK93" i="47" s="1"/>
  <c r="AD93" i="47" s="1"/>
  <c r="AB92" i="47"/>
  <c r="R94" i="47"/>
  <c r="U94" i="47" s="1"/>
  <c r="P94" i="47" s="1"/>
  <c r="V58" i="39"/>
  <c r="Q58" i="39" s="1"/>
  <c r="F58" i="39" s="1"/>
  <c r="AJ57" i="51"/>
  <c r="AC57" i="51" s="1"/>
  <c r="AK57" i="51"/>
  <c r="AD57" i="51" s="1"/>
  <c r="AL92" i="47"/>
  <c r="AE92" i="47" s="1"/>
  <c r="V93" i="47"/>
  <c r="Q93" i="47" s="1"/>
  <c r="F93" i="47" s="1"/>
  <c r="H93" i="47" s="1"/>
  <c r="U58" i="39"/>
  <c r="P58" i="39" s="1"/>
  <c r="AQ60" i="50"/>
  <c r="AS61" i="50" s="1"/>
  <c r="AO60" i="50"/>
  <c r="W106" i="68"/>
  <c r="R106" i="68" s="1"/>
  <c r="G106" i="68" s="1"/>
  <c r="I106" i="68" s="1"/>
  <c r="AN61" i="51"/>
  <c r="AP61" i="51" s="1"/>
  <c r="AL61" i="51"/>
  <c r="AM61" i="51" s="1"/>
  <c r="B61" i="51"/>
  <c r="AO60" i="48"/>
  <c r="AQ60" i="48"/>
  <c r="AS61" i="48" s="1"/>
  <c r="AN63" i="41"/>
  <c r="AP63" i="41" s="1"/>
  <c r="AL63" i="41"/>
  <c r="AM63" i="41" s="1"/>
  <c r="B63" i="41"/>
  <c r="Y69" i="48"/>
  <c r="Z69" i="48" s="1"/>
  <c r="AA69" i="48" s="1"/>
  <c r="J69" i="48" s="1"/>
  <c r="L69" i="48" s="1"/>
  <c r="AG66" i="3"/>
  <c r="AH66" i="3" s="1"/>
  <c r="K66" i="3" s="1"/>
  <c r="L66" i="3" s="1"/>
  <c r="AB60" i="41"/>
  <c r="AI61" i="41"/>
  <c r="R62" i="41"/>
  <c r="V62" i="41" s="1"/>
  <c r="Q62" i="41" s="1"/>
  <c r="Z64" i="52"/>
  <c r="AA64" i="52" s="1"/>
  <c r="J64" i="52" s="1"/>
  <c r="L64" i="52" s="1"/>
  <c r="AG62" i="51"/>
  <c r="AH62" i="51" s="1"/>
  <c r="D54" i="61"/>
  <c r="C54" i="61" s="1"/>
  <c r="E54" i="61" s="1"/>
  <c r="Y99" i="47"/>
  <c r="AH99" i="47" s="1"/>
  <c r="AI99" i="47" s="1"/>
  <c r="U54" i="26"/>
  <c r="P54" i="26"/>
  <c r="AO60" i="51"/>
  <c r="AQ60" i="51"/>
  <c r="AS61" i="51" s="1"/>
  <c r="G60" i="41"/>
  <c r="K60" i="41"/>
  <c r="L60" i="41" s="1"/>
  <c r="S70" i="26"/>
  <c r="AJ70" i="26" s="1"/>
  <c r="AK70" i="26" s="1"/>
  <c r="K70" i="26" s="1"/>
  <c r="Y62" i="41"/>
  <c r="Z62" i="41" s="1"/>
  <c r="AA62" i="41" s="1"/>
  <c r="AL61" i="1"/>
  <c r="AM61" i="1" s="1"/>
  <c r="B61" i="1"/>
  <c r="AN61" i="1"/>
  <c r="AP61" i="1" s="1"/>
  <c r="AB57" i="48"/>
  <c r="AI58" i="48"/>
  <c r="R59" i="48"/>
  <c r="U59" i="48" s="1"/>
  <c r="P59" i="48" s="1"/>
  <c r="AK94" i="59"/>
  <c r="AC93" i="59"/>
  <c r="S95" i="59"/>
  <c r="AL61" i="3"/>
  <c r="AM61" i="3" s="1"/>
  <c r="AN61" i="3"/>
  <c r="AP61" i="3" s="1"/>
  <c r="B61" i="3"/>
  <c r="J61" i="41"/>
  <c r="F61" i="41"/>
  <c r="B100" i="47"/>
  <c r="AO100" i="47"/>
  <c r="AQ100" i="47" s="1"/>
  <c r="AM100" i="47"/>
  <c r="AN100" i="47" s="1"/>
  <c r="AL93" i="59"/>
  <c r="AE93" i="59" s="1"/>
  <c r="D55" i="26"/>
  <c r="D59" i="26"/>
  <c r="D65" i="26"/>
  <c r="D90" i="26"/>
  <c r="D56" i="26"/>
  <c r="D60" i="26"/>
  <c r="D98" i="26"/>
  <c r="D75" i="26"/>
  <c r="D66" i="26"/>
  <c r="D92" i="26"/>
  <c r="D93" i="26"/>
  <c r="D83" i="26"/>
  <c r="D64" i="26"/>
  <c r="D70" i="26"/>
  <c r="D82" i="26"/>
  <c r="D73" i="26"/>
  <c r="D77" i="26"/>
  <c r="D99" i="26"/>
  <c r="D95" i="26"/>
  <c r="D97" i="26"/>
  <c r="D76" i="26"/>
  <c r="D86" i="26"/>
  <c r="D62" i="26"/>
  <c r="D91" i="26"/>
  <c r="D80" i="26"/>
  <c r="D68" i="26"/>
  <c r="D58" i="26"/>
  <c r="D85" i="26"/>
  <c r="D84" i="26"/>
  <c r="D87" i="26"/>
  <c r="D61" i="26"/>
  <c r="D89" i="26"/>
  <c r="D94" i="26"/>
  <c r="D81" i="26"/>
  <c r="D72" i="26"/>
  <c r="D78" i="26"/>
  <c r="D67" i="26"/>
  <c r="D74" i="26"/>
  <c r="D63" i="26"/>
  <c r="D69" i="26"/>
  <c r="D79" i="26"/>
  <c r="D88" i="26"/>
  <c r="D100" i="26"/>
  <c r="D96" i="26"/>
  <c r="D57" i="26"/>
  <c r="D71" i="26"/>
  <c r="AQ60" i="1"/>
  <c r="AS61" i="1" s="1"/>
  <c r="AO60" i="1"/>
  <c r="Y67" i="3"/>
  <c r="AG67" i="3" s="1"/>
  <c r="AH67" i="3" s="1"/>
  <c r="K67" i="3" s="1"/>
  <c r="Y64" i="50"/>
  <c r="Z64" i="50" s="1"/>
  <c r="AA64" i="50" s="1"/>
  <c r="J64" i="50" s="1"/>
  <c r="L64" i="50" s="1"/>
  <c r="AO60" i="3"/>
  <c r="AQ60" i="3"/>
  <c r="AS61" i="3" s="1"/>
  <c r="Y65" i="52"/>
  <c r="AG65" i="52" s="1"/>
  <c r="AH65" i="52" s="1"/>
  <c r="Y63" i="51"/>
  <c r="AG63" i="51" s="1"/>
  <c r="AH63" i="51" s="1"/>
  <c r="AC105" i="68"/>
  <c r="AK106" i="68"/>
  <c r="AL106" i="68" s="1"/>
  <c r="AE106" i="68" s="1"/>
  <c r="S107" i="68"/>
  <c r="V107" i="68" s="1"/>
  <c r="Q107" i="68" s="1"/>
  <c r="B61" i="48"/>
  <c r="AL61" i="48"/>
  <c r="AM61" i="48" s="1"/>
  <c r="AN61" i="48"/>
  <c r="AP61" i="48" s="1"/>
  <c r="Y66" i="1"/>
  <c r="Z66" i="1" s="1"/>
  <c r="AA66" i="1" s="1"/>
  <c r="J66" i="1" s="1"/>
  <c r="L66" i="1" s="1"/>
  <c r="H60" i="41"/>
  <c r="X69" i="26"/>
  <c r="Y69" i="26" s="1"/>
  <c r="J69" i="26" s="1"/>
  <c r="L69" i="26" s="1"/>
  <c r="AG61" i="41"/>
  <c r="AH61" i="41" s="1"/>
  <c r="AA70" i="26"/>
  <c r="T70" i="26" s="1"/>
  <c r="AQ62" i="41"/>
  <c r="AS63" i="41" s="1"/>
  <c r="AO62" i="41"/>
  <c r="Y66" i="39"/>
  <c r="AG66" i="39" s="1"/>
  <c r="AH66" i="39" s="1"/>
  <c r="K66" i="39" s="1"/>
  <c r="W94" i="59"/>
  <c r="R94" i="59" s="1"/>
  <c r="G94" i="59" s="1"/>
  <c r="I94" i="59" s="1"/>
  <c r="AG63" i="50"/>
  <c r="AH63" i="50" s="1"/>
  <c r="AK61" i="41"/>
  <c r="AD61" i="41" s="1"/>
  <c r="AJ61" i="41"/>
  <c r="AC61" i="41" s="1"/>
  <c r="AR99" i="47"/>
  <c r="AT100" i="47" s="1"/>
  <c r="AP99" i="47"/>
  <c r="R55" i="26"/>
  <c r="V60" i="1" l="1"/>
  <c r="AG62" i="41"/>
  <c r="AH62" i="41" s="1"/>
  <c r="AK59" i="1"/>
  <c r="AD59" i="1" s="1"/>
  <c r="AB59" i="1"/>
  <c r="AI60" i="1"/>
  <c r="AJ60" i="1" s="1"/>
  <c r="AC60" i="1" s="1"/>
  <c r="P60" i="1"/>
  <c r="R61" i="1"/>
  <c r="V61" i="1" s="1"/>
  <c r="B98" i="59"/>
  <c r="AN98" i="59"/>
  <c r="AO98" i="59" s="1"/>
  <c r="AP98" i="59"/>
  <c r="AR98" i="59" s="1"/>
  <c r="AS106" i="67"/>
  <c r="AU107" i="67" s="1"/>
  <c r="AQ106" i="67"/>
  <c r="AL103" i="67"/>
  <c r="AE103" i="67" s="1"/>
  <c r="AP107" i="67"/>
  <c r="AR107" i="67" s="1"/>
  <c r="B107" i="67"/>
  <c r="AN107" i="67"/>
  <c r="AO107" i="67" s="1"/>
  <c r="Q104" i="67"/>
  <c r="AJ58" i="39"/>
  <c r="AC58" i="39" s="1"/>
  <c r="AO59" i="39"/>
  <c r="AQ59" i="39"/>
  <c r="AS60" i="39" s="1"/>
  <c r="B60" i="39"/>
  <c r="AL60" i="39"/>
  <c r="AM60" i="39" s="1"/>
  <c r="AN60" i="39"/>
  <c r="AP60" i="39" s="1"/>
  <c r="AK57" i="3"/>
  <c r="AD57" i="3" s="1"/>
  <c r="G57" i="3" s="1"/>
  <c r="H57" i="3" s="1"/>
  <c r="V58" i="3"/>
  <c r="Q58" i="3" s="1"/>
  <c r="F58" i="3" s="1"/>
  <c r="U58" i="3"/>
  <c r="P58" i="3" s="1"/>
  <c r="R59" i="3"/>
  <c r="AI58" i="3"/>
  <c r="AB57" i="3"/>
  <c r="AK58" i="49"/>
  <c r="AD58" i="49" s="1"/>
  <c r="AJ58" i="49"/>
  <c r="AC58" i="49" s="1"/>
  <c r="U59" i="49"/>
  <c r="P59" i="49" s="1"/>
  <c r="V59" i="49"/>
  <c r="Q59" i="49" s="1"/>
  <c r="F59" i="49" s="1"/>
  <c r="H59" i="49" s="1"/>
  <c r="AB58" i="49"/>
  <c r="R60" i="49"/>
  <c r="AI59" i="49"/>
  <c r="U58" i="50"/>
  <c r="P58" i="50" s="1"/>
  <c r="AB57" i="50"/>
  <c r="V58" i="50"/>
  <c r="Q58" i="50" s="1"/>
  <c r="F58" i="50" s="1"/>
  <c r="H58" i="50" s="1"/>
  <c r="AI58" i="50"/>
  <c r="R59" i="50"/>
  <c r="AJ57" i="50"/>
  <c r="AC57" i="50" s="1"/>
  <c r="AK57" i="50"/>
  <c r="AD57" i="50" s="1"/>
  <c r="AG66" i="1"/>
  <c r="AH66" i="1" s="1"/>
  <c r="AN60" i="52"/>
  <c r="AP60" i="52" s="1"/>
  <c r="B60" i="52"/>
  <c r="AL60" i="52"/>
  <c r="AM60" i="52" s="1"/>
  <c r="AV65" i="26"/>
  <c r="AX66" i="26" s="1"/>
  <c r="AT65" i="26"/>
  <c r="AK58" i="52"/>
  <c r="AD58" i="52" s="1"/>
  <c r="AQ59" i="52"/>
  <c r="AS60" i="52" s="1"/>
  <c r="AO59" i="52"/>
  <c r="B66" i="26"/>
  <c r="AS66" i="26"/>
  <c r="AU66" i="26" s="1"/>
  <c r="AQ66" i="26"/>
  <c r="AR66" i="26" s="1"/>
  <c r="AJ58" i="52"/>
  <c r="AC58" i="52" s="1"/>
  <c r="V59" i="52"/>
  <c r="Q59" i="52" s="1"/>
  <c r="F59" i="52" s="1"/>
  <c r="H59" i="52" s="1"/>
  <c r="R60" i="52"/>
  <c r="U59" i="52"/>
  <c r="P59" i="52" s="1"/>
  <c r="AB58" i="52"/>
  <c r="AI59" i="52"/>
  <c r="AJ59" i="52" s="1"/>
  <c r="AC59" i="52" s="1"/>
  <c r="Z99" i="47"/>
  <c r="AA99" i="47" s="1"/>
  <c r="J99" i="47" s="1"/>
  <c r="L99" i="47" s="1"/>
  <c r="X70" i="26"/>
  <c r="Y70" i="26" s="1"/>
  <c r="J70" i="26" s="1"/>
  <c r="L70" i="26" s="1"/>
  <c r="AG69" i="48"/>
  <c r="AH69" i="48" s="1"/>
  <c r="AK104" i="67"/>
  <c r="AL104" i="67" s="1"/>
  <c r="AE104" i="67" s="1"/>
  <c r="S105" i="67"/>
  <c r="AC103" i="67"/>
  <c r="AS97" i="59"/>
  <c r="AU98" i="59" s="1"/>
  <c r="AQ97" i="59"/>
  <c r="Z66" i="39"/>
  <c r="AA66" i="39" s="1"/>
  <c r="J66" i="39" s="1"/>
  <c r="L66" i="39" s="1"/>
  <c r="AB70" i="26"/>
  <c r="AC70" i="26" s="1"/>
  <c r="AF102" i="67"/>
  <c r="Q103" i="67"/>
  <c r="G103" i="67" s="1"/>
  <c r="I103" i="67" s="1"/>
  <c r="W104" i="67"/>
  <c r="R104" i="67" s="1"/>
  <c r="AL62" i="50"/>
  <c r="AM62" i="50" s="1"/>
  <c r="AN62" i="50"/>
  <c r="AP62" i="50" s="1"/>
  <c r="B62" i="50"/>
  <c r="AK58" i="51"/>
  <c r="AD58" i="51" s="1"/>
  <c r="AJ58" i="51"/>
  <c r="AC58" i="51" s="1"/>
  <c r="AJ94" i="47"/>
  <c r="AL94" i="47" s="1"/>
  <c r="AE94" i="47" s="1"/>
  <c r="R95" i="47"/>
  <c r="U95" i="47" s="1"/>
  <c r="P95" i="47" s="1"/>
  <c r="AB93" i="47"/>
  <c r="H58" i="39"/>
  <c r="U59" i="39"/>
  <c r="P59" i="39" s="1"/>
  <c r="R60" i="39"/>
  <c r="AI59" i="39"/>
  <c r="AJ59" i="39" s="1"/>
  <c r="AC59" i="39" s="1"/>
  <c r="AB58" i="39"/>
  <c r="Z65" i="52"/>
  <c r="AA65" i="52" s="1"/>
  <c r="J65" i="52" s="1"/>
  <c r="L65" i="52" s="1"/>
  <c r="Z67" i="3"/>
  <c r="AA67" i="3" s="1"/>
  <c r="J67" i="3" s="1"/>
  <c r="L67" i="3" s="1"/>
  <c r="U59" i="51"/>
  <c r="P59" i="51" s="1"/>
  <c r="AB58" i="51"/>
  <c r="R60" i="51"/>
  <c r="AI59" i="51"/>
  <c r="AK59" i="51" s="1"/>
  <c r="AD59" i="51" s="1"/>
  <c r="V94" i="47"/>
  <c r="Q94" i="47" s="1"/>
  <c r="F94" i="47" s="1"/>
  <c r="H94" i="47" s="1"/>
  <c r="AQ61" i="50"/>
  <c r="AS62" i="50" s="1"/>
  <c r="AO61" i="50"/>
  <c r="V59" i="51"/>
  <c r="Q59" i="51" s="1"/>
  <c r="F59" i="51" s="1"/>
  <c r="H59" i="51" s="1"/>
  <c r="V59" i="39"/>
  <c r="Q59" i="39" s="1"/>
  <c r="F59" i="39" s="1"/>
  <c r="AL93" i="47"/>
  <c r="AE93" i="47" s="1"/>
  <c r="J62" i="41"/>
  <c r="F62" i="41"/>
  <c r="AC94" i="59"/>
  <c r="AK95" i="59"/>
  <c r="AM95" i="59" s="1"/>
  <c r="AF95" i="59" s="1"/>
  <c r="S96" i="59"/>
  <c r="W96" i="59" s="1"/>
  <c r="R96" i="59" s="1"/>
  <c r="G96" i="59" s="1"/>
  <c r="I96" i="59" s="1"/>
  <c r="AQ61" i="48"/>
  <c r="AS62" i="48" s="1"/>
  <c r="AO61" i="48"/>
  <c r="AK107" i="68"/>
  <c r="AL107" i="68" s="1"/>
  <c r="AE107" i="68" s="1"/>
  <c r="AC106" i="68"/>
  <c r="W108" i="68"/>
  <c r="S108" i="68"/>
  <c r="V108" i="68" s="1"/>
  <c r="Y64" i="51"/>
  <c r="Z64" i="51" s="1"/>
  <c r="AA64" i="51" s="1"/>
  <c r="J64" i="51" s="1"/>
  <c r="L64" i="51" s="1"/>
  <c r="Y65" i="50"/>
  <c r="AG65" i="50" s="1"/>
  <c r="AH65" i="50" s="1"/>
  <c r="AI70" i="26"/>
  <c r="AL70" i="26" s="1"/>
  <c r="AN62" i="48"/>
  <c r="AP62" i="48" s="1"/>
  <c r="B62" i="48"/>
  <c r="AL62" i="48"/>
  <c r="AM62" i="48" s="1"/>
  <c r="AM107" i="68"/>
  <c r="AF107" i="68" s="1"/>
  <c r="Y68" i="3"/>
  <c r="Z68" i="3" s="1"/>
  <c r="AA68" i="3" s="1"/>
  <c r="J68" i="3" s="1"/>
  <c r="AR100" i="47"/>
  <c r="AT101" i="47" s="1"/>
  <c r="AP100" i="47"/>
  <c r="AL94" i="59"/>
  <c r="AE94" i="59" s="1"/>
  <c r="V95" i="59"/>
  <c r="Q95" i="59" s="1"/>
  <c r="V59" i="48"/>
  <c r="Q59" i="48" s="1"/>
  <c r="F59" i="48" s="1"/>
  <c r="H59" i="48" s="1"/>
  <c r="B62" i="1"/>
  <c r="AN62" i="1"/>
  <c r="AP62" i="1" s="1"/>
  <c r="AL62" i="1"/>
  <c r="AM62" i="1" s="1"/>
  <c r="AK58" i="48"/>
  <c r="AD58" i="48" s="1"/>
  <c r="K61" i="41"/>
  <c r="L61" i="41" s="1"/>
  <c r="G61" i="41"/>
  <c r="Y67" i="39"/>
  <c r="Y67" i="1"/>
  <c r="AG67" i="1" s="1"/>
  <c r="AH67" i="1" s="1"/>
  <c r="W107" i="68"/>
  <c r="R107" i="68" s="1"/>
  <c r="G107" i="68" s="1"/>
  <c r="I107" i="68" s="1"/>
  <c r="Z63" i="51"/>
  <c r="AA63" i="51" s="1"/>
  <c r="J63" i="51" s="1"/>
  <c r="L63" i="51" s="1"/>
  <c r="Y66" i="52"/>
  <c r="AG66" i="52" s="1"/>
  <c r="AH66" i="52" s="1"/>
  <c r="AG64" i="50"/>
  <c r="AH64" i="50" s="1"/>
  <c r="B62" i="3"/>
  <c r="AN62" i="3"/>
  <c r="AP62" i="3" s="1"/>
  <c r="AL62" i="3"/>
  <c r="AM62" i="3" s="1"/>
  <c r="AM94" i="59"/>
  <c r="AF94" i="59" s="1"/>
  <c r="AO61" i="1"/>
  <c r="AQ61" i="1"/>
  <c r="AS62" i="1" s="1"/>
  <c r="Y63" i="41"/>
  <c r="Z63" i="41" s="1"/>
  <c r="AA63" i="41" s="1"/>
  <c r="S71" i="26"/>
  <c r="AJ71" i="26" s="1"/>
  <c r="AK71" i="26" s="1"/>
  <c r="K71" i="26" s="1"/>
  <c r="Y100" i="47"/>
  <c r="AH100" i="47" s="1"/>
  <c r="AI100" i="47" s="1"/>
  <c r="AJ58" i="48"/>
  <c r="AC58" i="48" s="1"/>
  <c r="Y70" i="48"/>
  <c r="Z70" i="48" s="1"/>
  <c r="AA70" i="48" s="1"/>
  <c r="J70" i="48" s="1"/>
  <c r="L70" i="48" s="1"/>
  <c r="AM106" i="68"/>
  <c r="AF106" i="68" s="1"/>
  <c r="AL64" i="41"/>
  <c r="AM64" i="41" s="1"/>
  <c r="AN64" i="41"/>
  <c r="AP64" i="41" s="1"/>
  <c r="B64" i="41"/>
  <c r="B62" i="51"/>
  <c r="AL62" i="51"/>
  <c r="AM62" i="51" s="1"/>
  <c r="AN62" i="51"/>
  <c r="AP62" i="51" s="1"/>
  <c r="AM101" i="47"/>
  <c r="AN101" i="47" s="1"/>
  <c r="B101" i="47"/>
  <c r="AO101" i="47"/>
  <c r="AQ101" i="47" s="1"/>
  <c r="AN55" i="26"/>
  <c r="AE54" i="26"/>
  <c r="R56" i="26"/>
  <c r="V56" i="26" s="1"/>
  <c r="AY55" i="26"/>
  <c r="W55" i="26"/>
  <c r="Q55" i="26" s="1"/>
  <c r="F55" i="26" s="1"/>
  <c r="V55" i="26"/>
  <c r="AA71" i="26"/>
  <c r="AI71" i="26" s="1"/>
  <c r="AL71" i="26" s="1"/>
  <c r="H61" i="41"/>
  <c r="AO61" i="3"/>
  <c r="AQ61" i="3"/>
  <c r="AS62" i="3" s="1"/>
  <c r="W95" i="59"/>
  <c r="R95" i="59" s="1"/>
  <c r="G95" i="59" s="1"/>
  <c r="I95" i="59" s="1"/>
  <c r="AI59" i="48"/>
  <c r="AJ59" i="48" s="1"/>
  <c r="AC59" i="48" s="1"/>
  <c r="AB58" i="48"/>
  <c r="R60" i="48"/>
  <c r="L54" i="61"/>
  <c r="AB61" i="41"/>
  <c r="AI62" i="41"/>
  <c r="AJ62" i="41" s="1"/>
  <c r="AC62" i="41" s="1"/>
  <c r="R63" i="41"/>
  <c r="U62" i="41"/>
  <c r="P62" i="41" s="1"/>
  <c r="AQ63" i="41"/>
  <c r="AS64" i="41" s="1"/>
  <c r="AO63" i="41"/>
  <c r="AO61" i="51"/>
  <c r="AQ61" i="51"/>
  <c r="AS62" i="51" s="1"/>
  <c r="AK60" i="1" l="1"/>
  <c r="AD60" i="1" s="1"/>
  <c r="R62" i="1"/>
  <c r="V62" i="1" s="1"/>
  <c r="U61" i="1"/>
  <c r="Q61" i="1" s="1"/>
  <c r="F61" i="1" s="1"/>
  <c r="H61" i="1" s="1"/>
  <c r="AI61" i="1"/>
  <c r="AJ61" i="1" s="1"/>
  <c r="AC61" i="1" s="1"/>
  <c r="AB60" i="1"/>
  <c r="R61" i="49"/>
  <c r="V61" i="49" s="1"/>
  <c r="Q61" i="49" s="1"/>
  <c r="AS98" i="59"/>
  <c r="AU99" i="59" s="1"/>
  <c r="AQ98" i="59"/>
  <c r="G104" i="67"/>
  <c r="I104" i="67" s="1"/>
  <c r="AS107" i="67"/>
  <c r="AU108" i="67" s="1"/>
  <c r="AQ107" i="67"/>
  <c r="V105" i="67"/>
  <c r="S106" i="67"/>
  <c r="V106" i="67" s="1"/>
  <c r="Q106" i="67" s="1"/>
  <c r="AN108" i="67"/>
  <c r="AO108" i="67" s="1"/>
  <c r="B108" i="67"/>
  <c r="AP108" i="67"/>
  <c r="AR108" i="67" s="1"/>
  <c r="AM104" i="67"/>
  <c r="AF104" i="67" s="1"/>
  <c r="AO60" i="39"/>
  <c r="AQ60" i="39"/>
  <c r="AS61" i="39" s="1"/>
  <c r="B61" i="39"/>
  <c r="AL61" i="39"/>
  <c r="AM61" i="39" s="1"/>
  <c r="AN61" i="39"/>
  <c r="AP61" i="39" s="1"/>
  <c r="U59" i="3"/>
  <c r="P59" i="3" s="1"/>
  <c r="R60" i="3"/>
  <c r="AB58" i="3"/>
  <c r="AI59" i="3"/>
  <c r="V59" i="3"/>
  <c r="Q59" i="3" s="1"/>
  <c r="F59" i="3" s="1"/>
  <c r="AK58" i="3"/>
  <c r="AD58" i="3" s="1"/>
  <c r="G58" i="3" s="1"/>
  <c r="H58" i="3" s="1"/>
  <c r="AJ58" i="3"/>
  <c r="AC58" i="3" s="1"/>
  <c r="AJ59" i="49"/>
  <c r="AC59" i="49" s="1"/>
  <c r="AK59" i="49"/>
  <c r="AD59" i="49" s="1"/>
  <c r="U60" i="49"/>
  <c r="AI60" i="49"/>
  <c r="AB59" i="49"/>
  <c r="V60" i="49"/>
  <c r="Q60" i="49" s="1"/>
  <c r="F60" i="49" s="1"/>
  <c r="AK58" i="50"/>
  <c r="AD58" i="50" s="1"/>
  <c r="AJ58" i="50"/>
  <c r="AC58" i="50" s="1"/>
  <c r="U59" i="50"/>
  <c r="P59" i="50" s="1"/>
  <c r="AB58" i="50"/>
  <c r="V59" i="50"/>
  <c r="Q59" i="50" s="1"/>
  <c r="F59" i="50" s="1"/>
  <c r="H59" i="50" s="1"/>
  <c r="AI59" i="50"/>
  <c r="R60" i="50"/>
  <c r="AK94" i="47"/>
  <c r="AD94" i="47" s="1"/>
  <c r="AK59" i="52"/>
  <c r="AD59" i="52" s="1"/>
  <c r="AS67" i="26"/>
  <c r="AU67" i="26" s="1"/>
  <c r="B67" i="26"/>
  <c r="AQ67" i="26"/>
  <c r="AR67" i="26" s="1"/>
  <c r="AQ60" i="52"/>
  <c r="AS61" i="52" s="1"/>
  <c r="AO60" i="52"/>
  <c r="U60" i="52"/>
  <c r="P60" i="52" s="1"/>
  <c r="AI60" i="52"/>
  <c r="R61" i="52"/>
  <c r="AB59" i="52"/>
  <c r="AL61" i="52"/>
  <c r="AM61" i="52" s="1"/>
  <c r="B61" i="52"/>
  <c r="AN61" i="52"/>
  <c r="AP61" i="52" s="1"/>
  <c r="AV66" i="26"/>
  <c r="AX67" i="26" s="1"/>
  <c r="AT66" i="26"/>
  <c r="V60" i="52"/>
  <c r="Q60" i="52" s="1"/>
  <c r="F60" i="52" s="1"/>
  <c r="H60" i="52" s="1"/>
  <c r="AK61" i="1"/>
  <c r="AD61" i="1" s="1"/>
  <c r="AG64" i="51"/>
  <c r="AH64" i="51" s="1"/>
  <c r="AK105" i="67"/>
  <c r="W105" i="67"/>
  <c r="AC104" i="67"/>
  <c r="Z65" i="50"/>
  <c r="AA65" i="50" s="1"/>
  <c r="J65" i="50" s="1"/>
  <c r="L65" i="50" s="1"/>
  <c r="AJ59" i="51"/>
  <c r="AC59" i="51" s="1"/>
  <c r="AL95" i="59"/>
  <c r="AE95" i="59" s="1"/>
  <c r="AO62" i="50"/>
  <c r="AQ62" i="50"/>
  <c r="AS63" i="50" s="1"/>
  <c r="U60" i="51"/>
  <c r="P60" i="51" s="1"/>
  <c r="R61" i="51"/>
  <c r="AI60" i="51"/>
  <c r="V60" i="51"/>
  <c r="Q60" i="51" s="1"/>
  <c r="F60" i="51" s="1"/>
  <c r="H60" i="51" s="1"/>
  <c r="AB59" i="51"/>
  <c r="AI60" i="39"/>
  <c r="AJ60" i="39" s="1"/>
  <c r="AC60" i="39" s="1"/>
  <c r="AB59" i="39"/>
  <c r="R61" i="39"/>
  <c r="V61" i="39" s="1"/>
  <c r="Q61" i="39" s="1"/>
  <c r="F61" i="39" s="1"/>
  <c r="AB94" i="47"/>
  <c r="R96" i="47"/>
  <c r="AJ95" i="47"/>
  <c r="AK95" i="47" s="1"/>
  <c r="AD95" i="47" s="1"/>
  <c r="AK59" i="39"/>
  <c r="AD59" i="39" s="1"/>
  <c r="G59" i="39" s="1"/>
  <c r="H59" i="39" s="1"/>
  <c r="V60" i="39"/>
  <c r="Q60" i="39" s="1"/>
  <c r="F60" i="39" s="1"/>
  <c r="U60" i="39"/>
  <c r="P60" i="39" s="1"/>
  <c r="V95" i="47"/>
  <c r="Q95" i="47" s="1"/>
  <c r="F95" i="47" s="1"/>
  <c r="H95" i="47" s="1"/>
  <c r="AL63" i="50"/>
  <c r="AM63" i="50" s="1"/>
  <c r="B63" i="50"/>
  <c r="AN63" i="50"/>
  <c r="AP63" i="50" s="1"/>
  <c r="U56" i="26"/>
  <c r="P56" i="26"/>
  <c r="AB62" i="41"/>
  <c r="R64" i="41"/>
  <c r="U64" i="41" s="1"/>
  <c r="P64" i="41" s="1"/>
  <c r="AI63" i="41"/>
  <c r="AJ63" i="41" s="1"/>
  <c r="AC63" i="41" s="1"/>
  <c r="D55" i="61"/>
  <c r="C55" i="61" s="1"/>
  <c r="E55" i="61" s="1"/>
  <c r="T71" i="26"/>
  <c r="AP55" i="26"/>
  <c r="AG55" i="26" s="1"/>
  <c r="G55" i="26" s="1"/>
  <c r="AO55" i="26"/>
  <c r="AF55" i="26" s="1"/>
  <c r="AQ64" i="41"/>
  <c r="AS65" i="41" s="1"/>
  <c r="AO64" i="41"/>
  <c r="AG70" i="48"/>
  <c r="AH70" i="48" s="1"/>
  <c r="AG63" i="41"/>
  <c r="AH63" i="41" s="1"/>
  <c r="Y67" i="52"/>
  <c r="Y68" i="39"/>
  <c r="Z68" i="39" s="1"/>
  <c r="AA68" i="39" s="1"/>
  <c r="J68" i="39" s="1"/>
  <c r="Y66" i="50"/>
  <c r="AK108" i="68"/>
  <c r="AC107" i="68"/>
  <c r="AC108" i="68"/>
  <c r="AI60" i="48"/>
  <c r="AJ60" i="48" s="1"/>
  <c r="AC60" i="48" s="1"/>
  <c r="AB59" i="48"/>
  <c r="R61" i="48"/>
  <c r="V61" i="48" s="1"/>
  <c r="Q61" i="48" s="1"/>
  <c r="F61" i="48" s="1"/>
  <c r="H61" i="48" s="1"/>
  <c r="AK63" i="41"/>
  <c r="AD63" i="41" s="1"/>
  <c r="U60" i="48"/>
  <c r="P60" i="48" s="1"/>
  <c r="P55" i="26"/>
  <c r="U55" i="26"/>
  <c r="AO62" i="51"/>
  <c r="AQ62" i="51"/>
  <c r="AS63" i="51" s="1"/>
  <c r="AK62" i="41"/>
  <c r="AD62" i="41" s="1"/>
  <c r="Y101" i="47"/>
  <c r="Z101" i="47" s="1"/>
  <c r="AA101" i="47" s="1"/>
  <c r="J101" i="47" s="1"/>
  <c r="L101" i="47" s="1"/>
  <c r="S72" i="26"/>
  <c r="X72" i="26" s="1"/>
  <c r="Y72" i="26" s="1"/>
  <c r="J72" i="26" s="1"/>
  <c r="AQ62" i="3"/>
  <c r="AS63" i="3" s="1"/>
  <c r="AO62" i="3"/>
  <c r="Y68" i="1"/>
  <c r="AG68" i="1" s="1"/>
  <c r="AH68" i="1" s="1"/>
  <c r="Z67" i="39"/>
  <c r="AA67" i="39" s="1"/>
  <c r="J67" i="39" s="1"/>
  <c r="AO62" i="1"/>
  <c r="AQ62" i="1"/>
  <c r="AS63" i="1" s="1"/>
  <c r="Y69" i="3"/>
  <c r="Z69" i="3" s="1"/>
  <c r="AA69" i="3" s="1"/>
  <c r="J69" i="3" s="1"/>
  <c r="AO62" i="48"/>
  <c r="AQ62" i="48"/>
  <c r="AS63" i="48" s="1"/>
  <c r="Q108" i="68"/>
  <c r="V133" i="68"/>
  <c r="AK59" i="48"/>
  <c r="AD59" i="48" s="1"/>
  <c r="AC95" i="59"/>
  <c r="AK96" i="59"/>
  <c r="AL96" i="59" s="1"/>
  <c r="AE96" i="59" s="1"/>
  <c r="S97" i="59"/>
  <c r="AA72" i="26"/>
  <c r="T72" i="26" s="1"/>
  <c r="AO102" i="47"/>
  <c r="AQ102" i="47" s="1"/>
  <c r="B102" i="47"/>
  <c r="AM102" i="47"/>
  <c r="AN102" i="47" s="1"/>
  <c r="B63" i="51"/>
  <c r="AL63" i="51"/>
  <c r="AM63" i="51" s="1"/>
  <c r="AN63" i="51"/>
  <c r="AP63" i="51" s="1"/>
  <c r="B65" i="41"/>
  <c r="AN65" i="41"/>
  <c r="AP65" i="41" s="1"/>
  <c r="AL65" i="41"/>
  <c r="AM65" i="41" s="1"/>
  <c r="Y64" i="41"/>
  <c r="Z64" i="41" s="1"/>
  <c r="AA64" i="41" s="1"/>
  <c r="AN63" i="48"/>
  <c r="AP63" i="48" s="1"/>
  <c r="AL63" i="48"/>
  <c r="AM63" i="48" s="1"/>
  <c r="B63" i="48"/>
  <c r="R108" i="68"/>
  <c r="G108" i="68" s="1"/>
  <c r="W133" i="68"/>
  <c r="V96" i="59"/>
  <c r="Q96" i="59" s="1"/>
  <c r="AY56" i="26"/>
  <c r="AE55" i="26"/>
  <c r="R57" i="26"/>
  <c r="V57" i="26" s="1"/>
  <c r="AN56" i="26"/>
  <c r="Y71" i="48"/>
  <c r="Z71" i="48" s="1"/>
  <c r="AA71" i="48" s="1"/>
  <c r="J71" i="48" s="1"/>
  <c r="L71" i="48" s="1"/>
  <c r="V63" i="41"/>
  <c r="Q63" i="41" s="1"/>
  <c r="U63" i="41"/>
  <c r="P63" i="41" s="1"/>
  <c r="V60" i="48"/>
  <c r="Q60" i="48" s="1"/>
  <c r="F60" i="48" s="1"/>
  <c r="H60" i="48" s="1"/>
  <c r="AB71" i="26"/>
  <c r="AC71" i="26" s="1"/>
  <c r="W56" i="26"/>
  <c r="Q56" i="26" s="1"/>
  <c r="F56" i="26" s="1"/>
  <c r="AP101" i="47"/>
  <c r="AR101" i="47"/>
  <c r="AT102" i="47" s="1"/>
  <c r="Z100" i="47"/>
  <c r="AA100" i="47" s="1"/>
  <c r="J100" i="47" s="1"/>
  <c r="L100" i="47" s="1"/>
  <c r="X71" i="26"/>
  <c r="Y71" i="26" s="1"/>
  <c r="J71" i="26" s="1"/>
  <c r="L71" i="26" s="1"/>
  <c r="AL63" i="3"/>
  <c r="AM63" i="3" s="1"/>
  <c r="AN63" i="3"/>
  <c r="AP63" i="3" s="1"/>
  <c r="B63" i="3"/>
  <c r="Z66" i="52"/>
  <c r="AA66" i="52" s="1"/>
  <c r="J66" i="52" s="1"/>
  <c r="L66" i="52" s="1"/>
  <c r="Z67" i="1"/>
  <c r="AA67" i="1" s="1"/>
  <c r="J67" i="1" s="1"/>
  <c r="L67" i="1" s="1"/>
  <c r="AG67" i="39"/>
  <c r="AH67" i="39" s="1"/>
  <c r="K67" i="39" s="1"/>
  <c r="AN63" i="1"/>
  <c r="AP63" i="1" s="1"/>
  <c r="B63" i="1"/>
  <c r="AL63" i="1"/>
  <c r="AM63" i="1" s="1"/>
  <c r="AG68" i="3"/>
  <c r="AH68" i="3" s="1"/>
  <c r="K68" i="3" s="1"/>
  <c r="L68" i="3" s="1"/>
  <c r="Y65" i="51"/>
  <c r="Z65" i="51" s="1"/>
  <c r="AA65" i="51" s="1"/>
  <c r="J65" i="51" s="1"/>
  <c r="L65" i="51" s="1"/>
  <c r="V64" i="41" l="1"/>
  <c r="Q64" i="41" s="1"/>
  <c r="P61" i="1"/>
  <c r="AI62" i="1"/>
  <c r="AK62" i="1" s="1"/>
  <c r="AD62" i="1" s="1"/>
  <c r="AB61" i="1"/>
  <c r="R63" i="1"/>
  <c r="V63" i="1" s="1"/>
  <c r="U62" i="1"/>
  <c r="P62" i="1" s="1"/>
  <c r="R86" i="49"/>
  <c r="AB60" i="49"/>
  <c r="U61" i="49"/>
  <c r="P61" i="49" s="1"/>
  <c r="S98" i="59"/>
  <c r="V98" i="59" s="1"/>
  <c r="Q98" i="59" s="1"/>
  <c r="AI61" i="49"/>
  <c r="AI86" i="49" s="1"/>
  <c r="AB61" i="49"/>
  <c r="AP109" i="67"/>
  <c r="AR109" i="67" s="1"/>
  <c r="AN109" i="67"/>
  <c r="AO109" i="67" s="1"/>
  <c r="B109" i="67"/>
  <c r="AS108" i="67"/>
  <c r="AU109" i="67" s="1"/>
  <c r="AQ108" i="67"/>
  <c r="AK106" i="67"/>
  <c r="S107" i="67"/>
  <c r="V107" i="67" s="1"/>
  <c r="AC105" i="67"/>
  <c r="W106" i="67"/>
  <c r="R106" i="67" s="1"/>
  <c r="AN62" i="39"/>
  <c r="AP62" i="39" s="1"/>
  <c r="B62" i="39"/>
  <c r="AL62" i="39"/>
  <c r="AM62" i="39" s="1"/>
  <c r="AO61" i="39"/>
  <c r="AQ61" i="39"/>
  <c r="AS62" i="39" s="1"/>
  <c r="Q86" i="49"/>
  <c r="AK59" i="3"/>
  <c r="AD59" i="3" s="1"/>
  <c r="G59" i="3" s="1"/>
  <c r="H59" i="3" s="1"/>
  <c r="AJ59" i="3"/>
  <c r="AC59" i="3" s="1"/>
  <c r="V60" i="3"/>
  <c r="Q60" i="3" s="1"/>
  <c r="F60" i="3" s="1"/>
  <c r="AB59" i="3"/>
  <c r="U60" i="3"/>
  <c r="P60" i="3" s="1"/>
  <c r="AI60" i="3"/>
  <c r="R61" i="3"/>
  <c r="P60" i="49"/>
  <c r="AK60" i="49"/>
  <c r="AJ60" i="49"/>
  <c r="V86" i="49"/>
  <c r="U60" i="50"/>
  <c r="P60" i="50" s="1"/>
  <c r="AB59" i="50"/>
  <c r="V60" i="50"/>
  <c r="Q60" i="50" s="1"/>
  <c r="F60" i="50" s="1"/>
  <c r="H60" i="50" s="1"/>
  <c r="AI60" i="50"/>
  <c r="AJ60" i="50" s="1"/>
  <c r="AC60" i="50" s="1"/>
  <c r="R61" i="50"/>
  <c r="AK59" i="50"/>
  <c r="AD59" i="50" s="1"/>
  <c r="AJ59" i="50"/>
  <c r="AC59" i="50" s="1"/>
  <c r="AI72" i="26"/>
  <c r="AL72" i="26" s="1"/>
  <c r="AB72" i="26"/>
  <c r="AC72" i="26" s="1"/>
  <c r="AM96" i="59"/>
  <c r="AF96" i="59" s="1"/>
  <c r="V61" i="52"/>
  <c r="Q61" i="52" s="1"/>
  <c r="F61" i="52" s="1"/>
  <c r="H61" i="52" s="1"/>
  <c r="U61" i="52"/>
  <c r="P61" i="52" s="1"/>
  <c r="AI61" i="52"/>
  <c r="AJ61" i="52" s="1"/>
  <c r="AC61" i="52" s="1"/>
  <c r="R62" i="52"/>
  <c r="AB60" i="52"/>
  <c r="AN62" i="52"/>
  <c r="AP62" i="52" s="1"/>
  <c r="B62" i="52"/>
  <c r="AL62" i="52"/>
  <c r="AM62" i="52" s="1"/>
  <c r="AJ60" i="52"/>
  <c r="AC60" i="52" s="1"/>
  <c r="AK60" i="52"/>
  <c r="AD60" i="52" s="1"/>
  <c r="AT67" i="26"/>
  <c r="AV67" i="26"/>
  <c r="AX68" i="26" s="1"/>
  <c r="AK60" i="48"/>
  <c r="AD60" i="48" s="1"/>
  <c r="AQ61" i="52"/>
  <c r="AS62" i="52" s="1"/>
  <c r="AO61" i="52"/>
  <c r="AQ68" i="26"/>
  <c r="AR68" i="26" s="1"/>
  <c r="B68" i="26"/>
  <c r="AS68" i="26"/>
  <c r="AU68" i="26" s="1"/>
  <c r="U61" i="39"/>
  <c r="P61" i="39" s="1"/>
  <c r="AL105" i="67"/>
  <c r="AM105" i="67"/>
  <c r="R105" i="67"/>
  <c r="Q105" i="67"/>
  <c r="AQ63" i="50"/>
  <c r="AS64" i="50" s="1"/>
  <c r="AO63" i="50"/>
  <c r="U96" i="47"/>
  <c r="P96" i="47" s="1"/>
  <c r="AJ96" i="47"/>
  <c r="AL96" i="47" s="1"/>
  <c r="AE96" i="47" s="1"/>
  <c r="R97" i="47"/>
  <c r="V97" i="47" s="1"/>
  <c r="Q97" i="47" s="1"/>
  <c r="F97" i="47" s="1"/>
  <c r="H97" i="47" s="1"/>
  <c r="AB95" i="47"/>
  <c r="W57" i="26"/>
  <c r="Q57" i="26" s="1"/>
  <c r="F57" i="26" s="1"/>
  <c r="U61" i="48"/>
  <c r="P61" i="48" s="1"/>
  <c r="AG71" i="48"/>
  <c r="AH71" i="48" s="1"/>
  <c r="V96" i="47"/>
  <c r="Q96" i="47" s="1"/>
  <c r="F96" i="47" s="1"/>
  <c r="H96" i="47" s="1"/>
  <c r="AJ60" i="51"/>
  <c r="AC60" i="51" s="1"/>
  <c r="AK60" i="51"/>
  <c r="AD60" i="51" s="1"/>
  <c r="AG65" i="51"/>
  <c r="AH65" i="51" s="1"/>
  <c r="AN64" i="50"/>
  <c r="AP64" i="50" s="1"/>
  <c r="B64" i="50"/>
  <c r="AL64" i="50"/>
  <c r="AM64" i="50" s="1"/>
  <c r="AL95" i="47"/>
  <c r="AE95" i="47" s="1"/>
  <c r="AI61" i="39"/>
  <c r="AJ61" i="39" s="1"/>
  <c r="AC61" i="39" s="1"/>
  <c r="AB60" i="39"/>
  <c r="R62" i="39"/>
  <c r="V61" i="51"/>
  <c r="Q61" i="51" s="1"/>
  <c r="F61" i="51" s="1"/>
  <c r="H61" i="51" s="1"/>
  <c r="AI61" i="51"/>
  <c r="U61" i="51"/>
  <c r="P61" i="51" s="1"/>
  <c r="AB60" i="51"/>
  <c r="R62" i="51"/>
  <c r="AK60" i="39"/>
  <c r="AD60" i="39" s="1"/>
  <c r="G60" i="39" s="1"/>
  <c r="H60" i="39" s="1"/>
  <c r="Y66" i="51"/>
  <c r="Z66" i="51" s="1"/>
  <c r="AA66" i="51" s="1"/>
  <c r="J66" i="51" s="1"/>
  <c r="L66" i="51" s="1"/>
  <c r="F63" i="41"/>
  <c r="J63" i="41"/>
  <c r="AN64" i="48"/>
  <c r="AP64" i="48" s="1"/>
  <c r="AL64" i="48"/>
  <c r="AM64" i="48" s="1"/>
  <c r="B64" i="48"/>
  <c r="AQ65" i="41"/>
  <c r="AS66" i="41" s="1"/>
  <c r="AO65" i="41"/>
  <c r="AO63" i="51"/>
  <c r="AQ63" i="51"/>
  <c r="AS64" i="51" s="1"/>
  <c r="AP102" i="47"/>
  <c r="AR102" i="47"/>
  <c r="AT103" i="47" s="1"/>
  <c r="AC96" i="59"/>
  <c r="AK97" i="59"/>
  <c r="W97" i="59"/>
  <c r="V97" i="59"/>
  <c r="Y70" i="3"/>
  <c r="AG70" i="3" s="1"/>
  <c r="AH70" i="3" s="1"/>
  <c r="K70" i="3" s="1"/>
  <c r="L67" i="39"/>
  <c r="S73" i="26"/>
  <c r="AJ73" i="26" s="1"/>
  <c r="AK73" i="26" s="1"/>
  <c r="K73" i="26" s="1"/>
  <c r="K62" i="41"/>
  <c r="L62" i="41" s="1"/>
  <c r="G62" i="41"/>
  <c r="H62" i="41" s="1"/>
  <c r="Y67" i="50"/>
  <c r="AG67" i="50" s="1"/>
  <c r="AH67" i="50" s="1"/>
  <c r="Y68" i="52"/>
  <c r="AG68" i="52" s="1"/>
  <c r="AH68" i="52" s="1"/>
  <c r="H60" i="49"/>
  <c r="F61" i="49"/>
  <c r="F62" i="49" s="1"/>
  <c r="H62" i="49" s="1"/>
  <c r="AP56" i="26"/>
  <c r="AG56" i="26" s="1"/>
  <c r="G56" i="26" s="1"/>
  <c r="H56" i="26" s="1"/>
  <c r="AO63" i="3"/>
  <c r="AQ63" i="3"/>
  <c r="AS64" i="3" s="1"/>
  <c r="AQ63" i="1"/>
  <c r="AS64" i="1" s="1"/>
  <c r="AO63" i="1"/>
  <c r="AN64" i="1"/>
  <c r="AP64" i="1" s="1"/>
  <c r="AL64" i="1"/>
  <c r="AM64" i="1" s="1"/>
  <c r="B64" i="1"/>
  <c r="AL64" i="3"/>
  <c r="AM64" i="3" s="1"/>
  <c r="AN64" i="3"/>
  <c r="AP64" i="3" s="1"/>
  <c r="B64" i="3"/>
  <c r="Y72" i="48"/>
  <c r="AN57" i="26"/>
  <c r="AY57" i="26"/>
  <c r="AE56" i="26"/>
  <c r="R58" i="26"/>
  <c r="W58" i="26" s="1"/>
  <c r="Q58" i="26" s="1"/>
  <c r="F58" i="26" s="1"/>
  <c r="AO63" i="48"/>
  <c r="AQ63" i="48"/>
  <c r="AS64" i="48" s="1"/>
  <c r="AG64" i="41"/>
  <c r="AH64" i="41" s="1"/>
  <c r="AN64" i="51"/>
  <c r="AP64" i="51" s="1"/>
  <c r="AL64" i="51"/>
  <c r="AM64" i="51" s="1"/>
  <c r="B64" i="51"/>
  <c r="AO103" i="47"/>
  <c r="AQ103" i="47" s="1"/>
  <c r="AM103" i="47"/>
  <c r="AN103" i="47" s="1"/>
  <c r="B103" i="47"/>
  <c r="Z68" i="1"/>
  <c r="AA68" i="1" s="1"/>
  <c r="J68" i="1" s="1"/>
  <c r="L68" i="1" s="1"/>
  <c r="AH101" i="47"/>
  <c r="AI101" i="47" s="1"/>
  <c r="AC133" i="68"/>
  <c r="AG66" i="50"/>
  <c r="AH66" i="50" s="1"/>
  <c r="AG68" i="39"/>
  <c r="AH68" i="39" s="1"/>
  <c r="K68" i="39" s="1"/>
  <c r="L68" i="39" s="1"/>
  <c r="AG67" i="52"/>
  <c r="AH67" i="52" s="1"/>
  <c r="AO56" i="26"/>
  <c r="AF56" i="26" s="1"/>
  <c r="L55" i="61"/>
  <c r="AB63" i="41"/>
  <c r="AI64" i="41"/>
  <c r="AK64" i="41" s="1"/>
  <c r="AD64" i="41" s="1"/>
  <c r="R65" i="41"/>
  <c r="V65" i="41" s="1"/>
  <c r="Q65" i="41" s="1"/>
  <c r="AN66" i="41"/>
  <c r="AP66" i="41" s="1"/>
  <c r="B66" i="41"/>
  <c r="AL66" i="41"/>
  <c r="AM66" i="41" s="1"/>
  <c r="AA73" i="26"/>
  <c r="AB73" i="26" s="1"/>
  <c r="AC73" i="26" s="1"/>
  <c r="AG69" i="3"/>
  <c r="AH69" i="3" s="1"/>
  <c r="K69" i="3" s="1"/>
  <c r="L69" i="3" s="1"/>
  <c r="AJ72" i="26"/>
  <c r="AK72" i="26" s="1"/>
  <c r="K72" i="26" s="1"/>
  <c r="L72" i="26" s="1"/>
  <c r="K63" i="41"/>
  <c r="G63" i="41"/>
  <c r="AI61" i="48"/>
  <c r="AB60" i="48"/>
  <c r="R62" i="48"/>
  <c r="U62" i="48" s="1"/>
  <c r="P62" i="48" s="1"/>
  <c r="Z66" i="50"/>
  <c r="AA66" i="50" s="1"/>
  <c r="J66" i="50" s="1"/>
  <c r="L66" i="50" s="1"/>
  <c r="Z67" i="52"/>
  <c r="AA67" i="52" s="1"/>
  <c r="J67" i="52" s="1"/>
  <c r="L67" i="52" s="1"/>
  <c r="F64" i="41"/>
  <c r="J64" i="41"/>
  <c r="U57" i="26"/>
  <c r="P57" i="26"/>
  <c r="I108" i="68"/>
  <c r="G109" i="68"/>
  <c r="Y65" i="41"/>
  <c r="Z65" i="41" s="1"/>
  <c r="AA65" i="41" s="1"/>
  <c r="Y69" i="1"/>
  <c r="Z69" i="1" s="1"/>
  <c r="AA69" i="1" s="1"/>
  <c r="J69" i="1" s="1"/>
  <c r="L69" i="1" s="1"/>
  <c r="Y102" i="47"/>
  <c r="Z102" i="47" s="1"/>
  <c r="AA102" i="47" s="1"/>
  <c r="J102" i="47" s="1"/>
  <c r="L102" i="47" s="1"/>
  <c r="AM108" i="68"/>
  <c r="AL108" i="68"/>
  <c r="AK133" i="68"/>
  <c r="Y69" i="39"/>
  <c r="H55" i="26"/>
  <c r="R64" i="1" l="1"/>
  <c r="U64" i="1" s="1"/>
  <c r="P64" i="1" s="1"/>
  <c r="AI63" i="1"/>
  <c r="AK63" i="1" s="1"/>
  <c r="AD63" i="1" s="1"/>
  <c r="AB62" i="1"/>
  <c r="U63" i="1"/>
  <c r="P63" i="1" s="1"/>
  <c r="AJ62" i="1"/>
  <c r="AC62" i="1" s="1"/>
  <c r="Q62" i="1"/>
  <c r="F62" i="1" s="1"/>
  <c r="H62" i="1" s="1"/>
  <c r="AB86" i="49"/>
  <c r="P86" i="49"/>
  <c r="U86" i="49"/>
  <c r="AC97" i="59"/>
  <c r="AJ61" i="49"/>
  <c r="AC61" i="49" s="1"/>
  <c r="AK61" i="49"/>
  <c r="AD61" i="49" s="1"/>
  <c r="AK98" i="59"/>
  <c r="AK123" i="59" s="1"/>
  <c r="AC98" i="59"/>
  <c r="Z72" i="48"/>
  <c r="AA72" i="48" s="1"/>
  <c r="J72" i="48" s="1"/>
  <c r="L72" i="48" s="1"/>
  <c r="L21" i="48" s="1"/>
  <c r="W98" i="59"/>
  <c r="R98" i="59" s="1"/>
  <c r="Q107" i="67"/>
  <c r="W107" i="67"/>
  <c r="AL106" i="67"/>
  <c r="AE106" i="67" s="1"/>
  <c r="AQ109" i="67"/>
  <c r="AS109" i="67"/>
  <c r="AU110" i="67" s="1"/>
  <c r="S108" i="67"/>
  <c r="AK107" i="67"/>
  <c r="AL107" i="67" s="1"/>
  <c r="AC106" i="67"/>
  <c r="AP110" i="67"/>
  <c r="AR110" i="67" s="1"/>
  <c r="AN110" i="67"/>
  <c r="AO110" i="67" s="1"/>
  <c r="B110" i="67"/>
  <c r="AM106" i="67"/>
  <c r="AF106" i="67" s="1"/>
  <c r="G105" i="67"/>
  <c r="I105" i="67" s="1"/>
  <c r="AQ62" i="39"/>
  <c r="AS63" i="39" s="1"/>
  <c r="AO62" i="39"/>
  <c r="B63" i="39"/>
  <c r="AN63" i="39"/>
  <c r="AP63" i="39" s="1"/>
  <c r="AL63" i="39"/>
  <c r="AM63" i="39" s="1"/>
  <c r="V61" i="3"/>
  <c r="Q61" i="3" s="1"/>
  <c r="F61" i="3" s="1"/>
  <c r="AB60" i="3"/>
  <c r="AI61" i="3"/>
  <c r="R62" i="3"/>
  <c r="U61" i="3"/>
  <c r="P61" i="3" s="1"/>
  <c r="AK60" i="3"/>
  <c r="AD60" i="3" s="1"/>
  <c r="G60" i="3" s="1"/>
  <c r="H60" i="3" s="1"/>
  <c r="AJ60" i="3"/>
  <c r="AC60" i="3" s="1"/>
  <c r="AD60" i="49"/>
  <c r="AC60" i="49"/>
  <c r="V61" i="50"/>
  <c r="Q61" i="50" s="1"/>
  <c r="F61" i="50" s="1"/>
  <c r="H61" i="50" s="1"/>
  <c r="AI61" i="50"/>
  <c r="R62" i="50"/>
  <c r="U61" i="50"/>
  <c r="P61" i="50" s="1"/>
  <c r="AB60" i="50"/>
  <c r="AK60" i="50"/>
  <c r="AD60" i="50" s="1"/>
  <c r="AK96" i="47"/>
  <c r="AD96" i="47" s="1"/>
  <c r="V62" i="48"/>
  <c r="Q62" i="48" s="1"/>
  <c r="F62" i="48" s="1"/>
  <c r="H62" i="48" s="1"/>
  <c r="Z68" i="52"/>
  <c r="AA68" i="52" s="1"/>
  <c r="J68" i="52" s="1"/>
  <c r="L68" i="52" s="1"/>
  <c r="V58" i="26"/>
  <c r="U58" i="26" s="1"/>
  <c r="Z67" i="50"/>
  <c r="AA67" i="50" s="1"/>
  <c r="J67" i="50" s="1"/>
  <c r="L67" i="50" s="1"/>
  <c r="AL63" i="52"/>
  <c r="AM63" i="52" s="1"/>
  <c r="AN63" i="52"/>
  <c r="AP63" i="52" s="1"/>
  <c r="B63" i="52"/>
  <c r="AK61" i="52"/>
  <c r="AD61" i="52" s="1"/>
  <c r="AS69" i="26"/>
  <c r="AU69" i="26" s="1"/>
  <c r="AQ69" i="26"/>
  <c r="AR69" i="26" s="1"/>
  <c r="B69" i="26"/>
  <c r="AT68" i="26"/>
  <c r="AV68" i="26"/>
  <c r="AX69" i="26" s="1"/>
  <c r="AO62" i="52"/>
  <c r="AQ62" i="52"/>
  <c r="AS63" i="52" s="1"/>
  <c r="U62" i="52"/>
  <c r="P62" i="52" s="1"/>
  <c r="AB61" i="52"/>
  <c r="V62" i="52"/>
  <c r="Q62" i="52" s="1"/>
  <c r="F62" i="52" s="1"/>
  <c r="H62" i="52" s="1"/>
  <c r="AI62" i="52"/>
  <c r="AJ62" i="52" s="1"/>
  <c r="AC62" i="52" s="1"/>
  <c r="R63" i="52"/>
  <c r="AG66" i="51"/>
  <c r="AH66" i="51" s="1"/>
  <c r="AF105" i="67"/>
  <c r="AK61" i="39"/>
  <c r="AD61" i="39" s="1"/>
  <c r="G61" i="39" s="1"/>
  <c r="H61" i="39" s="1"/>
  <c r="X73" i="26"/>
  <c r="Y73" i="26" s="1"/>
  <c r="J73" i="26" s="1"/>
  <c r="L73" i="26" s="1"/>
  <c r="AE105" i="67"/>
  <c r="R63" i="51"/>
  <c r="U63" i="51" s="1"/>
  <c r="P63" i="51" s="1"/>
  <c r="U62" i="51"/>
  <c r="P62" i="51" s="1"/>
  <c r="AI62" i="51"/>
  <c r="AK62" i="51" s="1"/>
  <c r="AD62" i="51" s="1"/>
  <c r="AB61" i="51"/>
  <c r="U62" i="39"/>
  <c r="P62" i="39" s="1"/>
  <c r="AB61" i="39"/>
  <c r="AI62" i="39"/>
  <c r="AK62" i="39" s="1"/>
  <c r="AD62" i="39" s="1"/>
  <c r="G62" i="39" s="1"/>
  <c r="R63" i="39"/>
  <c r="U63" i="39" s="1"/>
  <c r="P63" i="39" s="1"/>
  <c r="AI73" i="26"/>
  <c r="AL73" i="26" s="1"/>
  <c r="AO64" i="50"/>
  <c r="AQ64" i="50"/>
  <c r="AS65" i="50" s="1"/>
  <c r="R98" i="47"/>
  <c r="V98" i="47" s="1"/>
  <c r="Q98" i="47" s="1"/>
  <c r="F98" i="47" s="1"/>
  <c r="H98" i="47" s="1"/>
  <c r="AB96" i="47"/>
  <c r="AJ97" i="47"/>
  <c r="AL97" i="47" s="1"/>
  <c r="AE97" i="47" s="1"/>
  <c r="T73" i="26"/>
  <c r="V62" i="51"/>
  <c r="Q62" i="51" s="1"/>
  <c r="F62" i="51" s="1"/>
  <c r="H62" i="51" s="1"/>
  <c r="AJ61" i="51"/>
  <c r="AC61" i="51" s="1"/>
  <c r="AK61" i="51"/>
  <c r="AD61" i="51" s="1"/>
  <c r="V62" i="39"/>
  <c r="Q62" i="39" s="1"/>
  <c r="F62" i="39" s="1"/>
  <c r="AN65" i="50"/>
  <c r="AP65" i="50" s="1"/>
  <c r="B65" i="50"/>
  <c r="AL65" i="50"/>
  <c r="AM65" i="50" s="1"/>
  <c r="U97" i="47"/>
  <c r="P97" i="47" s="1"/>
  <c r="K64" i="41"/>
  <c r="G64" i="41"/>
  <c r="J65" i="41"/>
  <c r="F65" i="41"/>
  <c r="L64" i="41"/>
  <c r="D56" i="61"/>
  <c r="C56" i="61" s="1"/>
  <c r="E56" i="61" s="1"/>
  <c r="Y73" i="48"/>
  <c r="AG72" i="48"/>
  <c r="AH72" i="48" s="1"/>
  <c r="L63" i="41"/>
  <c r="Y67" i="51"/>
  <c r="AG67" i="51" s="1"/>
  <c r="AH67" i="51" s="1"/>
  <c r="Y66" i="41"/>
  <c r="Z66" i="41" s="1"/>
  <c r="AA66" i="41" s="1"/>
  <c r="AG69" i="1"/>
  <c r="AH69" i="1" s="1"/>
  <c r="H64" i="41"/>
  <c r="AJ61" i="48"/>
  <c r="AC61" i="48" s="1"/>
  <c r="AI62" i="48"/>
  <c r="AK62" i="48" s="1"/>
  <c r="AD62" i="48" s="1"/>
  <c r="AB61" i="48"/>
  <c r="R63" i="48"/>
  <c r="V63" i="48" s="1"/>
  <c r="Q63" i="48" s="1"/>
  <c r="F63" i="48" s="1"/>
  <c r="H63" i="48" s="1"/>
  <c r="AA74" i="26"/>
  <c r="T74" i="26" s="1"/>
  <c r="U65" i="41"/>
  <c r="P65" i="41" s="1"/>
  <c r="AL65" i="51"/>
  <c r="AM65" i="51" s="1"/>
  <c r="AN65" i="51"/>
  <c r="AP65" i="51" s="1"/>
  <c r="B65" i="51"/>
  <c r="AE57" i="26"/>
  <c r="AN58" i="26"/>
  <c r="AP58" i="26" s="1"/>
  <c r="AG58" i="26" s="1"/>
  <c r="G58" i="26" s="1"/>
  <c r="H58" i="26" s="1"/>
  <c r="R59" i="26"/>
  <c r="W59" i="26" s="1"/>
  <c r="Q59" i="26" s="1"/>
  <c r="F59" i="26" s="1"/>
  <c r="AY58" i="26"/>
  <c r="AO64" i="3"/>
  <c r="AQ64" i="3"/>
  <c r="AS65" i="3" s="1"/>
  <c r="AJ64" i="41"/>
  <c r="AC64" i="41" s="1"/>
  <c r="Y69" i="52"/>
  <c r="Z69" i="52" s="1"/>
  <c r="AA69" i="52" s="1"/>
  <c r="J69" i="52" s="1"/>
  <c r="L69" i="52" s="1"/>
  <c r="Y68" i="50"/>
  <c r="Z68" i="50" s="1"/>
  <c r="AA68" i="50" s="1"/>
  <c r="J68" i="50" s="1"/>
  <c r="L68" i="50" s="1"/>
  <c r="Z70" i="3"/>
  <c r="AA70" i="3" s="1"/>
  <c r="J70" i="3" s="1"/>
  <c r="L70" i="3" s="1"/>
  <c r="Q97" i="59"/>
  <c r="V123" i="59"/>
  <c r="H63" i="41"/>
  <c r="Y70" i="39"/>
  <c r="AG70" i="39" s="1"/>
  <c r="AH70" i="39" s="1"/>
  <c r="K70" i="39" s="1"/>
  <c r="Y103" i="47"/>
  <c r="Z103" i="47" s="1"/>
  <c r="AA103" i="47" s="1"/>
  <c r="J103" i="47" s="1"/>
  <c r="L103" i="47" s="1"/>
  <c r="G69" i="68"/>
  <c r="I109" i="68"/>
  <c r="I69" i="68" s="1"/>
  <c r="I133" i="68" s="1"/>
  <c r="Z69" i="39"/>
  <c r="AA69" i="39" s="1"/>
  <c r="J69" i="39" s="1"/>
  <c r="AG69" i="39"/>
  <c r="AH69" i="39" s="1"/>
  <c r="K69" i="39" s="1"/>
  <c r="AE108" i="68"/>
  <c r="AE133" i="68" s="1"/>
  <c r="AL133" i="68"/>
  <c r="AH102" i="47"/>
  <c r="AI102" i="47" s="1"/>
  <c r="AG65" i="41"/>
  <c r="AH65" i="41" s="1"/>
  <c r="AK61" i="48"/>
  <c r="AD61" i="48" s="1"/>
  <c r="AO66" i="41"/>
  <c r="AQ66" i="41"/>
  <c r="AS67" i="41" s="1"/>
  <c r="AO104" i="47"/>
  <c r="AQ104" i="47" s="1"/>
  <c r="B104" i="47"/>
  <c r="AM104" i="47"/>
  <c r="AN104" i="47" s="1"/>
  <c r="AO64" i="51"/>
  <c r="AQ64" i="51"/>
  <c r="AS65" i="51" s="1"/>
  <c r="AL65" i="1"/>
  <c r="AM65" i="1" s="1"/>
  <c r="B65" i="1"/>
  <c r="AN65" i="1"/>
  <c r="AP65" i="1" s="1"/>
  <c r="S74" i="26"/>
  <c r="X74" i="26" s="1"/>
  <c r="Y74" i="26" s="1"/>
  <c r="J74" i="26" s="1"/>
  <c r="R97" i="59"/>
  <c r="G97" i="59" s="1"/>
  <c r="AL65" i="48"/>
  <c r="AM65" i="48" s="1"/>
  <c r="B65" i="48"/>
  <c r="AN65" i="48"/>
  <c r="AP65" i="48" s="1"/>
  <c r="AO57" i="26"/>
  <c r="AF57" i="26" s="1"/>
  <c r="AF108" i="68"/>
  <c r="AF133" i="68" s="1"/>
  <c r="AM133" i="68"/>
  <c r="Y70" i="1"/>
  <c r="Z70" i="1" s="1"/>
  <c r="AA70" i="1" s="1"/>
  <c r="J70" i="1" s="1"/>
  <c r="L70" i="1" s="1"/>
  <c r="AN67" i="41"/>
  <c r="AP67" i="41" s="1"/>
  <c r="B67" i="41"/>
  <c r="AL67" i="41"/>
  <c r="AM67" i="41" s="1"/>
  <c r="R66" i="41"/>
  <c r="AB64" i="41"/>
  <c r="AI65" i="41"/>
  <c r="AP103" i="47"/>
  <c r="AR103" i="47"/>
  <c r="AT104" i="47" s="1"/>
  <c r="B65" i="3"/>
  <c r="AL65" i="3"/>
  <c r="AM65" i="3" s="1"/>
  <c r="AN65" i="3"/>
  <c r="AP65" i="3" s="1"/>
  <c r="AO64" i="1"/>
  <c r="AQ64" i="1"/>
  <c r="AS65" i="1" s="1"/>
  <c r="H61" i="49"/>
  <c r="H22" i="49" s="1"/>
  <c r="F22" i="49"/>
  <c r="H10" i="49" s="1"/>
  <c r="Y71" i="3"/>
  <c r="AG71" i="3" s="1"/>
  <c r="AH71" i="3" s="1"/>
  <c r="K71" i="3" s="1"/>
  <c r="AM97" i="59"/>
  <c r="AL97" i="59"/>
  <c r="AQ64" i="48"/>
  <c r="AS65" i="48" s="1"/>
  <c r="AO64" i="48"/>
  <c r="AP57" i="26"/>
  <c r="AG57" i="26" s="1"/>
  <c r="G57" i="26" s="1"/>
  <c r="H57" i="26" s="1"/>
  <c r="AG66" i="41" l="1"/>
  <c r="AH66" i="41" s="1"/>
  <c r="AC86" i="49"/>
  <c r="AI64" i="1"/>
  <c r="AJ64" i="1" s="1"/>
  <c r="AC64" i="1" s="1"/>
  <c r="V64" i="1"/>
  <c r="R65" i="1"/>
  <c r="V65" i="1" s="1"/>
  <c r="AJ63" i="1"/>
  <c r="AC63" i="1" s="1"/>
  <c r="AB63" i="1"/>
  <c r="Q64" i="1"/>
  <c r="F64" i="1" s="1"/>
  <c r="H64" i="1" s="1"/>
  <c r="Q63" i="1"/>
  <c r="F63" i="1" s="1"/>
  <c r="H63" i="1" s="1"/>
  <c r="G106" i="67"/>
  <c r="I106" i="67" s="1"/>
  <c r="AC123" i="59"/>
  <c r="AK86" i="49"/>
  <c r="AD86" i="49"/>
  <c r="W123" i="59"/>
  <c r="AJ86" i="49"/>
  <c r="Y74" i="48"/>
  <c r="Y75" i="48" s="1"/>
  <c r="Y76" i="48" s="1"/>
  <c r="Y77" i="48" s="1"/>
  <c r="Y78" i="48" s="1"/>
  <c r="Y79" i="48" s="1"/>
  <c r="Y80" i="48" s="1"/>
  <c r="Y81" i="48" s="1"/>
  <c r="Y82" i="48" s="1"/>
  <c r="Y83" i="48" s="1"/>
  <c r="Y84" i="48" s="1"/>
  <c r="Y85" i="48" s="1"/>
  <c r="AG73" i="48"/>
  <c r="AH73" i="48" s="1"/>
  <c r="AM98" i="59"/>
  <c r="AF98" i="59" s="1"/>
  <c r="AL98" i="59"/>
  <c r="AE98" i="59" s="1"/>
  <c r="Z73" i="48"/>
  <c r="AA73" i="48" s="1"/>
  <c r="J73" i="48" s="1"/>
  <c r="L73" i="48" s="1"/>
  <c r="AM107" i="67"/>
  <c r="AF107" i="67" s="1"/>
  <c r="AE107" i="67"/>
  <c r="AQ110" i="67"/>
  <c r="AS110" i="67"/>
  <c r="AU111" i="67" s="1"/>
  <c r="AK108" i="67"/>
  <c r="AL108" i="67" s="1"/>
  <c r="AE108" i="67" s="1"/>
  <c r="S109" i="67"/>
  <c r="W109" i="67" s="1"/>
  <c r="R109" i="67" s="1"/>
  <c r="AC107" i="67"/>
  <c r="W108" i="67"/>
  <c r="R108" i="67" s="1"/>
  <c r="V108" i="67"/>
  <c r="R107" i="67"/>
  <c r="AN111" i="67"/>
  <c r="AO111" i="67" s="1"/>
  <c r="AP111" i="67"/>
  <c r="AR111" i="67" s="1"/>
  <c r="B111" i="67"/>
  <c r="AL64" i="39"/>
  <c r="AM64" i="39" s="1"/>
  <c r="B64" i="39"/>
  <c r="AN64" i="39"/>
  <c r="AP64" i="39" s="1"/>
  <c r="AO63" i="39"/>
  <c r="AQ63" i="39"/>
  <c r="AS64" i="39" s="1"/>
  <c r="AB61" i="3"/>
  <c r="V62" i="3"/>
  <c r="Q62" i="3" s="1"/>
  <c r="F62" i="3" s="1"/>
  <c r="R63" i="3"/>
  <c r="AI62" i="3"/>
  <c r="U62" i="3"/>
  <c r="P62" i="3" s="1"/>
  <c r="AJ61" i="3"/>
  <c r="AC61" i="3" s="1"/>
  <c r="AK61" i="3"/>
  <c r="AD61" i="3" s="1"/>
  <c r="G61" i="3" s="1"/>
  <c r="H61" i="3" s="1"/>
  <c r="R63" i="50"/>
  <c r="AI62" i="50"/>
  <c r="AJ62" i="50" s="1"/>
  <c r="AC62" i="50" s="1"/>
  <c r="AB61" i="50"/>
  <c r="V62" i="50"/>
  <c r="Q62" i="50" s="1"/>
  <c r="F62" i="50" s="1"/>
  <c r="H62" i="50" s="1"/>
  <c r="U62" i="50"/>
  <c r="P62" i="50" s="1"/>
  <c r="AJ61" i="50"/>
  <c r="AC61" i="50" s="1"/>
  <c r="AK61" i="50"/>
  <c r="AD61" i="50" s="1"/>
  <c r="AO58" i="26"/>
  <c r="AF58" i="26" s="1"/>
  <c r="V63" i="51"/>
  <c r="Q63" i="51" s="1"/>
  <c r="F63" i="51" s="1"/>
  <c r="H63" i="51" s="1"/>
  <c r="AK62" i="52"/>
  <c r="AD62" i="52" s="1"/>
  <c r="P58" i="26"/>
  <c r="AT69" i="26"/>
  <c r="AV69" i="26"/>
  <c r="AX70" i="26" s="1"/>
  <c r="AL64" i="52"/>
  <c r="AM64" i="52" s="1"/>
  <c r="AN64" i="52"/>
  <c r="AP64" i="52" s="1"/>
  <c r="B64" i="52"/>
  <c r="V63" i="52"/>
  <c r="Q63" i="52" s="1"/>
  <c r="F63" i="52" s="1"/>
  <c r="H63" i="52" s="1"/>
  <c r="R64" i="52"/>
  <c r="U64" i="52" s="1"/>
  <c r="P64" i="52" s="1"/>
  <c r="AI63" i="52"/>
  <c r="U63" i="52"/>
  <c r="P63" i="52" s="1"/>
  <c r="AB62" i="52"/>
  <c r="AK97" i="47"/>
  <c r="AD97" i="47" s="1"/>
  <c r="B70" i="26"/>
  <c r="AQ70" i="26"/>
  <c r="AR70" i="26" s="1"/>
  <c r="AS70" i="26"/>
  <c r="AU70" i="26" s="1"/>
  <c r="AQ63" i="52"/>
  <c r="AS64" i="52" s="1"/>
  <c r="AO63" i="52"/>
  <c r="AG70" i="1"/>
  <c r="AH70" i="1" s="1"/>
  <c r="AG68" i="50"/>
  <c r="AH68" i="50" s="1"/>
  <c r="AJ62" i="39"/>
  <c r="AC62" i="39" s="1"/>
  <c r="AG69" i="52"/>
  <c r="AH69" i="52" s="1"/>
  <c r="Z67" i="51"/>
  <c r="AA67" i="51" s="1"/>
  <c r="J67" i="51" s="1"/>
  <c r="L67" i="51" s="1"/>
  <c r="Z70" i="39"/>
  <c r="AA70" i="39" s="1"/>
  <c r="J70" i="39" s="1"/>
  <c r="L70" i="39" s="1"/>
  <c r="U63" i="48"/>
  <c r="P63" i="48" s="1"/>
  <c r="H62" i="39"/>
  <c r="U98" i="47"/>
  <c r="P98" i="47" s="1"/>
  <c r="AJ98" i="47"/>
  <c r="AL98" i="47" s="1"/>
  <c r="AE98" i="47" s="1"/>
  <c r="AB97" i="47"/>
  <c r="R99" i="47"/>
  <c r="U99" i="47" s="1"/>
  <c r="P99" i="47" s="1"/>
  <c r="AO65" i="50"/>
  <c r="AQ65" i="50"/>
  <c r="AS66" i="50" s="1"/>
  <c r="AJ62" i="51"/>
  <c r="AC62" i="51" s="1"/>
  <c r="AI63" i="39"/>
  <c r="R64" i="39"/>
  <c r="V64" i="39" s="1"/>
  <c r="Q64" i="39" s="1"/>
  <c r="F64" i="39" s="1"/>
  <c r="AB62" i="39"/>
  <c r="Z71" i="3"/>
  <c r="AA71" i="3" s="1"/>
  <c r="J71" i="3" s="1"/>
  <c r="L71" i="3" s="1"/>
  <c r="AN66" i="50"/>
  <c r="AP66" i="50" s="1"/>
  <c r="B66" i="50"/>
  <c r="AL66" i="50"/>
  <c r="AM66" i="50" s="1"/>
  <c r="V63" i="39"/>
  <c r="Q63" i="39" s="1"/>
  <c r="F63" i="39" s="1"/>
  <c r="AB62" i="51"/>
  <c r="AI63" i="51"/>
  <c r="AK63" i="51" s="1"/>
  <c r="AD63" i="51" s="1"/>
  <c r="R64" i="51"/>
  <c r="AI66" i="41"/>
  <c r="R67" i="41"/>
  <c r="V67" i="41" s="1"/>
  <c r="Q67" i="41" s="1"/>
  <c r="AB65" i="41"/>
  <c r="AO65" i="3"/>
  <c r="AQ65" i="3"/>
  <c r="AS66" i="3" s="1"/>
  <c r="AJ66" i="41"/>
  <c r="AC66" i="41" s="1"/>
  <c r="AK66" i="41"/>
  <c r="AD66" i="41" s="1"/>
  <c r="AO67" i="41"/>
  <c r="AQ67" i="41"/>
  <c r="AS68" i="41" s="1"/>
  <c r="AJ74" i="26"/>
  <c r="AK74" i="26" s="1"/>
  <c r="K74" i="26" s="1"/>
  <c r="L74" i="26" s="1"/>
  <c r="AL66" i="1"/>
  <c r="AM66" i="1" s="1"/>
  <c r="AN66" i="1"/>
  <c r="AP66" i="1" s="1"/>
  <c r="B66" i="1"/>
  <c r="Y70" i="52"/>
  <c r="AO65" i="51"/>
  <c r="AQ65" i="51"/>
  <c r="AS66" i="51" s="1"/>
  <c r="AJ65" i="41"/>
  <c r="AC65" i="41" s="1"/>
  <c r="Y72" i="3"/>
  <c r="U66" i="41"/>
  <c r="P66" i="41" s="1"/>
  <c r="AO65" i="1"/>
  <c r="AQ65" i="1"/>
  <c r="AS66" i="1" s="1"/>
  <c r="L69" i="39"/>
  <c r="Y104" i="47"/>
  <c r="Z104" i="47" s="1"/>
  <c r="AA104" i="47" s="1"/>
  <c r="J104" i="47" s="1"/>
  <c r="L104" i="47" s="1"/>
  <c r="Y71" i="39"/>
  <c r="Z71" i="39" s="1"/>
  <c r="AA71" i="39" s="1"/>
  <c r="J71" i="39" s="1"/>
  <c r="R60" i="26"/>
  <c r="V60" i="26" s="1"/>
  <c r="AE58" i="26"/>
  <c r="AN59" i="26"/>
  <c r="AO59" i="26" s="1"/>
  <c r="AF59" i="26" s="1"/>
  <c r="AY59" i="26"/>
  <c r="AA75" i="26"/>
  <c r="T75" i="26" s="1"/>
  <c r="V66" i="41"/>
  <c r="Q66" i="41" s="1"/>
  <c r="AQ65" i="48"/>
  <c r="AS66" i="48" s="1"/>
  <c r="AO65" i="48"/>
  <c r="AE97" i="59"/>
  <c r="AL66" i="3"/>
  <c r="AM66" i="3" s="1"/>
  <c r="AN66" i="3"/>
  <c r="AP66" i="3" s="1"/>
  <c r="B66" i="3"/>
  <c r="AL68" i="41"/>
  <c r="AM68" i="41" s="1"/>
  <c r="AN68" i="41"/>
  <c r="AP68" i="41" s="1"/>
  <c r="B68" i="41"/>
  <c r="Y71" i="1"/>
  <c r="AF97" i="59"/>
  <c r="AL66" i="48"/>
  <c r="AM66" i="48" s="1"/>
  <c r="AN66" i="48"/>
  <c r="AP66" i="48" s="1"/>
  <c r="B66" i="48"/>
  <c r="I97" i="59"/>
  <c r="G98" i="59"/>
  <c r="G99" i="59" s="1"/>
  <c r="I99" i="59" s="1"/>
  <c r="AP104" i="47"/>
  <c r="AR104" i="47"/>
  <c r="AT105" i="47" s="1"/>
  <c r="AH103" i="47"/>
  <c r="AI103" i="47" s="1"/>
  <c r="Y69" i="50"/>
  <c r="Z69" i="50" s="1"/>
  <c r="AA69" i="50" s="1"/>
  <c r="J69" i="50" s="1"/>
  <c r="L69" i="50" s="1"/>
  <c r="AL66" i="51"/>
  <c r="AM66" i="51" s="1"/>
  <c r="AN66" i="51"/>
  <c r="AP66" i="51" s="1"/>
  <c r="B66" i="51"/>
  <c r="AI74" i="26"/>
  <c r="AL74" i="26" s="1"/>
  <c r="AB62" i="48"/>
  <c r="AI63" i="48"/>
  <c r="AK63" i="48" s="1"/>
  <c r="AD63" i="48" s="1"/>
  <c r="R64" i="48"/>
  <c r="U64" i="48" s="1"/>
  <c r="P64" i="48" s="1"/>
  <c r="L56" i="61"/>
  <c r="S75" i="26"/>
  <c r="AJ75" i="26" s="1"/>
  <c r="AK75" i="26" s="1"/>
  <c r="K75" i="26" s="1"/>
  <c r="AO105" i="47"/>
  <c r="AQ105" i="47" s="1"/>
  <c r="B105" i="47"/>
  <c r="AM105" i="47"/>
  <c r="AN105" i="47" s="1"/>
  <c r="I56" i="68"/>
  <c r="G133" i="68"/>
  <c r="G26" i="68" s="1"/>
  <c r="V59" i="26"/>
  <c r="AB74" i="26"/>
  <c r="AC74" i="26" s="1"/>
  <c r="AK65" i="41"/>
  <c r="AD65" i="41" s="1"/>
  <c r="Y67" i="41"/>
  <c r="AG67" i="41" s="1"/>
  <c r="AH67" i="41" s="1"/>
  <c r="AJ62" i="48"/>
  <c r="AC62" i="48" s="1"/>
  <c r="Y68" i="51"/>
  <c r="AG68" i="51" s="1"/>
  <c r="AH68" i="51" s="1"/>
  <c r="AK64" i="1" l="1"/>
  <c r="AD64" i="1" s="1"/>
  <c r="AI65" i="1"/>
  <c r="AK65" i="1" s="1"/>
  <c r="AD65" i="1" s="1"/>
  <c r="AB64" i="1"/>
  <c r="U65" i="1"/>
  <c r="Q65" i="1" s="1"/>
  <c r="F65" i="1" s="1"/>
  <c r="H65" i="1" s="1"/>
  <c r="R66" i="1"/>
  <c r="U66" i="1" s="1"/>
  <c r="Q66" i="1" s="1"/>
  <c r="F66" i="1" s="1"/>
  <c r="H66" i="1" s="1"/>
  <c r="G107" i="67"/>
  <c r="I107" i="67" s="1"/>
  <c r="AE123" i="59"/>
  <c r="AL123" i="59"/>
  <c r="AM123" i="59"/>
  <c r="AF123" i="59"/>
  <c r="Z72" i="3"/>
  <c r="AA72" i="3" s="1"/>
  <c r="J72" i="3" s="1"/>
  <c r="AM108" i="67"/>
  <c r="AF108" i="67" s="1"/>
  <c r="AS111" i="67"/>
  <c r="AU112" i="67" s="1"/>
  <c r="AQ111" i="67"/>
  <c r="Q108" i="67"/>
  <c r="G108" i="67" s="1"/>
  <c r="AK109" i="67"/>
  <c r="AL109" i="67" s="1"/>
  <c r="AE109" i="67" s="1"/>
  <c r="S110" i="67"/>
  <c r="V110" i="67" s="1"/>
  <c r="Q110" i="67" s="1"/>
  <c r="G110" i="67" s="1"/>
  <c r="I110" i="67" s="1"/>
  <c r="AC108" i="67"/>
  <c r="AP112" i="67"/>
  <c r="AR112" i="67" s="1"/>
  <c r="AN112" i="67"/>
  <c r="AO112" i="67" s="1"/>
  <c r="B112" i="67"/>
  <c r="V109" i="67"/>
  <c r="Q109" i="67" s="1"/>
  <c r="G109" i="67" s="1"/>
  <c r="I109" i="67" s="1"/>
  <c r="AN65" i="39"/>
  <c r="AP65" i="39" s="1"/>
  <c r="AL65" i="39"/>
  <c r="AM65" i="39" s="1"/>
  <c r="B65" i="39"/>
  <c r="AQ64" i="39"/>
  <c r="AS65" i="39" s="1"/>
  <c r="AO64" i="39"/>
  <c r="AK62" i="3"/>
  <c r="AD62" i="3" s="1"/>
  <c r="G62" i="3" s="1"/>
  <c r="H62" i="3" s="1"/>
  <c r="AJ62" i="3"/>
  <c r="AC62" i="3" s="1"/>
  <c r="V63" i="3"/>
  <c r="Q63" i="3" s="1"/>
  <c r="F63" i="3" s="1"/>
  <c r="R64" i="3"/>
  <c r="AI63" i="3"/>
  <c r="AB62" i="3"/>
  <c r="U63" i="3"/>
  <c r="P63" i="3" s="1"/>
  <c r="AK62" i="50"/>
  <c r="AD62" i="50" s="1"/>
  <c r="V63" i="50"/>
  <c r="Q63" i="50" s="1"/>
  <c r="F63" i="50" s="1"/>
  <c r="H63" i="50" s="1"/>
  <c r="AB62" i="50"/>
  <c r="AI63" i="50"/>
  <c r="R64" i="50"/>
  <c r="U63" i="50"/>
  <c r="P63" i="50" s="1"/>
  <c r="AK98" i="47"/>
  <c r="AD98" i="47" s="1"/>
  <c r="X75" i="26"/>
  <c r="Y75" i="26" s="1"/>
  <c r="J75" i="26" s="1"/>
  <c r="L75" i="26" s="1"/>
  <c r="V64" i="48"/>
  <c r="Q64" i="48" s="1"/>
  <c r="F64" i="48" s="1"/>
  <c r="H64" i="48" s="1"/>
  <c r="V64" i="52"/>
  <c r="Q64" i="52" s="1"/>
  <c r="F64" i="52" s="1"/>
  <c r="H64" i="52" s="1"/>
  <c r="AI64" i="52"/>
  <c r="AJ64" i="52" s="1"/>
  <c r="AC64" i="52" s="1"/>
  <c r="R65" i="52"/>
  <c r="AB63" i="52"/>
  <c r="AO64" i="52"/>
  <c r="AQ64" i="52"/>
  <c r="AS65" i="52" s="1"/>
  <c r="AV70" i="26"/>
  <c r="AX71" i="26" s="1"/>
  <c r="AT70" i="26"/>
  <c r="AQ71" i="26"/>
  <c r="AR71" i="26" s="1"/>
  <c r="AS71" i="26"/>
  <c r="AU71" i="26" s="1"/>
  <c r="B71" i="26"/>
  <c r="AL65" i="52"/>
  <c r="AM65" i="52" s="1"/>
  <c r="B65" i="52"/>
  <c r="AN65" i="52"/>
  <c r="AP65" i="52" s="1"/>
  <c r="AJ63" i="52"/>
  <c r="AC63" i="52" s="1"/>
  <c r="AK63" i="52"/>
  <c r="AD63" i="52" s="1"/>
  <c r="AP59" i="26"/>
  <c r="AG59" i="26" s="1"/>
  <c r="G59" i="26" s="1"/>
  <c r="H59" i="26" s="1"/>
  <c r="AJ63" i="39"/>
  <c r="AC63" i="39" s="1"/>
  <c r="AB75" i="26"/>
  <c r="AC75" i="26" s="1"/>
  <c r="U64" i="51"/>
  <c r="P64" i="51" s="1"/>
  <c r="AB63" i="51"/>
  <c r="R65" i="51"/>
  <c r="AI64" i="51"/>
  <c r="V64" i="51"/>
  <c r="Q64" i="51" s="1"/>
  <c r="F64" i="51" s="1"/>
  <c r="H64" i="51" s="1"/>
  <c r="AQ66" i="50"/>
  <c r="AS67" i="50" s="1"/>
  <c r="AO66" i="50"/>
  <c r="AK63" i="39"/>
  <c r="AD63" i="39" s="1"/>
  <c r="G63" i="39" s="1"/>
  <c r="H63" i="39" s="1"/>
  <c r="AL67" i="50"/>
  <c r="AM67" i="50" s="1"/>
  <c r="AN67" i="50"/>
  <c r="AP67" i="50" s="1"/>
  <c r="B67" i="50"/>
  <c r="AJ63" i="51"/>
  <c r="AC63" i="51" s="1"/>
  <c r="U64" i="39"/>
  <c r="P64" i="39" s="1"/>
  <c r="AI64" i="39"/>
  <c r="AB63" i="39"/>
  <c r="R65" i="39"/>
  <c r="V99" i="47"/>
  <c r="Q99" i="47" s="1"/>
  <c r="F99" i="47" s="1"/>
  <c r="H99" i="47" s="1"/>
  <c r="AB98" i="47"/>
  <c r="AJ99" i="47"/>
  <c r="AK99" i="47" s="1"/>
  <c r="AD99" i="47" s="1"/>
  <c r="R100" i="47"/>
  <c r="V100" i="47" s="1"/>
  <c r="Q100" i="47" s="1"/>
  <c r="F100" i="47" s="1"/>
  <c r="H100" i="47" s="1"/>
  <c r="P60" i="26"/>
  <c r="U60" i="26"/>
  <c r="J67" i="41"/>
  <c r="F67" i="41"/>
  <c r="Y69" i="51"/>
  <c r="Z69" i="51" s="1"/>
  <c r="AA69" i="51" s="1"/>
  <c r="J69" i="51" s="1"/>
  <c r="L69" i="51" s="1"/>
  <c r="P59" i="26"/>
  <c r="U59" i="26"/>
  <c r="AO66" i="48"/>
  <c r="AQ66" i="48"/>
  <c r="AS67" i="48" s="1"/>
  <c r="Y72" i="1"/>
  <c r="Y73" i="1" s="1"/>
  <c r="J66" i="41"/>
  <c r="F66" i="41"/>
  <c r="AI75" i="26"/>
  <c r="AL75" i="26" s="1"/>
  <c r="AH104" i="47"/>
  <c r="AI104" i="47" s="1"/>
  <c r="Y71" i="52"/>
  <c r="AG71" i="52" s="1"/>
  <c r="AH71" i="52" s="1"/>
  <c r="K65" i="41"/>
  <c r="L65" i="41" s="1"/>
  <c r="G65" i="41"/>
  <c r="H65" i="41" s="1"/>
  <c r="AR105" i="47"/>
  <c r="AT106" i="47" s="1"/>
  <c r="AP105" i="47"/>
  <c r="D57" i="61"/>
  <c r="C57" i="61" s="1"/>
  <c r="E57" i="61" s="1"/>
  <c r="AB63" i="48"/>
  <c r="AI64" i="48"/>
  <c r="AK64" i="48" s="1"/>
  <c r="AD64" i="48" s="1"/>
  <c r="R65" i="48"/>
  <c r="U65" i="48" s="1"/>
  <c r="P65" i="48" s="1"/>
  <c r="AO66" i="51"/>
  <c r="AQ66" i="51"/>
  <c r="AS67" i="51" s="1"/>
  <c r="Y70" i="50"/>
  <c r="Z70" i="50" s="1"/>
  <c r="AA70" i="50" s="1"/>
  <c r="J70" i="50" s="1"/>
  <c r="L70" i="50" s="1"/>
  <c r="AN69" i="41"/>
  <c r="AP69" i="41" s="1"/>
  <c r="AL69" i="41"/>
  <c r="AM69" i="41" s="1"/>
  <c r="B69" i="41"/>
  <c r="AL67" i="3"/>
  <c r="AM67" i="3" s="1"/>
  <c r="B67" i="3"/>
  <c r="AN67" i="3"/>
  <c r="AP67" i="3" s="1"/>
  <c r="W60" i="26"/>
  <c r="Q60" i="26" s="1"/>
  <c r="F60" i="26" s="1"/>
  <c r="AG71" i="39"/>
  <c r="AH71" i="39" s="1"/>
  <c r="K71" i="39" s="1"/>
  <c r="L71" i="39" s="1"/>
  <c r="Z70" i="52"/>
  <c r="AA70" i="52" s="1"/>
  <c r="J70" i="52" s="1"/>
  <c r="L70" i="52" s="1"/>
  <c r="AL67" i="1"/>
  <c r="AM67" i="1" s="1"/>
  <c r="B67" i="1"/>
  <c r="AN67" i="1"/>
  <c r="AP67" i="1" s="1"/>
  <c r="Y68" i="41"/>
  <c r="Z68" i="41"/>
  <c r="AA68" i="41" s="1"/>
  <c r="AG68" i="41"/>
  <c r="AH68" i="41" s="1"/>
  <c r="Z68" i="51"/>
  <c r="AA68" i="51" s="1"/>
  <c r="J68" i="51" s="1"/>
  <c r="L68" i="51" s="1"/>
  <c r="Z67" i="41"/>
  <c r="AA67" i="41" s="1"/>
  <c r="B106" i="47"/>
  <c r="AM106" i="47"/>
  <c r="AN106" i="47" s="1"/>
  <c r="AO106" i="47"/>
  <c r="AQ106" i="47" s="1"/>
  <c r="S76" i="26"/>
  <c r="X76" i="26" s="1"/>
  <c r="Y76" i="26" s="1"/>
  <c r="J76" i="26" s="1"/>
  <c r="AG69" i="50"/>
  <c r="AH69" i="50" s="1"/>
  <c r="B67" i="48"/>
  <c r="AL67" i="48"/>
  <c r="AM67" i="48" s="1"/>
  <c r="AN67" i="48"/>
  <c r="AP67" i="48" s="1"/>
  <c r="AG71" i="1"/>
  <c r="AH71" i="1" s="1"/>
  <c r="AJ63" i="48"/>
  <c r="AC63" i="48" s="1"/>
  <c r="AA76" i="26"/>
  <c r="AB76" i="26" s="1"/>
  <c r="AC76" i="26" s="1"/>
  <c r="Y105" i="47"/>
  <c r="Z105" i="47" s="1"/>
  <c r="AA105" i="47" s="1"/>
  <c r="J105" i="47" s="1"/>
  <c r="L105" i="47" s="1"/>
  <c r="AI67" i="41"/>
  <c r="AK67" i="41" s="1"/>
  <c r="AD67" i="41" s="1"/>
  <c r="R68" i="41"/>
  <c r="U68" i="41" s="1"/>
  <c r="P68" i="41" s="1"/>
  <c r="V68" i="41"/>
  <c r="Q68" i="41" s="1"/>
  <c r="AB66" i="41"/>
  <c r="B67" i="51"/>
  <c r="AN67" i="51"/>
  <c r="AP67" i="51" s="1"/>
  <c r="AL67" i="51"/>
  <c r="AM67" i="51" s="1"/>
  <c r="G123" i="59"/>
  <c r="G59" i="59" s="1"/>
  <c r="I46" i="59" s="1"/>
  <c r="I98" i="59"/>
  <c r="Z71" i="1"/>
  <c r="AA71" i="1" s="1"/>
  <c r="J71" i="1" s="1"/>
  <c r="L71" i="1" s="1"/>
  <c r="AO68" i="41"/>
  <c r="AQ68" i="41"/>
  <c r="AS69" i="41" s="1"/>
  <c r="AO66" i="3"/>
  <c r="AQ66" i="3"/>
  <c r="AS67" i="3" s="1"/>
  <c r="AY60" i="26"/>
  <c r="R61" i="26"/>
  <c r="W61" i="26" s="1"/>
  <c r="Q61" i="26" s="1"/>
  <c r="F61" i="26" s="1"/>
  <c r="AE59" i="26"/>
  <c r="AN60" i="26"/>
  <c r="Y72" i="39"/>
  <c r="Y73" i="3"/>
  <c r="AG72" i="3"/>
  <c r="AH72" i="3" s="1"/>
  <c r="K72" i="3" s="1"/>
  <c r="AG70" i="52"/>
  <c r="AH70" i="52" s="1"/>
  <c r="AQ66" i="1"/>
  <c r="AS67" i="1" s="1"/>
  <c r="AO66" i="1"/>
  <c r="K66" i="41"/>
  <c r="G66" i="41"/>
  <c r="U67" i="41"/>
  <c r="P67" i="41" s="1"/>
  <c r="AJ65" i="1" l="1"/>
  <c r="AC65" i="1" s="1"/>
  <c r="P65" i="1"/>
  <c r="V66" i="1"/>
  <c r="R67" i="1"/>
  <c r="V67" i="1" s="1"/>
  <c r="P66" i="1"/>
  <c r="AI66" i="1"/>
  <c r="AJ66" i="1" s="1"/>
  <c r="AC66" i="1" s="1"/>
  <c r="AB65" i="1"/>
  <c r="L72" i="3"/>
  <c r="Y74" i="3"/>
  <c r="Y75" i="3" s="1"/>
  <c r="Y76" i="3" s="1"/>
  <c r="Y77" i="3" s="1"/>
  <c r="Y78" i="3" s="1"/>
  <c r="Y79" i="3" s="1"/>
  <c r="Y80" i="3" s="1"/>
  <c r="Y81" i="3" s="1"/>
  <c r="Y82" i="3" s="1"/>
  <c r="Y83" i="3" s="1"/>
  <c r="Y84" i="3" s="1"/>
  <c r="Y85" i="3" s="1"/>
  <c r="AG73" i="3"/>
  <c r="AH73" i="3" s="1"/>
  <c r="K73" i="3" s="1"/>
  <c r="Z73" i="3"/>
  <c r="AA73" i="3" s="1"/>
  <c r="J73" i="3" s="1"/>
  <c r="Z72" i="39"/>
  <c r="AA72" i="39" s="1"/>
  <c r="J72" i="39" s="1"/>
  <c r="W110" i="67"/>
  <c r="R110" i="67" s="1"/>
  <c r="AM109" i="67"/>
  <c r="AF109" i="67" s="1"/>
  <c r="AQ112" i="67"/>
  <c r="AS112" i="67"/>
  <c r="AU113" i="67" s="1"/>
  <c r="S111" i="67"/>
  <c r="V111" i="67" s="1"/>
  <c r="AK110" i="67"/>
  <c r="AM110" i="67" s="1"/>
  <c r="AF110" i="67" s="1"/>
  <c r="AC109" i="67"/>
  <c r="I108" i="67"/>
  <c r="AP113" i="67"/>
  <c r="AR113" i="67" s="1"/>
  <c r="B113" i="67"/>
  <c r="AN113" i="67"/>
  <c r="AO113" i="67" s="1"/>
  <c r="B66" i="39"/>
  <c r="AN66" i="39"/>
  <c r="AP66" i="39" s="1"/>
  <c r="AL66" i="39"/>
  <c r="AM66" i="39" s="1"/>
  <c r="AQ65" i="39"/>
  <c r="AS66" i="39" s="1"/>
  <c r="AO65" i="39"/>
  <c r="V64" i="3"/>
  <c r="Q64" i="3" s="1"/>
  <c r="F64" i="3" s="1"/>
  <c r="AB63" i="3"/>
  <c r="AI64" i="3"/>
  <c r="U64" i="3"/>
  <c r="P64" i="3" s="1"/>
  <c r="R65" i="3"/>
  <c r="AJ63" i="3"/>
  <c r="AC63" i="3" s="1"/>
  <c r="AK63" i="3"/>
  <c r="AD63" i="3" s="1"/>
  <c r="G63" i="3" s="1"/>
  <c r="H63" i="3" s="1"/>
  <c r="V64" i="50"/>
  <c r="Q64" i="50" s="1"/>
  <c r="F64" i="50" s="1"/>
  <c r="H64" i="50" s="1"/>
  <c r="AB63" i="50"/>
  <c r="AI64" i="50"/>
  <c r="U64" i="50"/>
  <c r="P64" i="50" s="1"/>
  <c r="R65" i="50"/>
  <c r="AK63" i="50"/>
  <c r="AD63" i="50" s="1"/>
  <c r="AJ63" i="50"/>
  <c r="AC63" i="50" s="1"/>
  <c r="U100" i="47"/>
  <c r="P100" i="47" s="1"/>
  <c r="AK64" i="52"/>
  <c r="AD64" i="52" s="1"/>
  <c r="AJ64" i="48"/>
  <c r="AC64" i="48" s="1"/>
  <c r="V61" i="26"/>
  <c r="U61" i="26" s="1"/>
  <c r="AJ76" i="26"/>
  <c r="AK76" i="26" s="1"/>
  <c r="K76" i="26" s="1"/>
  <c r="L76" i="26" s="1"/>
  <c r="V65" i="48"/>
  <c r="Q65" i="48" s="1"/>
  <c r="F65" i="48" s="1"/>
  <c r="H65" i="48" s="1"/>
  <c r="B72" i="26"/>
  <c r="AQ72" i="26"/>
  <c r="AR72" i="26" s="1"/>
  <c r="AS72" i="26"/>
  <c r="AU72" i="26" s="1"/>
  <c r="U65" i="52"/>
  <c r="P65" i="52" s="1"/>
  <c r="R66" i="52"/>
  <c r="V65" i="52"/>
  <c r="Q65" i="52" s="1"/>
  <c r="F65" i="52" s="1"/>
  <c r="H65" i="52" s="1"/>
  <c r="AI65" i="52"/>
  <c r="AB64" i="52"/>
  <c r="AL66" i="52"/>
  <c r="AM66" i="52" s="1"/>
  <c r="AN66" i="52"/>
  <c r="AP66" i="52" s="1"/>
  <c r="B66" i="52"/>
  <c r="AT71" i="26"/>
  <c r="AV71" i="26"/>
  <c r="AX72" i="26" s="1"/>
  <c r="AO65" i="52"/>
  <c r="AQ65" i="52"/>
  <c r="AS66" i="52" s="1"/>
  <c r="AG72" i="1"/>
  <c r="AH72" i="1" s="1"/>
  <c r="AG69" i="51"/>
  <c r="AH69" i="51" s="1"/>
  <c r="AH105" i="47"/>
  <c r="AI105" i="47" s="1"/>
  <c r="T76" i="26"/>
  <c r="Z71" i="52"/>
  <c r="AA71" i="52" s="1"/>
  <c r="J71" i="52" s="1"/>
  <c r="L71" i="52" s="1"/>
  <c r="AJ100" i="47"/>
  <c r="AK100" i="47" s="1"/>
  <c r="AD100" i="47" s="1"/>
  <c r="R101" i="47"/>
  <c r="U101" i="47" s="1"/>
  <c r="P101" i="47" s="1"/>
  <c r="AB99" i="47"/>
  <c r="B68" i="50"/>
  <c r="AL68" i="50"/>
  <c r="AM68" i="50" s="1"/>
  <c r="AN68" i="50"/>
  <c r="AP68" i="50" s="1"/>
  <c r="AI76" i="26"/>
  <c r="AL76" i="26" s="1"/>
  <c r="AG70" i="50"/>
  <c r="AH70" i="50" s="1"/>
  <c r="V65" i="39"/>
  <c r="Q65" i="39" s="1"/>
  <c r="F65" i="39" s="1"/>
  <c r="AI65" i="39"/>
  <c r="AB64" i="39"/>
  <c r="R66" i="39"/>
  <c r="V66" i="39" s="1"/>
  <c r="Q66" i="39" s="1"/>
  <c r="F66" i="39" s="1"/>
  <c r="AL99" i="47"/>
  <c r="AE99" i="47" s="1"/>
  <c r="AQ67" i="50"/>
  <c r="AS68" i="50" s="1"/>
  <c r="AO67" i="50"/>
  <c r="AJ64" i="51"/>
  <c r="AC64" i="51" s="1"/>
  <c r="AK64" i="51"/>
  <c r="AD64" i="51" s="1"/>
  <c r="AK64" i="39"/>
  <c r="AD64" i="39" s="1"/>
  <c r="G64" i="39" s="1"/>
  <c r="H64" i="39" s="1"/>
  <c r="U65" i="39"/>
  <c r="P65" i="39" s="1"/>
  <c r="U65" i="51"/>
  <c r="P65" i="51" s="1"/>
  <c r="R66" i="51"/>
  <c r="V65" i="51"/>
  <c r="Q65" i="51" s="1"/>
  <c r="F65" i="51" s="1"/>
  <c r="H65" i="51" s="1"/>
  <c r="AB64" i="51"/>
  <c r="AI65" i="51"/>
  <c r="AJ64" i="39"/>
  <c r="AC64" i="39" s="1"/>
  <c r="K67" i="41"/>
  <c r="G67" i="41"/>
  <c r="J68" i="41"/>
  <c r="F68" i="41"/>
  <c r="AQ67" i="48"/>
  <c r="AS68" i="48" s="1"/>
  <c r="AO67" i="48"/>
  <c r="AG72" i="39"/>
  <c r="AH72" i="39" s="1"/>
  <c r="K72" i="39" s="1"/>
  <c r="Y73" i="39"/>
  <c r="Z73" i="39" s="1"/>
  <c r="AA73" i="39" s="1"/>
  <c r="J73" i="39" s="1"/>
  <c r="AQ67" i="51"/>
  <c r="AS68" i="51" s="1"/>
  <c r="AO67" i="51"/>
  <c r="R69" i="41"/>
  <c r="AI68" i="41"/>
  <c r="U69" i="41"/>
  <c r="P69" i="41" s="1"/>
  <c r="AB67" i="41"/>
  <c r="V69" i="41"/>
  <c r="Q69" i="41" s="1"/>
  <c r="Y106" i="47"/>
  <c r="Z106" i="47" s="1"/>
  <c r="AA106" i="47" s="1"/>
  <c r="J106" i="47" s="1"/>
  <c r="L106" i="47" s="1"/>
  <c r="AA77" i="26"/>
  <c r="T77" i="26" s="1"/>
  <c r="AL68" i="48"/>
  <c r="AM68" i="48" s="1"/>
  <c r="B68" i="48"/>
  <c r="AN68" i="48"/>
  <c r="AP68" i="48" s="1"/>
  <c r="S77" i="26"/>
  <c r="AJ77" i="26" s="1"/>
  <c r="AK77" i="26" s="1"/>
  <c r="K77" i="26" s="1"/>
  <c r="AP106" i="47"/>
  <c r="AR106" i="47"/>
  <c r="AT107" i="47" s="1"/>
  <c r="AL68" i="3"/>
  <c r="AM68" i="3" s="1"/>
  <c r="AN68" i="3"/>
  <c r="AP68" i="3" s="1"/>
  <c r="B68" i="3"/>
  <c r="AB64" i="48"/>
  <c r="AI65" i="48"/>
  <c r="AJ65" i="48" s="1"/>
  <c r="AC65" i="48" s="1"/>
  <c r="R66" i="48"/>
  <c r="V66" i="48" s="1"/>
  <c r="Q66" i="48" s="1"/>
  <c r="F66" i="48" s="1"/>
  <c r="H66" i="48" s="1"/>
  <c r="L57" i="61"/>
  <c r="Y72" i="52"/>
  <c r="AG72" i="52" s="1"/>
  <c r="AH72" i="52" s="1"/>
  <c r="AP60" i="26"/>
  <c r="AG60" i="26" s="1"/>
  <c r="G60" i="26" s="1"/>
  <c r="H60" i="26" s="1"/>
  <c r="Z72" i="1"/>
  <c r="AA72" i="1" s="1"/>
  <c r="J72" i="1" s="1"/>
  <c r="L72" i="1" s="1"/>
  <c r="Y70" i="51"/>
  <c r="AJ68" i="41"/>
  <c r="AC68" i="41" s="1"/>
  <c r="AK68" i="41"/>
  <c r="AD68" i="41" s="1"/>
  <c r="AO107" i="47"/>
  <c r="AQ107" i="47" s="1"/>
  <c r="B107" i="47"/>
  <c r="AM107" i="47"/>
  <c r="AN107" i="47" s="1"/>
  <c r="AO67" i="3"/>
  <c r="AQ67" i="3"/>
  <c r="AS68" i="3" s="1"/>
  <c r="H66" i="41"/>
  <c r="Y74" i="1"/>
  <c r="Z74" i="1" s="1"/>
  <c r="AA74" i="1" s="1"/>
  <c r="J74" i="1" s="1"/>
  <c r="L74" i="1" s="1"/>
  <c r="AG73" i="1"/>
  <c r="AH73" i="1" s="1"/>
  <c r="Z73" i="1"/>
  <c r="AA73" i="1" s="1"/>
  <c r="J73" i="1" s="1"/>
  <c r="L73" i="1" s="1"/>
  <c r="H67" i="41"/>
  <c r="AN61" i="26"/>
  <c r="AP61" i="26" s="1"/>
  <c r="AG61" i="26" s="1"/>
  <c r="G61" i="26" s="1"/>
  <c r="H61" i="26" s="1"/>
  <c r="AE60" i="26"/>
  <c r="AY61" i="26"/>
  <c r="R62" i="26"/>
  <c r="V62" i="26" s="1"/>
  <c r="I123" i="59"/>
  <c r="I59" i="59"/>
  <c r="AL68" i="51"/>
  <c r="AM68" i="51" s="1"/>
  <c r="B68" i="51"/>
  <c r="AN68" i="51"/>
  <c r="AP68" i="51" s="1"/>
  <c r="Y69" i="41"/>
  <c r="AN68" i="1"/>
  <c r="AP68" i="1" s="1"/>
  <c r="B68" i="1"/>
  <c r="AL68" i="1"/>
  <c r="AM68" i="1" s="1"/>
  <c r="AN70" i="41"/>
  <c r="AP70" i="41" s="1"/>
  <c r="B70" i="41"/>
  <c r="AL70" i="41"/>
  <c r="AM70" i="41" s="1"/>
  <c r="Y71" i="50"/>
  <c r="Z71" i="50" s="1"/>
  <c r="AA71" i="50" s="1"/>
  <c r="J71" i="50" s="1"/>
  <c r="L71" i="50" s="1"/>
  <c r="L66" i="41"/>
  <c r="L67" i="41"/>
  <c r="AJ67" i="41"/>
  <c r="AC67" i="41" s="1"/>
  <c r="AO67" i="1"/>
  <c r="AQ67" i="1"/>
  <c r="AS68" i="1" s="1"/>
  <c r="AQ69" i="41"/>
  <c r="AS70" i="41" s="1"/>
  <c r="AO69" i="41"/>
  <c r="AO60" i="26"/>
  <c r="AF60" i="26" s="1"/>
  <c r="U67" i="1" l="1"/>
  <c r="Q67" i="1" s="1"/>
  <c r="F67" i="1" s="1"/>
  <c r="H67" i="1" s="1"/>
  <c r="R68" i="1"/>
  <c r="U68" i="1" s="1"/>
  <c r="P68" i="1" s="1"/>
  <c r="AI67" i="1"/>
  <c r="AJ67" i="1" s="1"/>
  <c r="AC67" i="1" s="1"/>
  <c r="AB66" i="1"/>
  <c r="AK66" i="1"/>
  <c r="AD66" i="1" s="1"/>
  <c r="L72" i="39"/>
  <c r="L73" i="3"/>
  <c r="Y75" i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AG74" i="1"/>
  <c r="AH74" i="1" s="1"/>
  <c r="Y74" i="39"/>
  <c r="Y75" i="39" s="1"/>
  <c r="Y76" i="39" s="1"/>
  <c r="Y77" i="39" s="1"/>
  <c r="Y78" i="39" s="1"/>
  <c r="Y79" i="39" s="1"/>
  <c r="Y80" i="39" s="1"/>
  <c r="Y81" i="39" s="1"/>
  <c r="Y82" i="39" s="1"/>
  <c r="Y83" i="39" s="1"/>
  <c r="Y84" i="39" s="1"/>
  <c r="Y85" i="39" s="1"/>
  <c r="AG73" i="39"/>
  <c r="AH73" i="39" s="1"/>
  <c r="K73" i="39" s="1"/>
  <c r="L73" i="39" s="1"/>
  <c r="AL110" i="67"/>
  <c r="AE110" i="67" s="1"/>
  <c r="Q111" i="67"/>
  <c r="G111" i="67" s="1"/>
  <c r="AN114" i="67"/>
  <c r="AO114" i="67" s="1"/>
  <c r="B114" i="67"/>
  <c r="AP114" i="67"/>
  <c r="AR114" i="67" s="1"/>
  <c r="S112" i="67"/>
  <c r="V112" i="67" s="1"/>
  <c r="AK111" i="67"/>
  <c r="AM111" i="67" s="1"/>
  <c r="AF111" i="67" s="1"/>
  <c r="AC110" i="67"/>
  <c r="W111" i="67"/>
  <c r="AS113" i="67"/>
  <c r="AU114" i="67" s="1"/>
  <c r="AQ113" i="67"/>
  <c r="AO66" i="39"/>
  <c r="AQ66" i="39"/>
  <c r="AS67" i="39" s="1"/>
  <c r="B67" i="39"/>
  <c r="AN67" i="39"/>
  <c r="AP67" i="39" s="1"/>
  <c r="AL67" i="39"/>
  <c r="AM67" i="39" s="1"/>
  <c r="AK64" i="3"/>
  <c r="AD64" i="3" s="1"/>
  <c r="G64" i="3" s="1"/>
  <c r="H64" i="3" s="1"/>
  <c r="AJ64" i="3"/>
  <c r="AC64" i="3" s="1"/>
  <c r="V65" i="3"/>
  <c r="Q65" i="3" s="1"/>
  <c r="F65" i="3" s="1"/>
  <c r="AB64" i="3"/>
  <c r="U65" i="3"/>
  <c r="P65" i="3" s="1"/>
  <c r="AI65" i="3"/>
  <c r="R66" i="3"/>
  <c r="AK64" i="50"/>
  <c r="AD64" i="50" s="1"/>
  <c r="AJ64" i="50"/>
  <c r="AC64" i="50" s="1"/>
  <c r="V65" i="50"/>
  <c r="Q65" i="50" s="1"/>
  <c r="F65" i="50" s="1"/>
  <c r="H65" i="50" s="1"/>
  <c r="AB64" i="50"/>
  <c r="U65" i="50"/>
  <c r="P65" i="50" s="1"/>
  <c r="R66" i="50"/>
  <c r="AI65" i="50"/>
  <c r="P61" i="26"/>
  <c r="Z72" i="52"/>
  <c r="AA72" i="52" s="1"/>
  <c r="J72" i="52" s="1"/>
  <c r="L72" i="52" s="1"/>
  <c r="AJ65" i="52"/>
  <c r="AC65" i="52" s="1"/>
  <c r="AK65" i="52"/>
  <c r="AD65" i="52" s="1"/>
  <c r="AO66" i="52"/>
  <c r="AQ66" i="52"/>
  <c r="AS67" i="52" s="1"/>
  <c r="AV72" i="26"/>
  <c r="AX73" i="26" s="1"/>
  <c r="AT72" i="26"/>
  <c r="AL100" i="47"/>
  <c r="AE100" i="47" s="1"/>
  <c r="V66" i="52"/>
  <c r="Q66" i="52" s="1"/>
  <c r="F66" i="52" s="1"/>
  <c r="H66" i="52" s="1"/>
  <c r="AI66" i="52"/>
  <c r="AK66" i="52" s="1"/>
  <c r="AD66" i="52" s="1"/>
  <c r="R67" i="52"/>
  <c r="U66" i="52"/>
  <c r="P66" i="52" s="1"/>
  <c r="AB65" i="52"/>
  <c r="AQ73" i="26"/>
  <c r="AR73" i="26" s="1"/>
  <c r="B73" i="26"/>
  <c r="AS73" i="26"/>
  <c r="AU73" i="26" s="1"/>
  <c r="AN67" i="52"/>
  <c r="AP67" i="52" s="1"/>
  <c r="AL67" i="52"/>
  <c r="AM67" i="52" s="1"/>
  <c r="B67" i="52"/>
  <c r="U66" i="39"/>
  <c r="P66" i="39" s="1"/>
  <c r="AG71" i="50"/>
  <c r="AH71" i="50" s="1"/>
  <c r="V66" i="51"/>
  <c r="Q66" i="51" s="1"/>
  <c r="F66" i="51" s="1"/>
  <c r="H66" i="51" s="1"/>
  <c r="AB65" i="51"/>
  <c r="R67" i="51"/>
  <c r="U67" i="51" s="1"/>
  <c r="P67" i="51" s="1"/>
  <c r="AI66" i="51"/>
  <c r="AK66" i="51" s="1"/>
  <c r="AD66" i="51" s="1"/>
  <c r="U66" i="51"/>
  <c r="P66" i="51" s="1"/>
  <c r="AK65" i="48"/>
  <c r="AD65" i="48" s="1"/>
  <c r="AJ65" i="51"/>
  <c r="AC65" i="51" s="1"/>
  <c r="AN69" i="50"/>
  <c r="AP69" i="50" s="1"/>
  <c r="B69" i="50"/>
  <c r="AL69" i="50"/>
  <c r="AM69" i="50" s="1"/>
  <c r="AJ101" i="47"/>
  <c r="AK101" i="47" s="1"/>
  <c r="AD101" i="47" s="1"/>
  <c r="R102" i="47"/>
  <c r="V102" i="47" s="1"/>
  <c r="Q102" i="47" s="1"/>
  <c r="F102" i="47" s="1"/>
  <c r="H102" i="47" s="1"/>
  <c r="AB100" i="47"/>
  <c r="AO68" i="50"/>
  <c r="AQ68" i="50"/>
  <c r="AS69" i="50" s="1"/>
  <c r="AK65" i="51"/>
  <c r="AD65" i="51" s="1"/>
  <c r="AB65" i="39"/>
  <c r="R67" i="39"/>
  <c r="AI66" i="39"/>
  <c r="AK66" i="39" s="1"/>
  <c r="AD66" i="39" s="1"/>
  <c r="G66" i="39" s="1"/>
  <c r="H66" i="39" s="1"/>
  <c r="AK65" i="39"/>
  <c r="AD65" i="39" s="1"/>
  <c r="G65" i="39" s="1"/>
  <c r="H65" i="39" s="1"/>
  <c r="V101" i="47"/>
  <c r="Q101" i="47" s="1"/>
  <c r="F101" i="47" s="1"/>
  <c r="H101" i="47" s="1"/>
  <c r="AJ65" i="39"/>
  <c r="AC65" i="39" s="1"/>
  <c r="AO70" i="41"/>
  <c r="AQ70" i="41"/>
  <c r="AS71" i="41" s="1"/>
  <c r="Z70" i="41"/>
  <c r="AA70" i="41" s="1"/>
  <c r="Y70" i="41"/>
  <c r="AL71" i="41"/>
  <c r="AM71" i="41" s="1"/>
  <c r="AN71" i="41"/>
  <c r="AP71" i="41" s="1"/>
  <c r="B71" i="41"/>
  <c r="Y71" i="51"/>
  <c r="AG71" i="51" s="1"/>
  <c r="AH71" i="51" s="1"/>
  <c r="AI66" i="48"/>
  <c r="AJ66" i="48" s="1"/>
  <c r="AC66" i="48" s="1"/>
  <c r="AB65" i="48"/>
  <c r="R67" i="48"/>
  <c r="V67" i="48" s="1"/>
  <c r="Q67" i="48" s="1"/>
  <c r="F67" i="48" s="1"/>
  <c r="H67" i="48" s="1"/>
  <c r="AO68" i="48"/>
  <c r="AQ68" i="48"/>
  <c r="AS69" i="48" s="1"/>
  <c r="AA78" i="26"/>
  <c r="AB78" i="26" s="1"/>
  <c r="AC78" i="26" s="1"/>
  <c r="AL69" i="1"/>
  <c r="AM69" i="1" s="1"/>
  <c r="B69" i="1"/>
  <c r="AN69" i="1"/>
  <c r="AP69" i="1" s="1"/>
  <c r="U62" i="26"/>
  <c r="P62" i="26"/>
  <c r="Y72" i="50"/>
  <c r="Z72" i="50" s="1"/>
  <c r="AA72" i="50" s="1"/>
  <c r="J72" i="50" s="1"/>
  <c r="L72" i="50" s="1"/>
  <c r="AG69" i="41"/>
  <c r="AH69" i="41" s="1"/>
  <c r="AN69" i="51"/>
  <c r="AP69" i="51" s="1"/>
  <c r="AL69" i="51"/>
  <c r="AM69" i="51" s="1"/>
  <c r="B69" i="51"/>
  <c r="AE61" i="26"/>
  <c r="AY62" i="26"/>
  <c r="AN62" i="26"/>
  <c r="AO62" i="26" s="1"/>
  <c r="AF62" i="26" s="1"/>
  <c r="R63" i="26"/>
  <c r="W63" i="26" s="1"/>
  <c r="Q63" i="26" s="1"/>
  <c r="F63" i="26" s="1"/>
  <c r="W62" i="26"/>
  <c r="Q62" i="26" s="1"/>
  <c r="F62" i="26" s="1"/>
  <c r="AP107" i="47"/>
  <c r="AR107" i="47"/>
  <c r="AT108" i="47" s="1"/>
  <c r="D58" i="61"/>
  <c r="C58" i="61" s="1"/>
  <c r="E58" i="61" s="1"/>
  <c r="AO68" i="3"/>
  <c r="AQ68" i="3"/>
  <c r="AS69" i="3" s="1"/>
  <c r="X77" i="26"/>
  <c r="Y77" i="26" s="1"/>
  <c r="J77" i="26" s="1"/>
  <c r="L77" i="26" s="1"/>
  <c r="AI77" i="26"/>
  <c r="AL77" i="26" s="1"/>
  <c r="AH106" i="47"/>
  <c r="AI106" i="47" s="1"/>
  <c r="AO68" i="1"/>
  <c r="AQ68" i="1"/>
  <c r="AS69" i="1" s="1"/>
  <c r="Z69" i="41"/>
  <c r="AA69" i="41" s="1"/>
  <c r="AQ68" i="51"/>
  <c r="AS69" i="51" s="1"/>
  <c r="AO68" i="51"/>
  <c r="AM108" i="47"/>
  <c r="AN108" i="47" s="1"/>
  <c r="AO108" i="47"/>
  <c r="AQ108" i="47" s="1"/>
  <c r="B108" i="47"/>
  <c r="Z70" i="51"/>
  <c r="AA70" i="51" s="1"/>
  <c r="J70" i="51" s="1"/>
  <c r="L70" i="51" s="1"/>
  <c r="Y73" i="52"/>
  <c r="Z73" i="52" s="1"/>
  <c r="AA73" i="52" s="1"/>
  <c r="J73" i="52" s="1"/>
  <c r="L73" i="52" s="1"/>
  <c r="U66" i="48"/>
  <c r="P66" i="48" s="1"/>
  <c r="AB77" i="26"/>
  <c r="AC77" i="26" s="1"/>
  <c r="F69" i="41"/>
  <c r="J69" i="41"/>
  <c r="AB68" i="41"/>
  <c r="AI69" i="41"/>
  <c r="AK69" i="41" s="1"/>
  <c r="AD69" i="41" s="1"/>
  <c r="R70" i="41"/>
  <c r="U70" i="41" s="1"/>
  <c r="P70" i="41" s="1"/>
  <c r="V70" i="41"/>
  <c r="Q70" i="41" s="1"/>
  <c r="AO61" i="26"/>
  <c r="AF61" i="26" s="1"/>
  <c r="K68" i="41"/>
  <c r="L68" i="41" s="1"/>
  <c r="G68" i="41"/>
  <c r="H68" i="41" s="1"/>
  <c r="AG70" i="51"/>
  <c r="AH70" i="51" s="1"/>
  <c r="AN69" i="3"/>
  <c r="AP69" i="3" s="1"/>
  <c r="AL69" i="3"/>
  <c r="AM69" i="3" s="1"/>
  <c r="B69" i="3"/>
  <c r="S78" i="26"/>
  <c r="X78" i="26" s="1"/>
  <c r="Y78" i="26" s="1"/>
  <c r="J78" i="26" s="1"/>
  <c r="AN69" i="48"/>
  <c r="AP69" i="48" s="1"/>
  <c r="AL69" i="48"/>
  <c r="AM69" i="48" s="1"/>
  <c r="B69" i="48"/>
  <c r="Y107" i="47"/>
  <c r="AK67" i="1" l="1"/>
  <c r="AD67" i="1" s="1"/>
  <c r="R69" i="1"/>
  <c r="V69" i="1" s="1"/>
  <c r="P67" i="1"/>
  <c r="Q68" i="1"/>
  <c r="F68" i="1" s="1"/>
  <c r="H68" i="1" s="1"/>
  <c r="AI68" i="1"/>
  <c r="AK68" i="1" s="1"/>
  <c r="AD68" i="1" s="1"/>
  <c r="AB67" i="1"/>
  <c r="V68" i="1"/>
  <c r="AL111" i="67"/>
  <c r="AE111" i="67" s="1"/>
  <c r="Q112" i="67"/>
  <c r="G112" i="67" s="1"/>
  <c r="I112" i="67" s="1"/>
  <c r="W112" i="67"/>
  <c r="R112" i="67" s="1"/>
  <c r="I111" i="67"/>
  <c r="R111" i="67"/>
  <c r="AN115" i="67"/>
  <c r="AO115" i="67" s="1"/>
  <c r="AP115" i="67"/>
  <c r="AR115" i="67" s="1"/>
  <c r="B115" i="67"/>
  <c r="S113" i="67"/>
  <c r="W113" i="67" s="1"/>
  <c r="AK112" i="67"/>
  <c r="AM112" i="67" s="1"/>
  <c r="AF112" i="67" s="1"/>
  <c r="AC111" i="67"/>
  <c r="AS114" i="67"/>
  <c r="AU115" i="67" s="1"/>
  <c r="AQ114" i="67"/>
  <c r="AN68" i="39"/>
  <c r="AP68" i="39" s="1"/>
  <c r="AL68" i="39"/>
  <c r="AM68" i="39" s="1"/>
  <c r="B68" i="39"/>
  <c r="AO67" i="39"/>
  <c r="AQ67" i="39"/>
  <c r="AS68" i="39" s="1"/>
  <c r="AI66" i="3"/>
  <c r="V66" i="3"/>
  <c r="Q66" i="3" s="1"/>
  <c r="F66" i="3" s="1"/>
  <c r="AB65" i="3"/>
  <c r="R67" i="3"/>
  <c r="U66" i="3"/>
  <c r="P66" i="3" s="1"/>
  <c r="AK65" i="3"/>
  <c r="AD65" i="3" s="1"/>
  <c r="G65" i="3" s="1"/>
  <c r="H65" i="3" s="1"/>
  <c r="AJ65" i="3"/>
  <c r="AC65" i="3" s="1"/>
  <c r="AJ65" i="50"/>
  <c r="AC65" i="50" s="1"/>
  <c r="AK65" i="50"/>
  <c r="AD65" i="50" s="1"/>
  <c r="V66" i="50"/>
  <c r="Q66" i="50" s="1"/>
  <c r="F66" i="50" s="1"/>
  <c r="H66" i="50" s="1"/>
  <c r="R67" i="50"/>
  <c r="AB65" i="50"/>
  <c r="AI66" i="50"/>
  <c r="U66" i="50"/>
  <c r="P66" i="50" s="1"/>
  <c r="AK66" i="48"/>
  <c r="AD66" i="48" s="1"/>
  <c r="V67" i="51"/>
  <c r="Q67" i="51" s="1"/>
  <c r="F67" i="51" s="1"/>
  <c r="H67" i="51" s="1"/>
  <c r="AL68" i="52"/>
  <c r="AM68" i="52" s="1"/>
  <c r="AN68" i="52"/>
  <c r="AP68" i="52" s="1"/>
  <c r="B68" i="52"/>
  <c r="AQ74" i="26"/>
  <c r="AR74" i="26" s="1"/>
  <c r="B74" i="26"/>
  <c r="AS74" i="26"/>
  <c r="AU74" i="26" s="1"/>
  <c r="V67" i="52"/>
  <c r="Q67" i="52" s="1"/>
  <c r="F67" i="52" s="1"/>
  <c r="H67" i="52" s="1"/>
  <c r="AB66" i="52"/>
  <c r="U67" i="52"/>
  <c r="P67" i="52" s="1"/>
  <c r="AI67" i="52"/>
  <c r="R68" i="52"/>
  <c r="AP62" i="26"/>
  <c r="AG62" i="26" s="1"/>
  <c r="G62" i="26" s="1"/>
  <c r="H62" i="26" s="1"/>
  <c r="Z71" i="51"/>
  <c r="AA71" i="51" s="1"/>
  <c r="J71" i="51" s="1"/>
  <c r="L71" i="51" s="1"/>
  <c r="AQ67" i="52"/>
  <c r="AS68" i="52" s="1"/>
  <c r="AO67" i="52"/>
  <c r="AT73" i="26"/>
  <c r="AV73" i="26"/>
  <c r="AX74" i="26" s="1"/>
  <c r="AJ66" i="52"/>
  <c r="AC66" i="52" s="1"/>
  <c r="AI78" i="26"/>
  <c r="AL78" i="26" s="1"/>
  <c r="AJ66" i="39"/>
  <c r="AC66" i="39" s="1"/>
  <c r="T78" i="26"/>
  <c r="AG73" i="52"/>
  <c r="AH73" i="52" s="1"/>
  <c r="V63" i="26"/>
  <c r="U63" i="26" s="1"/>
  <c r="U67" i="48"/>
  <c r="P67" i="48" s="1"/>
  <c r="AO69" i="50"/>
  <c r="AQ69" i="50"/>
  <c r="AS70" i="50" s="1"/>
  <c r="AI67" i="51"/>
  <c r="AJ67" i="51" s="1"/>
  <c r="AC67" i="51" s="1"/>
  <c r="AB66" i="51"/>
  <c r="R68" i="51"/>
  <c r="R68" i="39"/>
  <c r="AB66" i="39"/>
  <c r="AI67" i="39"/>
  <c r="AK67" i="39" s="1"/>
  <c r="AL70" i="50"/>
  <c r="AM70" i="50" s="1"/>
  <c r="AN70" i="50"/>
  <c r="AP70" i="50" s="1"/>
  <c r="B70" i="50"/>
  <c r="U102" i="47"/>
  <c r="P102" i="47" s="1"/>
  <c r="R103" i="47"/>
  <c r="AB101" i="47"/>
  <c r="AJ102" i="47"/>
  <c r="AL102" i="47" s="1"/>
  <c r="AE102" i="47" s="1"/>
  <c r="V67" i="39"/>
  <c r="U67" i="39"/>
  <c r="AL101" i="47"/>
  <c r="AE101" i="47" s="1"/>
  <c r="AJ66" i="51"/>
  <c r="AC66" i="51" s="1"/>
  <c r="K69" i="41"/>
  <c r="G69" i="41"/>
  <c r="Y108" i="47"/>
  <c r="Z108" i="47" s="1"/>
  <c r="AA108" i="47" s="1"/>
  <c r="J108" i="47" s="1"/>
  <c r="L108" i="47" s="1"/>
  <c r="B70" i="48"/>
  <c r="AL70" i="48"/>
  <c r="AM70" i="48" s="1"/>
  <c r="AN70" i="48"/>
  <c r="AP70" i="48" s="1"/>
  <c r="AJ78" i="26"/>
  <c r="AK78" i="26" s="1"/>
  <c r="K78" i="26" s="1"/>
  <c r="L78" i="26" s="1"/>
  <c r="F70" i="41"/>
  <c r="J70" i="41"/>
  <c r="L69" i="41"/>
  <c r="Z107" i="47"/>
  <c r="AA107" i="47" s="1"/>
  <c r="J107" i="47" s="1"/>
  <c r="L107" i="47" s="1"/>
  <c r="AO69" i="48"/>
  <c r="AQ69" i="48"/>
  <c r="AS70" i="48" s="1"/>
  <c r="AI70" i="41"/>
  <c r="AK70" i="41" s="1"/>
  <c r="AD70" i="41" s="1"/>
  <c r="AB69" i="41"/>
  <c r="R71" i="41"/>
  <c r="V71" i="41" s="1"/>
  <c r="Q71" i="41" s="1"/>
  <c r="H69" i="41"/>
  <c r="Y74" i="52"/>
  <c r="Z74" i="52" s="1"/>
  <c r="AA74" i="52" s="1"/>
  <c r="J74" i="52" s="1"/>
  <c r="L74" i="52" s="1"/>
  <c r="AO109" i="47"/>
  <c r="AQ109" i="47" s="1"/>
  <c r="B109" i="47"/>
  <c r="AM109" i="47"/>
  <c r="AN109" i="47" s="1"/>
  <c r="L58" i="61"/>
  <c r="AY63" i="26"/>
  <c r="AN63" i="26"/>
  <c r="AP63" i="26" s="1"/>
  <c r="AG63" i="26" s="1"/>
  <c r="G63" i="26" s="1"/>
  <c r="H63" i="26" s="1"/>
  <c r="AE62" i="26"/>
  <c r="R64" i="26"/>
  <c r="W64" i="26" s="1"/>
  <c r="Q64" i="26" s="1"/>
  <c r="F64" i="26" s="1"/>
  <c r="AN70" i="51"/>
  <c r="AP70" i="51" s="1"/>
  <c r="AL70" i="51"/>
  <c r="AM70" i="51" s="1"/>
  <c r="B70" i="51"/>
  <c r="AG72" i="50"/>
  <c r="AH72" i="50" s="1"/>
  <c r="AL70" i="1"/>
  <c r="AM70" i="1" s="1"/>
  <c r="B70" i="1"/>
  <c r="AN70" i="1"/>
  <c r="AP70" i="1" s="1"/>
  <c r="AA79" i="26"/>
  <c r="T79" i="26" s="1"/>
  <c r="Y72" i="51"/>
  <c r="Z72" i="51" s="1"/>
  <c r="AA72" i="51" s="1"/>
  <c r="J72" i="51" s="1"/>
  <c r="L72" i="51" s="1"/>
  <c r="AO69" i="3"/>
  <c r="AQ69" i="3"/>
  <c r="AS70" i="3" s="1"/>
  <c r="AH107" i="47"/>
  <c r="AI107" i="47" s="1"/>
  <c r="AL70" i="3"/>
  <c r="AM70" i="3" s="1"/>
  <c r="AN70" i="3"/>
  <c r="AP70" i="3" s="1"/>
  <c r="B70" i="3"/>
  <c r="AJ69" i="41"/>
  <c r="AC69" i="41" s="1"/>
  <c r="AO69" i="51"/>
  <c r="AQ69" i="51"/>
  <c r="AS70" i="51" s="1"/>
  <c r="AO69" i="1"/>
  <c r="AQ69" i="1"/>
  <c r="AS70" i="1" s="1"/>
  <c r="AQ71" i="41"/>
  <c r="AS72" i="41" s="1"/>
  <c r="AO71" i="41"/>
  <c r="Y71" i="41"/>
  <c r="S79" i="26"/>
  <c r="AJ79" i="26" s="1"/>
  <c r="AK79" i="26" s="1"/>
  <c r="K79" i="26" s="1"/>
  <c r="AR108" i="47"/>
  <c r="AT109" i="47" s="1"/>
  <c r="AP108" i="47"/>
  <c r="Y73" i="50"/>
  <c r="Z73" i="50" s="1"/>
  <c r="AA73" i="50" s="1"/>
  <c r="J73" i="50" s="1"/>
  <c r="L73" i="50" s="1"/>
  <c r="AB66" i="48"/>
  <c r="AI67" i="48"/>
  <c r="R68" i="48"/>
  <c r="U68" i="48" s="1"/>
  <c r="P68" i="48" s="1"/>
  <c r="AN72" i="41"/>
  <c r="AP72" i="41" s="1"/>
  <c r="AL72" i="41"/>
  <c r="AM72" i="41" s="1"/>
  <c r="B72" i="41"/>
  <c r="AG70" i="41"/>
  <c r="AH70" i="41" s="1"/>
  <c r="AJ70" i="41" l="1"/>
  <c r="AC70" i="41" s="1"/>
  <c r="AI69" i="1"/>
  <c r="AK69" i="1" s="1"/>
  <c r="AD69" i="1" s="1"/>
  <c r="R70" i="1"/>
  <c r="V70" i="1" s="1"/>
  <c r="AB68" i="1"/>
  <c r="U69" i="1"/>
  <c r="Q69" i="1" s="1"/>
  <c r="F69" i="1" s="1"/>
  <c r="H69" i="1" s="1"/>
  <c r="AJ68" i="1"/>
  <c r="AC68" i="1" s="1"/>
  <c r="V113" i="67"/>
  <c r="Q113" i="67" s="1"/>
  <c r="G113" i="67" s="1"/>
  <c r="I113" i="67" s="1"/>
  <c r="R113" i="67"/>
  <c r="AC112" i="67"/>
  <c r="AS115" i="67"/>
  <c r="AU116" i="67" s="1"/>
  <c r="AQ115" i="67"/>
  <c r="AL112" i="67"/>
  <c r="AP116" i="67"/>
  <c r="AR116" i="67" s="1"/>
  <c r="B116" i="67"/>
  <c r="B117" i="67" s="1"/>
  <c r="B118" i="67" s="1"/>
  <c r="AN116" i="67"/>
  <c r="AO116" i="67" s="1"/>
  <c r="S114" i="67"/>
  <c r="V114" i="67" s="1"/>
  <c r="Q114" i="67" s="1"/>
  <c r="G114" i="67" s="1"/>
  <c r="I114" i="67" s="1"/>
  <c r="AK113" i="67"/>
  <c r="AL113" i="67" s="1"/>
  <c r="AE113" i="67" s="1"/>
  <c r="AN69" i="39"/>
  <c r="AP69" i="39" s="1"/>
  <c r="B69" i="39"/>
  <c r="AL69" i="39"/>
  <c r="AM69" i="39" s="1"/>
  <c r="AO68" i="39"/>
  <c r="AQ68" i="39"/>
  <c r="AS69" i="39" s="1"/>
  <c r="U67" i="3"/>
  <c r="P67" i="3" s="1"/>
  <c r="R68" i="3"/>
  <c r="AI67" i="3"/>
  <c r="V67" i="3"/>
  <c r="Q67" i="3" s="1"/>
  <c r="F67" i="3" s="1"/>
  <c r="AB66" i="3"/>
  <c r="AK66" i="3"/>
  <c r="AD66" i="3" s="1"/>
  <c r="G66" i="3" s="1"/>
  <c r="H66" i="3" s="1"/>
  <c r="AJ66" i="3"/>
  <c r="AC66" i="3" s="1"/>
  <c r="AK102" i="47"/>
  <c r="AD102" i="47" s="1"/>
  <c r="AK67" i="51"/>
  <c r="AD67" i="51" s="1"/>
  <c r="AI67" i="50"/>
  <c r="AB66" i="50"/>
  <c r="U67" i="50"/>
  <c r="P67" i="50" s="1"/>
  <c r="R68" i="50"/>
  <c r="V67" i="50"/>
  <c r="Q67" i="50" s="1"/>
  <c r="F67" i="50" s="1"/>
  <c r="H67" i="50" s="1"/>
  <c r="AK66" i="50"/>
  <c r="AD66" i="50" s="1"/>
  <c r="AJ66" i="50"/>
  <c r="AC66" i="50" s="1"/>
  <c r="P63" i="26"/>
  <c r="AO63" i="26"/>
  <c r="AF63" i="26" s="1"/>
  <c r="AH108" i="47"/>
  <c r="AI108" i="47" s="1"/>
  <c r="AI79" i="26"/>
  <c r="AL79" i="26" s="1"/>
  <c r="AT74" i="26"/>
  <c r="AV74" i="26"/>
  <c r="AX75" i="26" s="1"/>
  <c r="V68" i="52"/>
  <c r="Q68" i="52" s="1"/>
  <c r="F68" i="52" s="1"/>
  <c r="H68" i="52" s="1"/>
  <c r="R69" i="52"/>
  <c r="U69" i="52" s="1"/>
  <c r="P69" i="52" s="1"/>
  <c r="AI68" i="52"/>
  <c r="AK68" i="52" s="1"/>
  <c r="AD68" i="52" s="1"/>
  <c r="U68" i="52"/>
  <c r="P68" i="52" s="1"/>
  <c r="AB67" i="52"/>
  <c r="AN69" i="52"/>
  <c r="AP69" i="52" s="1"/>
  <c r="AL69" i="52"/>
  <c r="AM69" i="52" s="1"/>
  <c r="B69" i="52"/>
  <c r="AK67" i="52"/>
  <c r="AD67" i="52" s="1"/>
  <c r="AJ67" i="52"/>
  <c r="AC67" i="52" s="1"/>
  <c r="AS75" i="26"/>
  <c r="AU75" i="26" s="1"/>
  <c r="B75" i="26"/>
  <c r="AQ75" i="26"/>
  <c r="AR75" i="26" s="1"/>
  <c r="AQ68" i="52"/>
  <c r="AS69" i="52" s="1"/>
  <c r="AO68" i="52"/>
  <c r="V64" i="26"/>
  <c r="U64" i="26" s="1"/>
  <c r="AD67" i="39"/>
  <c r="G67" i="39" s="1"/>
  <c r="Q67" i="39"/>
  <c r="V68" i="51"/>
  <c r="Q68" i="51" s="1"/>
  <c r="F68" i="51" s="1"/>
  <c r="H68" i="51" s="1"/>
  <c r="R69" i="51"/>
  <c r="U69" i="51" s="1"/>
  <c r="P69" i="51" s="1"/>
  <c r="AB67" i="51"/>
  <c r="AI68" i="51"/>
  <c r="AJ103" i="47"/>
  <c r="AK103" i="47" s="1"/>
  <c r="AD103" i="47" s="1"/>
  <c r="R104" i="47"/>
  <c r="U104" i="47" s="1"/>
  <c r="P104" i="47" s="1"/>
  <c r="AB102" i="47"/>
  <c r="AQ70" i="50"/>
  <c r="AS71" i="50" s="1"/>
  <c r="AO70" i="50"/>
  <c r="R69" i="39"/>
  <c r="U69" i="39" s="1"/>
  <c r="P69" i="39" s="1"/>
  <c r="AB67" i="39"/>
  <c r="AI68" i="39"/>
  <c r="AJ68" i="39" s="1"/>
  <c r="AC68" i="39" s="1"/>
  <c r="V68" i="48"/>
  <c r="Q68" i="48" s="1"/>
  <c r="F68" i="48" s="1"/>
  <c r="H68" i="48" s="1"/>
  <c r="AG73" i="50"/>
  <c r="AH73" i="50" s="1"/>
  <c r="AG72" i="51"/>
  <c r="AH72" i="51" s="1"/>
  <c r="V103" i="47"/>
  <c r="Q103" i="47" s="1"/>
  <c r="F103" i="47" s="1"/>
  <c r="H103" i="47" s="1"/>
  <c r="U68" i="39"/>
  <c r="P68" i="39" s="1"/>
  <c r="P67" i="39"/>
  <c r="U103" i="47"/>
  <c r="P103" i="47" s="1"/>
  <c r="B71" i="50"/>
  <c r="AN71" i="50"/>
  <c r="AP71" i="50" s="1"/>
  <c r="AL71" i="50"/>
  <c r="AM71" i="50" s="1"/>
  <c r="AJ67" i="39"/>
  <c r="V68" i="39"/>
  <c r="Q68" i="39" s="1"/>
  <c r="F68" i="39" s="1"/>
  <c r="U68" i="51"/>
  <c r="P68" i="51" s="1"/>
  <c r="K70" i="41"/>
  <c r="G70" i="41"/>
  <c r="B71" i="3"/>
  <c r="AL71" i="3"/>
  <c r="AM71" i="3" s="1"/>
  <c r="AN71" i="3"/>
  <c r="AP71" i="3" s="1"/>
  <c r="AL71" i="1"/>
  <c r="AM71" i="1" s="1"/>
  <c r="B71" i="1"/>
  <c r="AN71" i="1"/>
  <c r="AP71" i="1" s="1"/>
  <c r="AN71" i="51"/>
  <c r="AP71" i="51" s="1"/>
  <c r="AL71" i="51"/>
  <c r="AM71" i="51" s="1"/>
  <c r="B71" i="51"/>
  <c r="B110" i="47"/>
  <c r="AM110" i="47"/>
  <c r="AN110" i="47" s="1"/>
  <c r="AO110" i="47"/>
  <c r="AQ110" i="47" s="1"/>
  <c r="AI71" i="41"/>
  <c r="AK71" i="41" s="1"/>
  <c r="AD71" i="41" s="1"/>
  <c r="AB70" i="41"/>
  <c r="R72" i="41"/>
  <c r="U72" i="41" s="1"/>
  <c r="P72" i="41" s="1"/>
  <c r="AN73" i="41"/>
  <c r="AP73" i="41" s="1"/>
  <c r="AL73" i="41"/>
  <c r="AM73" i="41" s="1"/>
  <c r="B73" i="41"/>
  <c r="AO72" i="41"/>
  <c r="AQ72" i="41"/>
  <c r="AS73" i="41" s="1"/>
  <c r="Y72" i="41"/>
  <c r="AG72" i="41" s="1"/>
  <c r="AH72" i="41" s="1"/>
  <c r="AO70" i="1"/>
  <c r="AQ70" i="1"/>
  <c r="AS71" i="1" s="1"/>
  <c r="AO70" i="51"/>
  <c r="AQ70" i="51"/>
  <c r="AS71" i="51" s="1"/>
  <c r="D59" i="61"/>
  <c r="C59" i="61" s="1"/>
  <c r="E59" i="61" s="1"/>
  <c r="J71" i="41"/>
  <c r="F71" i="41"/>
  <c r="L70" i="41"/>
  <c r="AO70" i="48"/>
  <c r="AQ70" i="48"/>
  <c r="AS71" i="48" s="1"/>
  <c r="Z71" i="41"/>
  <c r="AA71" i="41" s="1"/>
  <c r="AK67" i="48"/>
  <c r="AD67" i="48" s="1"/>
  <c r="AO70" i="3"/>
  <c r="AQ70" i="3"/>
  <c r="AS71" i="3" s="1"/>
  <c r="Y73" i="51"/>
  <c r="AA80" i="26"/>
  <c r="AB80" i="26" s="1"/>
  <c r="AC80" i="26" s="1"/>
  <c r="Y75" i="52"/>
  <c r="AG75" i="52" s="1"/>
  <c r="AH75" i="52" s="1"/>
  <c r="H70" i="41"/>
  <c r="AL71" i="48"/>
  <c r="AM71" i="48" s="1"/>
  <c r="AN71" i="48"/>
  <c r="AP71" i="48" s="1"/>
  <c r="B71" i="48"/>
  <c r="S80" i="26"/>
  <c r="X80" i="26" s="1"/>
  <c r="Y80" i="26" s="1"/>
  <c r="J80" i="26" s="1"/>
  <c r="AB67" i="48"/>
  <c r="AI68" i="48"/>
  <c r="AJ68" i="48" s="1"/>
  <c r="AC68" i="48" s="1"/>
  <c r="R69" i="48"/>
  <c r="U69" i="48" s="1"/>
  <c r="P69" i="48" s="1"/>
  <c r="Y74" i="50"/>
  <c r="Z74" i="50" s="1"/>
  <c r="AA74" i="50" s="1"/>
  <c r="J74" i="50" s="1"/>
  <c r="L74" i="50" s="1"/>
  <c r="X79" i="26"/>
  <c r="Y79" i="26" s="1"/>
  <c r="J79" i="26" s="1"/>
  <c r="L79" i="26" s="1"/>
  <c r="AG71" i="41"/>
  <c r="AH71" i="41" s="1"/>
  <c r="AJ67" i="48"/>
  <c r="AC67" i="48" s="1"/>
  <c r="AB79" i="26"/>
  <c r="AC79" i="26" s="1"/>
  <c r="R65" i="26"/>
  <c r="W65" i="26" s="1"/>
  <c r="Q65" i="26" s="1"/>
  <c r="F65" i="26" s="1"/>
  <c r="AE63" i="26"/>
  <c r="AY64" i="26"/>
  <c r="AN64" i="26"/>
  <c r="AO64" i="26" s="1"/>
  <c r="AF64" i="26" s="1"/>
  <c r="AP109" i="47"/>
  <c r="AR109" i="47"/>
  <c r="AT110" i="47" s="1"/>
  <c r="AG74" i="52"/>
  <c r="AH74" i="52" s="1"/>
  <c r="U71" i="41"/>
  <c r="P71" i="41" s="1"/>
  <c r="Y109" i="47"/>
  <c r="V72" i="41" l="1"/>
  <c r="Q72" i="41" s="1"/>
  <c r="AB69" i="1"/>
  <c r="AJ69" i="1"/>
  <c r="AC69" i="1" s="1"/>
  <c r="R71" i="1"/>
  <c r="V71" i="1" s="1"/>
  <c r="P69" i="1"/>
  <c r="AI70" i="1"/>
  <c r="AJ70" i="1" s="1"/>
  <c r="AC70" i="1" s="1"/>
  <c r="U70" i="1"/>
  <c r="Q70" i="1" s="1"/>
  <c r="F70" i="1" s="1"/>
  <c r="H70" i="1" s="1"/>
  <c r="W114" i="67"/>
  <c r="R114" i="67" s="1"/>
  <c r="AM113" i="67"/>
  <c r="AF113" i="67" s="1"/>
  <c r="AP117" i="67"/>
  <c r="AR117" i="67" s="1"/>
  <c r="AN117" i="67"/>
  <c r="AO117" i="67" s="1"/>
  <c r="AC113" i="67"/>
  <c r="S115" i="67"/>
  <c r="W115" i="67" s="1"/>
  <c r="R115" i="67" s="1"/>
  <c r="AK114" i="67"/>
  <c r="AL114" i="67" s="1"/>
  <c r="AE114" i="67" s="1"/>
  <c r="AS116" i="67"/>
  <c r="AU117" i="67" s="1"/>
  <c r="AQ116" i="67"/>
  <c r="AE112" i="67"/>
  <c r="AQ69" i="39"/>
  <c r="AS70" i="39" s="1"/>
  <c r="AO69" i="39"/>
  <c r="AL70" i="39"/>
  <c r="AM70" i="39" s="1"/>
  <c r="B70" i="39"/>
  <c r="AN70" i="39"/>
  <c r="AP70" i="39" s="1"/>
  <c r="V68" i="3"/>
  <c r="Q68" i="3" s="1"/>
  <c r="F68" i="3" s="1"/>
  <c r="AB67" i="3"/>
  <c r="AI68" i="3"/>
  <c r="AJ68" i="3" s="1"/>
  <c r="AC68" i="3" s="1"/>
  <c r="R69" i="3"/>
  <c r="V69" i="3" s="1"/>
  <c r="Q69" i="3" s="1"/>
  <c r="F69" i="3" s="1"/>
  <c r="AK67" i="3"/>
  <c r="AD67" i="3" s="1"/>
  <c r="G67" i="3" s="1"/>
  <c r="H67" i="3" s="1"/>
  <c r="AJ67" i="3"/>
  <c r="AC67" i="3" s="1"/>
  <c r="U68" i="3"/>
  <c r="P68" i="3" s="1"/>
  <c r="V68" i="50"/>
  <c r="Q68" i="50" s="1"/>
  <c r="F68" i="50" s="1"/>
  <c r="H68" i="50" s="1"/>
  <c r="U68" i="50"/>
  <c r="P68" i="50" s="1"/>
  <c r="AB67" i="50"/>
  <c r="R69" i="50"/>
  <c r="AI68" i="50"/>
  <c r="AK67" i="50"/>
  <c r="AD67" i="50" s="1"/>
  <c r="AJ67" i="50"/>
  <c r="AC67" i="50" s="1"/>
  <c r="P64" i="26"/>
  <c r="AJ68" i="52"/>
  <c r="AC68" i="52" s="1"/>
  <c r="AN70" i="52"/>
  <c r="AP70" i="52" s="1"/>
  <c r="AL70" i="52"/>
  <c r="AM70" i="52" s="1"/>
  <c r="B70" i="52"/>
  <c r="AT75" i="26"/>
  <c r="AV75" i="26"/>
  <c r="AX76" i="26" s="1"/>
  <c r="AO69" i="52"/>
  <c r="AQ69" i="52"/>
  <c r="AS70" i="52" s="1"/>
  <c r="AQ76" i="26"/>
  <c r="AR76" i="26" s="1"/>
  <c r="B76" i="26"/>
  <c r="AS76" i="26"/>
  <c r="AU76" i="26" s="1"/>
  <c r="V69" i="52"/>
  <c r="Q69" i="52" s="1"/>
  <c r="F69" i="52" s="1"/>
  <c r="H69" i="52" s="1"/>
  <c r="AB68" i="52"/>
  <c r="R70" i="52"/>
  <c r="AI69" i="52"/>
  <c r="AI80" i="26"/>
  <c r="AL80" i="26" s="1"/>
  <c r="T80" i="26"/>
  <c r="V69" i="48"/>
  <c r="Q69" i="48" s="1"/>
  <c r="F69" i="48" s="1"/>
  <c r="H69" i="48" s="1"/>
  <c r="V69" i="39"/>
  <c r="Q69" i="39" s="1"/>
  <c r="F69" i="39" s="1"/>
  <c r="V104" i="47"/>
  <c r="Q104" i="47" s="1"/>
  <c r="F104" i="47" s="1"/>
  <c r="H104" i="47" s="1"/>
  <c r="AN72" i="50"/>
  <c r="AP72" i="50" s="1"/>
  <c r="B72" i="50"/>
  <c r="AL72" i="50"/>
  <c r="AM72" i="50" s="1"/>
  <c r="R70" i="39"/>
  <c r="V70" i="39" s="1"/>
  <c r="AB68" i="39"/>
  <c r="AI69" i="39"/>
  <c r="AJ69" i="39" s="1"/>
  <c r="AC69" i="39" s="1"/>
  <c r="R105" i="47"/>
  <c r="U105" i="47" s="1"/>
  <c r="P105" i="47" s="1"/>
  <c r="AB103" i="47"/>
  <c r="AJ104" i="47"/>
  <c r="AK104" i="47" s="1"/>
  <c r="AD104" i="47" s="1"/>
  <c r="AC67" i="39"/>
  <c r="AL103" i="47"/>
  <c r="AE103" i="47" s="1"/>
  <c r="AI69" i="51"/>
  <c r="AK69" i="51" s="1"/>
  <c r="AD69" i="51" s="1"/>
  <c r="AB68" i="51"/>
  <c r="R70" i="51"/>
  <c r="V70" i="51" s="1"/>
  <c r="Q70" i="51" s="1"/>
  <c r="F70" i="51" s="1"/>
  <c r="H70" i="51" s="1"/>
  <c r="V69" i="51"/>
  <c r="Q69" i="51" s="1"/>
  <c r="F69" i="51" s="1"/>
  <c r="H69" i="51" s="1"/>
  <c r="AO71" i="50"/>
  <c r="AQ71" i="50"/>
  <c r="AS72" i="50" s="1"/>
  <c r="AK68" i="51"/>
  <c r="AD68" i="51" s="1"/>
  <c r="AJ68" i="51"/>
  <c r="AC68" i="51" s="1"/>
  <c r="AG74" i="50"/>
  <c r="AH74" i="50" s="1"/>
  <c r="L59" i="61"/>
  <c r="D60" i="61" s="1"/>
  <c r="C60" i="61" s="1"/>
  <c r="E60" i="61" s="1"/>
  <c r="AK68" i="39"/>
  <c r="F67" i="39"/>
  <c r="G71" i="41"/>
  <c r="K71" i="41"/>
  <c r="Y110" i="47"/>
  <c r="Z110" i="47" s="1"/>
  <c r="AA110" i="47" s="1"/>
  <c r="J110" i="47" s="1"/>
  <c r="L110" i="47" s="1"/>
  <c r="AJ80" i="26"/>
  <c r="AK80" i="26" s="1"/>
  <c r="K80" i="26" s="1"/>
  <c r="L80" i="26" s="1"/>
  <c r="Y74" i="51"/>
  <c r="AG74" i="51" s="1"/>
  <c r="AH74" i="51" s="1"/>
  <c r="AH109" i="47"/>
  <c r="AI109" i="47" s="1"/>
  <c r="AO71" i="48"/>
  <c r="AQ71" i="48"/>
  <c r="AS72" i="48" s="1"/>
  <c r="Z75" i="52"/>
  <c r="AA75" i="52" s="1"/>
  <c r="J75" i="52" s="1"/>
  <c r="L75" i="52" s="1"/>
  <c r="AA81" i="26"/>
  <c r="AB81" i="26" s="1"/>
  <c r="AC81" i="26" s="1"/>
  <c r="Z72" i="41"/>
  <c r="AA72" i="41" s="1"/>
  <c r="AJ71" i="41"/>
  <c r="AC71" i="41" s="1"/>
  <c r="AI72" i="41"/>
  <c r="AJ72" i="41" s="1"/>
  <c r="AC72" i="41" s="1"/>
  <c r="AB71" i="41"/>
  <c r="R73" i="41"/>
  <c r="U73" i="41" s="1"/>
  <c r="P73" i="41" s="1"/>
  <c r="AP110" i="47"/>
  <c r="AR110" i="47"/>
  <c r="AT111" i="47" s="1"/>
  <c r="AN72" i="51"/>
  <c r="AP72" i="51" s="1"/>
  <c r="B72" i="51"/>
  <c r="AL72" i="51"/>
  <c r="AM72" i="51" s="1"/>
  <c r="AL72" i="1"/>
  <c r="AM72" i="1" s="1"/>
  <c r="B72" i="1"/>
  <c r="AN72" i="1"/>
  <c r="AP72" i="1" s="1"/>
  <c r="AN72" i="3"/>
  <c r="AP72" i="3" s="1"/>
  <c r="B72" i="3"/>
  <c r="AL72" i="3"/>
  <c r="AM72" i="3" s="1"/>
  <c r="AE64" i="26"/>
  <c r="R66" i="26"/>
  <c r="W66" i="26" s="1"/>
  <c r="Q66" i="26" s="1"/>
  <c r="F66" i="26" s="1"/>
  <c r="AN65" i="26"/>
  <c r="AP65" i="26" s="1"/>
  <c r="AG65" i="26" s="1"/>
  <c r="G65" i="26" s="1"/>
  <c r="H65" i="26" s="1"/>
  <c r="AY65" i="26"/>
  <c r="Z109" i="47"/>
  <c r="AA109" i="47" s="1"/>
  <c r="J109" i="47" s="1"/>
  <c r="L109" i="47" s="1"/>
  <c r="V65" i="26"/>
  <c r="Y75" i="50"/>
  <c r="Z73" i="51"/>
  <c r="AA73" i="51" s="1"/>
  <c r="J73" i="51" s="1"/>
  <c r="L73" i="51" s="1"/>
  <c r="AK68" i="48"/>
  <c r="AD68" i="48" s="1"/>
  <c r="AL74" i="41"/>
  <c r="AM74" i="41" s="1"/>
  <c r="B74" i="41"/>
  <c r="AN74" i="41"/>
  <c r="AP74" i="41" s="1"/>
  <c r="AM111" i="47"/>
  <c r="AN111" i="47" s="1"/>
  <c r="AO111" i="47"/>
  <c r="AQ111" i="47" s="1"/>
  <c r="B111" i="47"/>
  <c r="AQ71" i="51"/>
  <c r="AS72" i="51" s="1"/>
  <c r="AO71" i="51"/>
  <c r="AO71" i="1"/>
  <c r="AQ71" i="1"/>
  <c r="AS72" i="1" s="1"/>
  <c r="S81" i="26"/>
  <c r="AJ81" i="26" s="1"/>
  <c r="AK81" i="26" s="1"/>
  <c r="K81" i="26" s="1"/>
  <c r="B72" i="48"/>
  <c r="AN72" i="48"/>
  <c r="AP72" i="48" s="1"/>
  <c r="AL72" i="48"/>
  <c r="AM72" i="48" s="1"/>
  <c r="Y76" i="52"/>
  <c r="Z76" i="52" s="1"/>
  <c r="AA76" i="52" s="1"/>
  <c r="J76" i="52" s="1"/>
  <c r="L76" i="52" s="1"/>
  <c r="AG73" i="51"/>
  <c r="AH73" i="51" s="1"/>
  <c r="AB70" i="1"/>
  <c r="H71" i="41"/>
  <c r="Y73" i="41"/>
  <c r="Z73" i="41" s="1"/>
  <c r="AA73" i="41" s="1"/>
  <c r="AO73" i="41"/>
  <c r="AQ73" i="41"/>
  <c r="AS74" i="41" s="1"/>
  <c r="J72" i="41"/>
  <c r="F72" i="41"/>
  <c r="AP64" i="26"/>
  <c r="AG64" i="26" s="1"/>
  <c r="G64" i="26" s="1"/>
  <c r="H64" i="26" s="1"/>
  <c r="AI69" i="48"/>
  <c r="AJ69" i="48" s="1"/>
  <c r="AC69" i="48" s="1"/>
  <c r="AB68" i="48"/>
  <c r="R70" i="48"/>
  <c r="V70" i="48" s="1"/>
  <c r="Q70" i="48" s="1"/>
  <c r="F70" i="48" s="1"/>
  <c r="H70" i="48" s="1"/>
  <c r="L71" i="41"/>
  <c r="AQ71" i="3"/>
  <c r="AS72" i="3" s="1"/>
  <c r="AO71" i="3"/>
  <c r="AI71" i="1" l="1"/>
  <c r="AJ71" i="1" s="1"/>
  <c r="AC71" i="1" s="1"/>
  <c r="R72" i="1"/>
  <c r="V72" i="1" s="1"/>
  <c r="U71" i="1"/>
  <c r="P71" i="1" s="1"/>
  <c r="AK70" i="1"/>
  <c r="AD70" i="1" s="1"/>
  <c r="P70" i="1"/>
  <c r="AP118" i="67"/>
  <c r="AR118" i="67" s="1"/>
  <c r="AN118" i="67"/>
  <c r="AO118" i="67" s="1"/>
  <c r="B73" i="48"/>
  <c r="AL73" i="48"/>
  <c r="AM73" i="48" s="1"/>
  <c r="AN73" i="48"/>
  <c r="AP73" i="48" s="1"/>
  <c r="O73" i="3"/>
  <c r="B73" i="3" s="1"/>
  <c r="AN73" i="3"/>
  <c r="AP73" i="3" s="1"/>
  <c r="AL73" i="3"/>
  <c r="AM73" i="3" s="1"/>
  <c r="V115" i="67"/>
  <c r="Q115" i="67" s="1"/>
  <c r="G115" i="67" s="1"/>
  <c r="I115" i="67" s="1"/>
  <c r="AM114" i="67"/>
  <c r="AF114" i="67" s="1"/>
  <c r="AK115" i="67"/>
  <c r="AM115" i="67" s="1"/>
  <c r="AF115" i="67" s="1"/>
  <c r="S116" i="67"/>
  <c r="W116" i="67" s="1"/>
  <c r="R116" i="67" s="1"/>
  <c r="AC114" i="67"/>
  <c r="AS117" i="67"/>
  <c r="AU118" i="67" s="1"/>
  <c r="AQ117" i="67"/>
  <c r="B71" i="39"/>
  <c r="AN71" i="39"/>
  <c r="AP71" i="39" s="1"/>
  <c r="AL71" i="39"/>
  <c r="AM71" i="39" s="1"/>
  <c r="AQ70" i="39"/>
  <c r="AS71" i="39" s="1"/>
  <c r="AO70" i="39"/>
  <c r="AI69" i="3"/>
  <c r="AJ69" i="3" s="1"/>
  <c r="AC69" i="3" s="1"/>
  <c r="R70" i="3"/>
  <c r="AB68" i="3"/>
  <c r="U69" i="3"/>
  <c r="P69" i="3" s="1"/>
  <c r="AK68" i="3"/>
  <c r="AD68" i="3" s="1"/>
  <c r="G68" i="3" s="1"/>
  <c r="H68" i="3" s="1"/>
  <c r="U69" i="50"/>
  <c r="P69" i="50" s="1"/>
  <c r="AI69" i="50"/>
  <c r="AJ69" i="50" s="1"/>
  <c r="AC69" i="50" s="1"/>
  <c r="R70" i="50"/>
  <c r="AB68" i="50"/>
  <c r="V69" i="50"/>
  <c r="Q69" i="50" s="1"/>
  <c r="F69" i="50" s="1"/>
  <c r="H69" i="50" s="1"/>
  <c r="AJ68" i="50"/>
  <c r="AC68" i="50" s="1"/>
  <c r="AK68" i="50"/>
  <c r="AD68" i="50" s="1"/>
  <c r="AJ69" i="51"/>
  <c r="AC69" i="51" s="1"/>
  <c r="AO65" i="26"/>
  <c r="AF65" i="26" s="1"/>
  <c r="V66" i="26"/>
  <c r="P66" i="26" s="1"/>
  <c r="AT76" i="26"/>
  <c r="AV76" i="26"/>
  <c r="AX77" i="26" s="1"/>
  <c r="AL71" i="52"/>
  <c r="AM71" i="52" s="1"/>
  <c r="AN71" i="52"/>
  <c r="AP71" i="52" s="1"/>
  <c r="B71" i="52"/>
  <c r="AJ69" i="52"/>
  <c r="AC69" i="52" s="1"/>
  <c r="AK69" i="52"/>
  <c r="AD69" i="52" s="1"/>
  <c r="AO70" i="52"/>
  <c r="AQ70" i="52"/>
  <c r="AS71" i="52" s="1"/>
  <c r="V70" i="52"/>
  <c r="Q70" i="52" s="1"/>
  <c r="F70" i="52" s="1"/>
  <c r="H70" i="52" s="1"/>
  <c r="R71" i="52"/>
  <c r="AI70" i="52"/>
  <c r="U70" i="52"/>
  <c r="P70" i="52" s="1"/>
  <c r="AB69" i="52"/>
  <c r="B77" i="26"/>
  <c r="AQ77" i="26"/>
  <c r="AR77" i="26" s="1"/>
  <c r="AS77" i="26"/>
  <c r="AU77" i="26" s="1"/>
  <c r="AK69" i="39"/>
  <c r="AD69" i="39" s="1"/>
  <c r="G69" i="39" s="1"/>
  <c r="H69" i="39" s="1"/>
  <c r="AG76" i="52"/>
  <c r="AH76" i="52" s="1"/>
  <c r="AL104" i="47"/>
  <c r="AE104" i="47" s="1"/>
  <c r="Q70" i="39"/>
  <c r="AD68" i="39"/>
  <c r="AO72" i="50"/>
  <c r="AQ72" i="50"/>
  <c r="AS73" i="50" s="1"/>
  <c r="AL73" i="50"/>
  <c r="AM73" i="50" s="1"/>
  <c r="B73" i="50"/>
  <c r="AN73" i="50"/>
  <c r="AP73" i="50" s="1"/>
  <c r="R71" i="51"/>
  <c r="V71" i="51" s="1"/>
  <c r="Q71" i="51" s="1"/>
  <c r="F71" i="51" s="1"/>
  <c r="H71" i="51" s="1"/>
  <c r="AB69" i="51"/>
  <c r="AI70" i="51"/>
  <c r="U70" i="51"/>
  <c r="P70" i="51" s="1"/>
  <c r="H67" i="39"/>
  <c r="V105" i="47"/>
  <c r="Q105" i="47" s="1"/>
  <c r="F105" i="47" s="1"/>
  <c r="H105" i="47" s="1"/>
  <c r="AJ105" i="47"/>
  <c r="AL105" i="47" s="1"/>
  <c r="AE105" i="47" s="1"/>
  <c r="AB104" i="47"/>
  <c r="R106" i="47"/>
  <c r="U70" i="39"/>
  <c r="R71" i="39"/>
  <c r="AI70" i="39"/>
  <c r="AK70" i="39" s="1"/>
  <c r="AB69" i="39"/>
  <c r="Y76" i="50"/>
  <c r="AG76" i="50" s="1"/>
  <c r="AH76" i="50" s="1"/>
  <c r="AB69" i="48"/>
  <c r="AI70" i="48"/>
  <c r="AJ70" i="48" s="1"/>
  <c r="AC70" i="48" s="1"/>
  <c r="R71" i="48"/>
  <c r="V71" i="48" s="1"/>
  <c r="Q71" i="48" s="1"/>
  <c r="F71" i="48" s="1"/>
  <c r="H71" i="48" s="1"/>
  <c r="AG73" i="41"/>
  <c r="AH73" i="41" s="1"/>
  <c r="Y77" i="52"/>
  <c r="AG77" i="52" s="1"/>
  <c r="AH77" i="52" s="1"/>
  <c r="B112" i="47"/>
  <c r="AO112" i="47"/>
  <c r="AQ112" i="47" s="1"/>
  <c r="AM112" i="47"/>
  <c r="AN112" i="47" s="1"/>
  <c r="L60" i="61"/>
  <c r="AG75" i="50"/>
  <c r="AH75" i="50" s="1"/>
  <c r="AQ72" i="3"/>
  <c r="AS73" i="3" s="1"/>
  <c r="AO72" i="3"/>
  <c r="B73" i="1"/>
  <c r="AL73" i="1"/>
  <c r="AM73" i="1" s="1"/>
  <c r="AN73" i="1"/>
  <c r="AP73" i="1" s="1"/>
  <c r="AA82" i="26"/>
  <c r="AB82" i="26" s="1"/>
  <c r="AC82" i="26" s="1"/>
  <c r="AN75" i="41"/>
  <c r="AP75" i="41" s="1"/>
  <c r="B75" i="41"/>
  <c r="AL75" i="41"/>
  <c r="AM75" i="41" s="1"/>
  <c r="U70" i="48"/>
  <c r="P70" i="48" s="1"/>
  <c r="AK72" i="41"/>
  <c r="AD72" i="41" s="1"/>
  <c r="AQ74" i="41"/>
  <c r="AS75" i="41" s="1"/>
  <c r="AO74" i="41"/>
  <c r="P65" i="26"/>
  <c r="U65" i="26"/>
  <c r="AY66" i="26"/>
  <c r="AE65" i="26"/>
  <c r="AN66" i="26"/>
  <c r="AO66" i="26" s="1"/>
  <c r="AF66" i="26" s="1"/>
  <c r="R67" i="26"/>
  <c r="AO72" i="1"/>
  <c r="AQ72" i="1"/>
  <c r="AS73" i="1" s="1"/>
  <c r="T81" i="26"/>
  <c r="AK69" i="48"/>
  <c r="AD69" i="48" s="1"/>
  <c r="Z74" i="51"/>
  <c r="AA74" i="51" s="1"/>
  <c r="J74" i="51" s="1"/>
  <c r="L74" i="51" s="1"/>
  <c r="AH110" i="47"/>
  <c r="AI110" i="47" s="1"/>
  <c r="S82" i="26"/>
  <c r="AL73" i="51"/>
  <c r="AM73" i="51" s="1"/>
  <c r="AN73" i="51"/>
  <c r="AP73" i="51" s="1"/>
  <c r="B73" i="51"/>
  <c r="R74" i="41"/>
  <c r="V74" i="41" s="1"/>
  <c r="Q74" i="41" s="1"/>
  <c r="AB72" i="41"/>
  <c r="AI73" i="41"/>
  <c r="AJ73" i="41" s="1"/>
  <c r="AC73" i="41" s="1"/>
  <c r="U74" i="41"/>
  <c r="P74" i="41" s="1"/>
  <c r="Y74" i="41"/>
  <c r="Z74" i="41" s="1"/>
  <c r="AA74" i="41" s="1"/>
  <c r="AG74" i="41"/>
  <c r="AH74" i="41" s="1"/>
  <c r="AO72" i="48"/>
  <c r="AQ72" i="48"/>
  <c r="AS73" i="48" s="1"/>
  <c r="X81" i="26"/>
  <c r="Y81" i="26" s="1"/>
  <c r="J81" i="26" s="1"/>
  <c r="L81" i="26" s="1"/>
  <c r="AP111" i="47"/>
  <c r="AR111" i="47"/>
  <c r="AT112" i="47" s="1"/>
  <c r="Z75" i="50"/>
  <c r="AA75" i="50" s="1"/>
  <c r="J75" i="50" s="1"/>
  <c r="L75" i="50" s="1"/>
  <c r="AO72" i="51"/>
  <c r="AQ72" i="51"/>
  <c r="AS73" i="51" s="1"/>
  <c r="V73" i="41"/>
  <c r="Q73" i="41" s="1"/>
  <c r="AK71" i="1"/>
  <c r="AD71" i="1" s="1"/>
  <c r="AI81" i="26"/>
  <c r="AL81" i="26" s="1"/>
  <c r="AK73" i="41"/>
  <c r="AD73" i="41" s="1"/>
  <c r="Y75" i="51"/>
  <c r="Z75" i="51" s="1"/>
  <c r="AA75" i="51" s="1"/>
  <c r="J75" i="51" s="1"/>
  <c r="L75" i="51" s="1"/>
  <c r="Y111" i="47"/>
  <c r="Z111" i="47" s="1"/>
  <c r="AA111" i="47" s="1"/>
  <c r="J111" i="47" s="1"/>
  <c r="L111" i="47" s="1"/>
  <c r="Q71" i="1" l="1"/>
  <c r="F71" i="1" s="1"/>
  <c r="H71" i="1" s="1"/>
  <c r="R73" i="1"/>
  <c r="V73" i="1" s="1"/>
  <c r="AB71" i="1"/>
  <c r="U72" i="1"/>
  <c r="P72" i="1" s="1"/>
  <c r="AI72" i="1"/>
  <c r="AK72" i="1" s="1"/>
  <c r="AD72" i="1" s="1"/>
  <c r="AS118" i="67"/>
  <c r="AU119" i="67" s="1"/>
  <c r="AQ118" i="67"/>
  <c r="AL74" i="1"/>
  <c r="AM74" i="1" s="1"/>
  <c r="AN74" i="1"/>
  <c r="AP74" i="1" s="1"/>
  <c r="B74" i="1"/>
  <c r="AQ73" i="3"/>
  <c r="AS74" i="3" s="1"/>
  <c r="AO73" i="3"/>
  <c r="AQ73" i="48"/>
  <c r="AS74" i="48" s="1"/>
  <c r="AO73" i="48"/>
  <c r="AL115" i="67"/>
  <c r="AE115" i="67" s="1"/>
  <c r="AK116" i="67"/>
  <c r="AM116" i="67" s="1"/>
  <c r="AF116" i="67" s="1"/>
  <c r="S117" i="67"/>
  <c r="AC115" i="67"/>
  <c r="V116" i="67"/>
  <c r="Q116" i="67" s="1"/>
  <c r="G116" i="67" s="1"/>
  <c r="I116" i="67" s="1"/>
  <c r="AQ71" i="39"/>
  <c r="AS72" i="39" s="1"/>
  <c r="AO71" i="39"/>
  <c r="AN72" i="39"/>
  <c r="AP72" i="39" s="1"/>
  <c r="B72" i="39"/>
  <c r="AL72" i="39"/>
  <c r="AM72" i="39" s="1"/>
  <c r="U66" i="26"/>
  <c r="AK69" i="3"/>
  <c r="AD69" i="3" s="1"/>
  <c r="G69" i="3" s="1"/>
  <c r="H69" i="3" s="1"/>
  <c r="U70" i="3"/>
  <c r="P70" i="3" s="1"/>
  <c r="AI70" i="3"/>
  <c r="R71" i="3"/>
  <c r="V70" i="3"/>
  <c r="Q70" i="3" s="1"/>
  <c r="F70" i="3" s="1"/>
  <c r="AB69" i="3"/>
  <c r="AK69" i="50"/>
  <c r="AD69" i="50" s="1"/>
  <c r="V70" i="50"/>
  <c r="Q70" i="50" s="1"/>
  <c r="F70" i="50" s="1"/>
  <c r="H70" i="50" s="1"/>
  <c r="AI70" i="50"/>
  <c r="U70" i="50"/>
  <c r="P70" i="50" s="1"/>
  <c r="R71" i="50"/>
  <c r="AB69" i="50"/>
  <c r="AI82" i="26"/>
  <c r="AL82" i="26" s="1"/>
  <c r="AK70" i="48"/>
  <c r="AD70" i="48" s="1"/>
  <c r="AT77" i="26"/>
  <c r="AV77" i="26"/>
  <c r="AX78" i="26" s="1"/>
  <c r="AJ70" i="52"/>
  <c r="AC70" i="52" s="1"/>
  <c r="AK70" i="52"/>
  <c r="AD70" i="52" s="1"/>
  <c r="AS78" i="26"/>
  <c r="AU78" i="26" s="1"/>
  <c r="AQ78" i="26"/>
  <c r="AR78" i="26" s="1"/>
  <c r="B78" i="26"/>
  <c r="V71" i="52"/>
  <c r="Q71" i="52" s="1"/>
  <c r="F71" i="52" s="1"/>
  <c r="H71" i="52" s="1"/>
  <c r="U71" i="52"/>
  <c r="P71" i="52" s="1"/>
  <c r="AI71" i="52"/>
  <c r="AB70" i="52"/>
  <c r="R72" i="52"/>
  <c r="AO71" i="52"/>
  <c r="AQ71" i="52"/>
  <c r="AS72" i="52" s="1"/>
  <c r="AL72" i="52"/>
  <c r="AM72" i="52" s="1"/>
  <c r="B72" i="52"/>
  <c r="AN72" i="52"/>
  <c r="AP72" i="52" s="1"/>
  <c r="U71" i="51"/>
  <c r="P71" i="51" s="1"/>
  <c r="T82" i="26"/>
  <c r="AD70" i="39"/>
  <c r="G70" i="39" s="1"/>
  <c r="AB70" i="39"/>
  <c r="AI71" i="39"/>
  <c r="AK71" i="39" s="1"/>
  <c r="AD71" i="39" s="1"/>
  <c r="G71" i="39" s="1"/>
  <c r="R72" i="39"/>
  <c r="R107" i="47"/>
  <c r="V107" i="47" s="1"/>
  <c r="Q107" i="47" s="1"/>
  <c r="F107" i="47" s="1"/>
  <c r="H107" i="47" s="1"/>
  <c r="AJ106" i="47"/>
  <c r="AL106" i="47" s="1"/>
  <c r="AE106" i="47" s="1"/>
  <c r="AB105" i="47"/>
  <c r="AQ73" i="50"/>
  <c r="AS74" i="50" s="1"/>
  <c r="AO73" i="50"/>
  <c r="V71" i="39"/>
  <c r="G68" i="39"/>
  <c r="H68" i="39" s="1"/>
  <c r="U71" i="39"/>
  <c r="P71" i="39" s="1"/>
  <c r="P70" i="39"/>
  <c r="U106" i="47"/>
  <c r="P106" i="47" s="1"/>
  <c r="AK70" i="51"/>
  <c r="AD70" i="51" s="1"/>
  <c r="AJ70" i="51"/>
  <c r="AC70" i="51" s="1"/>
  <c r="AI71" i="51"/>
  <c r="AK71" i="51" s="1"/>
  <c r="AD71" i="51" s="1"/>
  <c r="R72" i="51"/>
  <c r="V72" i="51" s="1"/>
  <c r="Q72" i="51" s="1"/>
  <c r="F72" i="51" s="1"/>
  <c r="H72" i="51" s="1"/>
  <c r="H22" i="51" s="1"/>
  <c r="AB70" i="51"/>
  <c r="AH111" i="47"/>
  <c r="AI111" i="47" s="1"/>
  <c r="Z76" i="50"/>
  <c r="AA76" i="50" s="1"/>
  <c r="J76" i="50" s="1"/>
  <c r="L76" i="50" s="1"/>
  <c r="V106" i="47"/>
  <c r="Q106" i="47" s="1"/>
  <c r="F106" i="47" s="1"/>
  <c r="H106" i="47" s="1"/>
  <c r="AK105" i="47"/>
  <c r="AD105" i="47" s="1"/>
  <c r="AL74" i="50"/>
  <c r="AM74" i="50" s="1"/>
  <c r="B74" i="50"/>
  <c r="AN74" i="50"/>
  <c r="AP74" i="50" s="1"/>
  <c r="AJ70" i="39"/>
  <c r="F70" i="39"/>
  <c r="J73" i="41"/>
  <c r="F73" i="41"/>
  <c r="S83" i="26"/>
  <c r="X83" i="26" s="1"/>
  <c r="Y83" i="26" s="1"/>
  <c r="J83" i="26" s="1"/>
  <c r="AO73" i="1"/>
  <c r="AQ73" i="1"/>
  <c r="AS74" i="1" s="1"/>
  <c r="D61" i="61"/>
  <c r="AE66" i="26"/>
  <c r="AY67" i="26"/>
  <c r="AN67" i="26"/>
  <c r="AO67" i="26" s="1"/>
  <c r="AF67" i="26" s="1"/>
  <c r="R68" i="26"/>
  <c r="K72" i="41"/>
  <c r="L72" i="41" s="1"/>
  <c r="G72" i="41"/>
  <c r="H72" i="41" s="1"/>
  <c r="H22" i="41" s="1"/>
  <c r="AL76" i="41"/>
  <c r="AM76" i="41" s="1"/>
  <c r="AN76" i="41"/>
  <c r="AP76" i="41" s="1"/>
  <c r="B76" i="41"/>
  <c r="AR112" i="47"/>
  <c r="AT113" i="47" s="1"/>
  <c r="AP112" i="47"/>
  <c r="Z77" i="52"/>
  <c r="AA77" i="52" s="1"/>
  <c r="J77" i="52" s="1"/>
  <c r="L77" i="52" s="1"/>
  <c r="AB70" i="48"/>
  <c r="AI71" i="48"/>
  <c r="AJ71" i="48" s="1"/>
  <c r="AC71" i="48" s="1"/>
  <c r="R72" i="48"/>
  <c r="J74" i="41"/>
  <c r="F74" i="41"/>
  <c r="AO73" i="51"/>
  <c r="AQ73" i="51"/>
  <c r="AS74" i="51" s="1"/>
  <c r="AJ82" i="26"/>
  <c r="AK82" i="26" s="1"/>
  <c r="K82" i="26" s="1"/>
  <c r="Y112" i="47"/>
  <c r="K73" i="41"/>
  <c r="G73" i="41"/>
  <c r="AI74" i="41"/>
  <c r="AB73" i="41"/>
  <c r="R75" i="41"/>
  <c r="U75" i="41" s="1"/>
  <c r="P75" i="41" s="1"/>
  <c r="V75" i="41"/>
  <c r="Q75" i="41" s="1"/>
  <c r="X82" i="26"/>
  <c r="Y82" i="26" s="1"/>
  <c r="J82" i="26" s="1"/>
  <c r="W67" i="26"/>
  <c r="Q67" i="26" s="1"/>
  <c r="F67" i="26" s="1"/>
  <c r="AA83" i="26"/>
  <c r="T83" i="26" s="1"/>
  <c r="AP66" i="26"/>
  <c r="AG66" i="26" s="1"/>
  <c r="G66" i="26" s="1"/>
  <c r="H66" i="26" s="1"/>
  <c r="U71" i="48"/>
  <c r="P71" i="48" s="1"/>
  <c r="Y78" i="52"/>
  <c r="Z78" i="52" s="1"/>
  <c r="AA78" i="52" s="1"/>
  <c r="J78" i="52" s="1"/>
  <c r="L78" i="52" s="1"/>
  <c r="Y76" i="51"/>
  <c r="AG76" i="51" s="1"/>
  <c r="AH76" i="51" s="1"/>
  <c r="AG75" i="51"/>
  <c r="AH75" i="51" s="1"/>
  <c r="Y75" i="41"/>
  <c r="AG75" i="41" s="1"/>
  <c r="AH75" i="41" s="1"/>
  <c r="AK74" i="41"/>
  <c r="AD74" i="41" s="1"/>
  <c r="AJ74" i="41"/>
  <c r="AC74" i="41" s="1"/>
  <c r="AL74" i="51"/>
  <c r="AM74" i="51" s="1"/>
  <c r="B74" i="51"/>
  <c r="AN74" i="51"/>
  <c r="AP74" i="51" s="1"/>
  <c r="V67" i="26"/>
  <c r="AM113" i="47"/>
  <c r="AN113" i="47" s="1"/>
  <c r="AO113" i="47"/>
  <c r="AQ113" i="47" s="1"/>
  <c r="B113" i="47"/>
  <c r="Y77" i="50"/>
  <c r="AG77" i="50" s="1"/>
  <c r="AH77" i="50" s="1"/>
  <c r="AO75" i="41"/>
  <c r="AQ75" i="41"/>
  <c r="AS76" i="41" s="1"/>
  <c r="Z75" i="41" l="1"/>
  <c r="AA75" i="41" s="1"/>
  <c r="AL116" i="67"/>
  <c r="AE116" i="67" s="1"/>
  <c r="AJ72" i="1"/>
  <c r="AC72" i="1" s="1"/>
  <c r="R74" i="1"/>
  <c r="R87" i="1" s="1"/>
  <c r="Q72" i="1"/>
  <c r="F72" i="1" s="1"/>
  <c r="H72" i="1" s="1"/>
  <c r="U73" i="1"/>
  <c r="P73" i="1" s="1"/>
  <c r="AB72" i="1"/>
  <c r="AI73" i="1"/>
  <c r="AK73" i="1" s="1"/>
  <c r="S118" i="67"/>
  <c r="W118" i="67" s="1"/>
  <c r="R118" i="67" s="1"/>
  <c r="R73" i="39"/>
  <c r="V73" i="39" s="1"/>
  <c r="Q73" i="39" s="1"/>
  <c r="O73" i="39"/>
  <c r="B73" i="39" s="1"/>
  <c r="AN73" i="39"/>
  <c r="AP73" i="39" s="1"/>
  <c r="AL73" i="39"/>
  <c r="AM73" i="39" s="1"/>
  <c r="AQ74" i="1"/>
  <c r="AS75" i="1" s="1"/>
  <c r="AO74" i="1"/>
  <c r="R73" i="48"/>
  <c r="U73" i="48" s="1"/>
  <c r="P73" i="48" s="1"/>
  <c r="W117" i="67"/>
  <c r="V117" i="67"/>
  <c r="AC116" i="67"/>
  <c r="AK117" i="67"/>
  <c r="AO72" i="39"/>
  <c r="AQ72" i="39"/>
  <c r="AS73" i="39" s="1"/>
  <c r="AB70" i="3"/>
  <c r="U71" i="3"/>
  <c r="P71" i="3" s="1"/>
  <c r="R72" i="3"/>
  <c r="V71" i="3"/>
  <c r="Q71" i="3" s="1"/>
  <c r="F71" i="3" s="1"/>
  <c r="AI71" i="3"/>
  <c r="AK70" i="3"/>
  <c r="AD70" i="3" s="1"/>
  <c r="G70" i="3" s="1"/>
  <c r="H70" i="3" s="1"/>
  <c r="AJ70" i="3"/>
  <c r="AC70" i="3" s="1"/>
  <c r="U71" i="50"/>
  <c r="P71" i="50" s="1"/>
  <c r="AI71" i="50"/>
  <c r="V71" i="50"/>
  <c r="Q71" i="50" s="1"/>
  <c r="F71" i="50" s="1"/>
  <c r="H71" i="50" s="1"/>
  <c r="AB70" i="50"/>
  <c r="R72" i="50"/>
  <c r="AJ70" i="50"/>
  <c r="AC70" i="50" s="1"/>
  <c r="AK70" i="50"/>
  <c r="AD70" i="50" s="1"/>
  <c r="AK71" i="48"/>
  <c r="AD71" i="48" s="1"/>
  <c r="AJ71" i="39"/>
  <c r="AC71" i="39" s="1"/>
  <c r="AO72" i="52"/>
  <c r="AQ72" i="52"/>
  <c r="AS73" i="52" s="1"/>
  <c r="AS79" i="26"/>
  <c r="AU79" i="26" s="1"/>
  <c r="AQ79" i="26"/>
  <c r="AR79" i="26" s="1"/>
  <c r="B79" i="26"/>
  <c r="AK71" i="52"/>
  <c r="AD71" i="52" s="1"/>
  <c r="AJ71" i="52"/>
  <c r="AC71" i="52" s="1"/>
  <c r="AV78" i="26"/>
  <c r="AX79" i="26" s="1"/>
  <c r="AT78" i="26"/>
  <c r="AL73" i="52"/>
  <c r="AM73" i="52" s="1"/>
  <c r="AN73" i="52"/>
  <c r="AP73" i="52" s="1"/>
  <c r="B73" i="52"/>
  <c r="V72" i="52"/>
  <c r="Q72" i="52" s="1"/>
  <c r="F72" i="52" s="1"/>
  <c r="H72" i="52" s="1"/>
  <c r="H22" i="52" s="1"/>
  <c r="AI72" i="52"/>
  <c r="AB71" i="52"/>
  <c r="R73" i="52"/>
  <c r="U72" i="52"/>
  <c r="P72" i="52" s="1"/>
  <c r="AP67" i="26"/>
  <c r="AG67" i="26" s="1"/>
  <c r="G67" i="26" s="1"/>
  <c r="H67" i="26" s="1"/>
  <c r="AK106" i="47"/>
  <c r="AD106" i="47" s="1"/>
  <c r="U72" i="51"/>
  <c r="P72" i="51" s="1"/>
  <c r="AG78" i="52"/>
  <c r="AH78" i="52" s="1"/>
  <c r="Z77" i="50"/>
  <c r="AA77" i="50" s="1"/>
  <c r="J77" i="50" s="1"/>
  <c r="L77" i="50" s="1"/>
  <c r="AC70" i="39"/>
  <c r="AB83" i="26"/>
  <c r="AC83" i="26" s="1"/>
  <c r="AJ107" i="47"/>
  <c r="AK107" i="47" s="1"/>
  <c r="AD107" i="47" s="1"/>
  <c r="R108" i="47"/>
  <c r="AB106" i="47"/>
  <c r="AI83" i="26"/>
  <c r="AL83" i="26" s="1"/>
  <c r="AL75" i="50"/>
  <c r="AM75" i="50" s="1"/>
  <c r="AN75" i="50"/>
  <c r="AP75" i="50" s="1"/>
  <c r="B75" i="50"/>
  <c r="AB71" i="51"/>
  <c r="AI72" i="51"/>
  <c r="AJ72" i="51" s="1"/>
  <c r="AC72" i="51" s="1"/>
  <c r="R73" i="51"/>
  <c r="U107" i="47"/>
  <c r="P107" i="47" s="1"/>
  <c r="AO74" i="50"/>
  <c r="AQ74" i="50"/>
  <c r="AS75" i="50" s="1"/>
  <c r="AJ71" i="51"/>
  <c r="AC71" i="51" s="1"/>
  <c r="Q71" i="39"/>
  <c r="AB71" i="39"/>
  <c r="AI72" i="39"/>
  <c r="V72" i="39"/>
  <c r="Q72" i="39" s="1"/>
  <c r="F72" i="39" s="1"/>
  <c r="U72" i="39"/>
  <c r="P72" i="39" s="1"/>
  <c r="H70" i="39"/>
  <c r="AO74" i="51"/>
  <c r="AQ74" i="51"/>
  <c r="AS75" i="51" s="1"/>
  <c r="Z76" i="51"/>
  <c r="AA76" i="51" s="1"/>
  <c r="J76" i="51" s="1"/>
  <c r="L76" i="51" s="1"/>
  <c r="L82" i="26"/>
  <c r="Y113" i="47"/>
  <c r="AH113" i="47" s="1"/>
  <c r="AI113" i="47" s="1"/>
  <c r="Y78" i="50"/>
  <c r="AG78" i="50" s="1"/>
  <c r="AH78" i="50" s="1"/>
  <c r="B114" i="47"/>
  <c r="AM114" i="47"/>
  <c r="AN114" i="47" s="1"/>
  <c r="AO114" i="47"/>
  <c r="AQ114" i="47" s="1"/>
  <c r="U67" i="26"/>
  <c r="P67" i="26"/>
  <c r="Y76" i="41"/>
  <c r="AG76" i="41" s="1"/>
  <c r="AH76" i="41" s="1"/>
  <c r="Y79" i="52"/>
  <c r="Z79" i="52" s="1"/>
  <c r="AA79" i="52" s="1"/>
  <c r="J79" i="52" s="1"/>
  <c r="L79" i="52" s="1"/>
  <c r="Z112" i="47"/>
  <c r="AA112" i="47" s="1"/>
  <c r="J112" i="47" s="1"/>
  <c r="L112" i="47" s="1"/>
  <c r="AN77" i="41"/>
  <c r="AP77" i="41" s="1"/>
  <c r="AL77" i="41"/>
  <c r="AM77" i="41" s="1"/>
  <c r="B77" i="41"/>
  <c r="C61" i="61"/>
  <c r="D86" i="61"/>
  <c r="S84" i="26"/>
  <c r="X84" i="26" s="1"/>
  <c r="Y84" i="26" s="1"/>
  <c r="J84" i="26" s="1"/>
  <c r="G74" i="41"/>
  <c r="H74" i="41" s="1"/>
  <c r="K74" i="41"/>
  <c r="Y77" i="51"/>
  <c r="Z77" i="51" s="1"/>
  <c r="AA77" i="51" s="1"/>
  <c r="J77" i="51" s="1"/>
  <c r="L77" i="51" s="1"/>
  <c r="J75" i="41"/>
  <c r="F75" i="41"/>
  <c r="L74" i="41"/>
  <c r="AE67" i="26"/>
  <c r="AN68" i="26"/>
  <c r="AP68" i="26" s="1"/>
  <c r="AG68" i="26" s="1"/>
  <c r="G68" i="26" s="1"/>
  <c r="R69" i="26"/>
  <c r="V69" i="26" s="1"/>
  <c r="AY68" i="26"/>
  <c r="H73" i="41"/>
  <c r="AP113" i="47"/>
  <c r="AR113" i="47"/>
  <c r="AT114" i="47" s="1"/>
  <c r="AN75" i="51"/>
  <c r="AP75" i="51" s="1"/>
  <c r="AL75" i="51"/>
  <c r="AM75" i="51" s="1"/>
  <c r="B75" i="51"/>
  <c r="AA84" i="26"/>
  <c r="T84" i="26" s="1"/>
  <c r="AI75" i="41"/>
  <c r="AB74" i="41"/>
  <c r="R76" i="41"/>
  <c r="U76" i="41" s="1"/>
  <c r="P76" i="41" s="1"/>
  <c r="AH112" i="47"/>
  <c r="AI112" i="47" s="1"/>
  <c r="AB71" i="48"/>
  <c r="AI72" i="48"/>
  <c r="V72" i="48"/>
  <c r="U72" i="48"/>
  <c r="AQ76" i="41"/>
  <c r="AS77" i="41" s="1"/>
  <c r="AO76" i="41"/>
  <c r="V68" i="26"/>
  <c r="W68" i="26"/>
  <c r="Q68" i="26" s="1"/>
  <c r="F68" i="26" s="1"/>
  <c r="AJ83" i="26"/>
  <c r="AK83" i="26" s="1"/>
  <c r="K83" i="26" s="1"/>
  <c r="L83" i="26" s="1"/>
  <c r="L73" i="41"/>
  <c r="Q73" i="1" l="1"/>
  <c r="F73" i="1" s="1"/>
  <c r="AI74" i="1"/>
  <c r="AI87" i="1" s="1"/>
  <c r="U74" i="1"/>
  <c r="Q74" i="1" s="1"/>
  <c r="V74" i="1"/>
  <c r="V87" i="1" s="1"/>
  <c r="AB73" i="1"/>
  <c r="AB74" i="1"/>
  <c r="AJ73" i="1"/>
  <c r="AC73" i="1" s="1"/>
  <c r="R86" i="48"/>
  <c r="AC117" i="67"/>
  <c r="V118" i="67"/>
  <c r="Q118" i="67" s="1"/>
  <c r="AK118" i="67"/>
  <c r="AK131" i="67" s="1"/>
  <c r="AC118" i="67"/>
  <c r="R86" i="39"/>
  <c r="AB72" i="39"/>
  <c r="U73" i="39"/>
  <c r="P73" i="39" s="1"/>
  <c r="P86" i="39" s="1"/>
  <c r="AB72" i="48"/>
  <c r="V73" i="48"/>
  <c r="Q73" i="48" s="1"/>
  <c r="AI73" i="48"/>
  <c r="AI86" i="48" s="1"/>
  <c r="AB73" i="48"/>
  <c r="AI73" i="39"/>
  <c r="AI86" i="39" s="1"/>
  <c r="AB73" i="39"/>
  <c r="R73" i="3"/>
  <c r="U73" i="3" s="1"/>
  <c r="P73" i="3" s="1"/>
  <c r="AQ73" i="39"/>
  <c r="AS74" i="39" s="1"/>
  <c r="AO73" i="39"/>
  <c r="Q117" i="67"/>
  <c r="G117" i="67" s="1"/>
  <c r="AM117" i="67"/>
  <c r="AL117" i="67"/>
  <c r="R117" i="67"/>
  <c r="W131" i="67"/>
  <c r="AI72" i="3"/>
  <c r="U72" i="3"/>
  <c r="AB71" i="3"/>
  <c r="V72" i="3"/>
  <c r="Q72" i="3" s="1"/>
  <c r="F72" i="3" s="1"/>
  <c r="AK71" i="3"/>
  <c r="AD71" i="3" s="1"/>
  <c r="G71" i="3" s="1"/>
  <c r="H71" i="3" s="1"/>
  <c r="AJ71" i="3"/>
  <c r="AC71" i="3" s="1"/>
  <c r="AK71" i="50"/>
  <c r="AD71" i="50" s="1"/>
  <c r="AJ71" i="50"/>
  <c r="AC71" i="50" s="1"/>
  <c r="U72" i="50"/>
  <c r="P72" i="50" s="1"/>
  <c r="AI72" i="50"/>
  <c r="AB71" i="50"/>
  <c r="R73" i="50"/>
  <c r="V73" i="50" s="1"/>
  <c r="Q73" i="50" s="1"/>
  <c r="F73" i="50" s="1"/>
  <c r="H73" i="50" s="1"/>
  <c r="V72" i="50"/>
  <c r="Q72" i="50" s="1"/>
  <c r="F72" i="50" s="1"/>
  <c r="H72" i="50" s="1"/>
  <c r="H22" i="50" s="1"/>
  <c r="R74" i="52"/>
  <c r="V74" i="52" s="1"/>
  <c r="Q74" i="52" s="1"/>
  <c r="F74" i="52" s="1"/>
  <c r="H74" i="52" s="1"/>
  <c r="AB72" i="52"/>
  <c r="AI73" i="52"/>
  <c r="V73" i="52"/>
  <c r="Q73" i="52" s="1"/>
  <c r="F73" i="52" s="1"/>
  <c r="H73" i="52" s="1"/>
  <c r="U73" i="52"/>
  <c r="P73" i="52" s="1"/>
  <c r="B74" i="52"/>
  <c r="AL74" i="52"/>
  <c r="AM74" i="52" s="1"/>
  <c r="AN74" i="52"/>
  <c r="AP74" i="52" s="1"/>
  <c r="AT79" i="26"/>
  <c r="AV79" i="26"/>
  <c r="AX80" i="26" s="1"/>
  <c r="AJ72" i="52"/>
  <c r="AC72" i="52" s="1"/>
  <c r="AK72" i="52"/>
  <c r="AD72" i="52" s="1"/>
  <c r="AO73" i="52"/>
  <c r="AQ73" i="52"/>
  <c r="AS74" i="52" s="1"/>
  <c r="B80" i="26"/>
  <c r="AS80" i="26"/>
  <c r="AU80" i="26" s="1"/>
  <c r="AQ80" i="26"/>
  <c r="AR80" i="26" s="1"/>
  <c r="AK72" i="51"/>
  <c r="AD72" i="51" s="1"/>
  <c r="V86" i="39"/>
  <c r="AI73" i="51"/>
  <c r="AK73" i="51" s="1"/>
  <c r="AD73" i="51" s="1"/>
  <c r="R74" i="51"/>
  <c r="U74" i="51" s="1"/>
  <c r="P74" i="51" s="1"/>
  <c r="AB72" i="51"/>
  <c r="AQ75" i="50"/>
  <c r="AS76" i="50" s="1"/>
  <c r="AO75" i="50"/>
  <c r="AJ108" i="47"/>
  <c r="AL108" i="47" s="1"/>
  <c r="AE108" i="47" s="1"/>
  <c r="R109" i="47"/>
  <c r="V109" i="47" s="1"/>
  <c r="Q109" i="47" s="1"/>
  <c r="F109" i="47" s="1"/>
  <c r="H109" i="47" s="1"/>
  <c r="AB107" i="47"/>
  <c r="W69" i="26"/>
  <c r="Q69" i="26" s="1"/>
  <c r="F69" i="26" s="1"/>
  <c r="AJ72" i="39"/>
  <c r="AK72" i="39"/>
  <c r="F71" i="39"/>
  <c r="Q86" i="39"/>
  <c r="V108" i="47"/>
  <c r="Q108" i="47" s="1"/>
  <c r="F108" i="47" s="1"/>
  <c r="H108" i="47" s="1"/>
  <c r="U73" i="51"/>
  <c r="P73" i="51" s="1"/>
  <c r="AL76" i="50"/>
  <c r="AM76" i="50" s="1"/>
  <c r="B76" i="50"/>
  <c r="AN76" i="50"/>
  <c r="AP76" i="50" s="1"/>
  <c r="U108" i="47"/>
  <c r="P108" i="47" s="1"/>
  <c r="AL107" i="47"/>
  <c r="AE107" i="47" s="1"/>
  <c r="Z113" i="47"/>
  <c r="AA113" i="47" s="1"/>
  <c r="J113" i="47" s="1"/>
  <c r="L113" i="47" s="1"/>
  <c r="V73" i="51"/>
  <c r="Q73" i="51" s="1"/>
  <c r="F73" i="51" s="1"/>
  <c r="H73" i="51" s="1"/>
  <c r="AO75" i="51"/>
  <c r="AQ75" i="51"/>
  <c r="AS76" i="51" s="1"/>
  <c r="P68" i="26"/>
  <c r="U68" i="26"/>
  <c r="P72" i="48"/>
  <c r="P86" i="48" s="1"/>
  <c r="U86" i="48"/>
  <c r="AB84" i="26"/>
  <c r="AC84" i="26" s="1"/>
  <c r="P69" i="26"/>
  <c r="U69" i="26"/>
  <c r="S85" i="26"/>
  <c r="AJ85" i="26" s="1"/>
  <c r="AK85" i="26" s="1"/>
  <c r="K85" i="26" s="1"/>
  <c r="AQ77" i="41"/>
  <c r="AS78" i="41" s="1"/>
  <c r="AO77" i="41"/>
  <c r="AK75" i="41"/>
  <c r="AD75" i="41" s="1"/>
  <c r="Y80" i="52"/>
  <c r="AG80" i="52" s="1"/>
  <c r="AH80" i="52" s="1"/>
  <c r="AG77" i="51"/>
  <c r="AH77" i="51" s="1"/>
  <c r="Z76" i="41"/>
  <c r="AA76" i="41" s="1"/>
  <c r="Y79" i="50"/>
  <c r="Z79" i="50" s="1"/>
  <c r="AA79" i="50" s="1"/>
  <c r="J79" i="50" s="1"/>
  <c r="L79" i="50" s="1"/>
  <c r="AA85" i="26"/>
  <c r="AI85" i="26" s="1"/>
  <c r="AL85" i="26" s="1"/>
  <c r="Q72" i="48"/>
  <c r="AI76" i="41"/>
  <c r="AK76" i="41" s="1"/>
  <c r="AD76" i="41" s="1"/>
  <c r="AB75" i="41"/>
  <c r="R77" i="41"/>
  <c r="V77" i="41" s="1"/>
  <c r="Q77" i="41" s="1"/>
  <c r="AJ72" i="48"/>
  <c r="AK72" i="48"/>
  <c r="V76" i="41"/>
  <c r="Q76" i="41" s="1"/>
  <c r="AI84" i="26"/>
  <c r="AL84" i="26" s="1"/>
  <c r="AL76" i="51"/>
  <c r="AM76" i="51" s="1"/>
  <c r="B76" i="51"/>
  <c r="AN76" i="51"/>
  <c r="AP76" i="51" s="1"/>
  <c r="AD73" i="1"/>
  <c r="AY69" i="26"/>
  <c r="AE68" i="26"/>
  <c r="AN69" i="26"/>
  <c r="AP69" i="26" s="1"/>
  <c r="AG69" i="26" s="1"/>
  <c r="G69" i="26" s="1"/>
  <c r="R70" i="26"/>
  <c r="AJ84" i="26"/>
  <c r="AK84" i="26" s="1"/>
  <c r="K84" i="26" s="1"/>
  <c r="L84" i="26" s="1"/>
  <c r="E61" i="61"/>
  <c r="E86" i="61" s="1"/>
  <c r="C86" i="61"/>
  <c r="L61" i="61"/>
  <c r="L62" i="61" s="1"/>
  <c r="L63" i="61" s="1"/>
  <c r="L64" i="61" s="1"/>
  <c r="L65" i="61" s="1"/>
  <c r="L66" i="61" s="1"/>
  <c r="L67" i="61" s="1"/>
  <c r="L68" i="61" s="1"/>
  <c r="L69" i="61" s="1"/>
  <c r="L70" i="61" s="1"/>
  <c r="L71" i="61" s="1"/>
  <c r="L72" i="61" s="1"/>
  <c r="L73" i="61" s="1"/>
  <c r="L74" i="61" s="1"/>
  <c r="L75" i="61" s="1"/>
  <c r="L76" i="61" s="1"/>
  <c r="L77" i="61" s="1"/>
  <c r="L78" i="61" s="1"/>
  <c r="L79" i="61" s="1"/>
  <c r="L80" i="61" s="1"/>
  <c r="L81" i="61" s="1"/>
  <c r="L82" i="61" s="1"/>
  <c r="L83" i="61" s="1"/>
  <c r="L84" i="61" s="1"/>
  <c r="L85" i="61" s="1"/>
  <c r="AG79" i="52"/>
  <c r="AH79" i="52" s="1"/>
  <c r="AR114" i="47"/>
  <c r="AT115" i="47" s="1"/>
  <c r="AP114" i="47"/>
  <c r="Z78" i="50"/>
  <c r="AA78" i="50" s="1"/>
  <c r="J78" i="50" s="1"/>
  <c r="L78" i="50" s="1"/>
  <c r="H68" i="26"/>
  <c r="Y78" i="51"/>
  <c r="Z78" i="51" s="1"/>
  <c r="AA78" i="51" s="1"/>
  <c r="J78" i="51" s="1"/>
  <c r="L78" i="51" s="1"/>
  <c r="AL78" i="41"/>
  <c r="AM78" i="41" s="1"/>
  <c r="AN78" i="41"/>
  <c r="AP78" i="41" s="1"/>
  <c r="B78" i="41"/>
  <c r="AJ75" i="41"/>
  <c r="AC75" i="41" s="1"/>
  <c r="Y77" i="41"/>
  <c r="AG77" i="41" s="1"/>
  <c r="AH77" i="41" s="1"/>
  <c r="AO115" i="47"/>
  <c r="AQ115" i="47" s="1"/>
  <c r="AM115" i="47"/>
  <c r="AN115" i="47" s="1"/>
  <c r="B115" i="47"/>
  <c r="AO68" i="26"/>
  <c r="AF68" i="26" s="1"/>
  <c r="Y114" i="47"/>
  <c r="Z77" i="41" l="1"/>
  <c r="AA77" i="41" s="1"/>
  <c r="AJ74" i="1"/>
  <c r="AC74" i="1" s="1"/>
  <c r="AC87" i="1" s="1"/>
  <c r="AK74" i="1"/>
  <c r="AD74" i="1" s="1"/>
  <c r="AD87" i="1" s="1"/>
  <c r="Q87" i="1"/>
  <c r="AB87" i="1"/>
  <c r="P74" i="1"/>
  <c r="P87" i="1" s="1"/>
  <c r="U87" i="1"/>
  <c r="AB86" i="39"/>
  <c r="V131" i="67"/>
  <c r="AC131" i="67"/>
  <c r="U86" i="39"/>
  <c r="V86" i="48"/>
  <c r="AM118" i="67"/>
  <c r="AF118" i="67" s="1"/>
  <c r="AL118" i="67"/>
  <c r="AE118" i="67" s="1"/>
  <c r="AB86" i="48"/>
  <c r="R86" i="3"/>
  <c r="V73" i="3"/>
  <c r="Q73" i="3" s="1"/>
  <c r="Q86" i="3" s="1"/>
  <c r="AB72" i="3"/>
  <c r="AK73" i="39"/>
  <c r="AD73" i="39" s="1"/>
  <c r="AJ73" i="39"/>
  <c r="AC73" i="39" s="1"/>
  <c r="AI73" i="3"/>
  <c r="AI86" i="3" s="1"/>
  <c r="AB73" i="3"/>
  <c r="AJ73" i="48"/>
  <c r="AC73" i="48" s="1"/>
  <c r="AK73" i="48"/>
  <c r="AD73" i="48" s="1"/>
  <c r="AE117" i="67"/>
  <c r="AF117" i="67"/>
  <c r="I117" i="67"/>
  <c r="I68" i="67" s="1"/>
  <c r="G118" i="67"/>
  <c r="AK72" i="3"/>
  <c r="AJ72" i="3"/>
  <c r="U86" i="3"/>
  <c r="P72" i="3"/>
  <c r="P86" i="3" s="1"/>
  <c r="H69" i="26"/>
  <c r="U73" i="50"/>
  <c r="P73" i="50" s="1"/>
  <c r="R74" i="50"/>
  <c r="AB72" i="50"/>
  <c r="AI73" i="50"/>
  <c r="AJ73" i="50" s="1"/>
  <c r="AC73" i="50" s="1"/>
  <c r="AJ72" i="50"/>
  <c r="AC72" i="50" s="1"/>
  <c r="AK72" i="50"/>
  <c r="AD72" i="50" s="1"/>
  <c r="U109" i="47"/>
  <c r="P109" i="47" s="1"/>
  <c r="AS81" i="26"/>
  <c r="AU81" i="26" s="1"/>
  <c r="AQ81" i="26"/>
  <c r="AR81" i="26" s="1"/>
  <c r="B81" i="26"/>
  <c r="AQ74" i="52"/>
  <c r="AS75" i="52" s="1"/>
  <c r="AO74" i="52"/>
  <c r="AJ73" i="52"/>
  <c r="AC73" i="52" s="1"/>
  <c r="AK73" i="52"/>
  <c r="AD73" i="52" s="1"/>
  <c r="AG78" i="51"/>
  <c r="AH78" i="51" s="1"/>
  <c r="AV80" i="26"/>
  <c r="AX81" i="26" s="1"/>
  <c r="AT80" i="26"/>
  <c r="B75" i="52"/>
  <c r="AL75" i="52"/>
  <c r="AM75" i="52" s="1"/>
  <c r="AN75" i="52"/>
  <c r="AP75" i="52" s="1"/>
  <c r="U74" i="52"/>
  <c r="P74" i="52" s="1"/>
  <c r="AB73" i="52"/>
  <c r="AI74" i="52"/>
  <c r="R75" i="52"/>
  <c r="AK108" i="47"/>
  <c r="AD108" i="47" s="1"/>
  <c r="AG79" i="50"/>
  <c r="AH79" i="50" s="1"/>
  <c r="AB85" i="26"/>
  <c r="AC85" i="26" s="1"/>
  <c r="AO69" i="26"/>
  <c r="AF69" i="26" s="1"/>
  <c r="AD72" i="39"/>
  <c r="H59" i="47"/>
  <c r="AC72" i="39"/>
  <c r="AB73" i="51"/>
  <c r="AI74" i="51"/>
  <c r="AK74" i="51" s="1"/>
  <c r="AD74" i="51" s="1"/>
  <c r="R75" i="51"/>
  <c r="AN77" i="50"/>
  <c r="AP77" i="50" s="1"/>
  <c r="AL77" i="50"/>
  <c r="AM77" i="50" s="1"/>
  <c r="B77" i="50"/>
  <c r="H71" i="39"/>
  <c r="F73" i="39"/>
  <c r="F74" i="39" s="1"/>
  <c r="AJ109" i="47"/>
  <c r="AL109" i="47" s="1"/>
  <c r="AE109" i="47" s="1"/>
  <c r="AB108" i="47"/>
  <c r="R110" i="47"/>
  <c r="V110" i="47" s="1"/>
  <c r="Q110" i="47" s="1"/>
  <c r="F110" i="47" s="1"/>
  <c r="H110" i="47" s="1"/>
  <c r="V74" i="51"/>
  <c r="Q74" i="51" s="1"/>
  <c r="F74" i="51" s="1"/>
  <c r="H74" i="51" s="1"/>
  <c r="AJ73" i="51"/>
  <c r="AC73" i="51" s="1"/>
  <c r="AQ76" i="50"/>
  <c r="AS77" i="50" s="1"/>
  <c r="AO76" i="50"/>
  <c r="K76" i="41"/>
  <c r="G76" i="41"/>
  <c r="AN79" i="41"/>
  <c r="AP79" i="41" s="1"/>
  <c r="AL79" i="41"/>
  <c r="AM79" i="41" s="1"/>
  <c r="B79" i="41"/>
  <c r="AE69" i="26"/>
  <c r="AN70" i="26"/>
  <c r="AP70" i="26" s="1"/>
  <c r="AG70" i="26" s="1"/>
  <c r="G70" i="26" s="1"/>
  <c r="AY70" i="26"/>
  <c r="R71" i="26"/>
  <c r="J77" i="41"/>
  <c r="F77" i="41"/>
  <c r="Y81" i="52"/>
  <c r="Y115" i="47"/>
  <c r="Z115" i="47" s="1"/>
  <c r="AA115" i="47" s="1"/>
  <c r="J115" i="47" s="1"/>
  <c r="L115" i="47" s="1"/>
  <c r="AC72" i="48"/>
  <c r="AH114" i="47"/>
  <c r="AI114" i="47" s="1"/>
  <c r="Z78" i="41"/>
  <c r="AA78" i="41" s="1"/>
  <c r="Y78" i="41"/>
  <c r="AG78" i="41" s="1"/>
  <c r="AH78" i="41" s="1"/>
  <c r="W70" i="26"/>
  <c r="Q70" i="26" s="1"/>
  <c r="F70" i="26" s="1"/>
  <c r="AN77" i="51"/>
  <c r="AP77" i="51" s="1"/>
  <c r="AL77" i="51"/>
  <c r="AM77" i="51" s="1"/>
  <c r="B77" i="51"/>
  <c r="AI77" i="41"/>
  <c r="R78" i="41"/>
  <c r="U78" i="41" s="1"/>
  <c r="P78" i="41" s="1"/>
  <c r="AB76" i="41"/>
  <c r="U77" i="41"/>
  <c r="P77" i="41" s="1"/>
  <c r="T85" i="26"/>
  <c r="Y80" i="50"/>
  <c r="H73" i="1"/>
  <c r="H23" i="1" s="1"/>
  <c r="F74" i="1"/>
  <c r="F75" i="1" s="1"/>
  <c r="H75" i="1" s="1"/>
  <c r="S86" i="26"/>
  <c r="AJ76" i="41"/>
  <c r="AC76" i="41" s="1"/>
  <c r="AR115" i="47"/>
  <c r="AT116" i="47" s="1"/>
  <c r="AP115" i="47"/>
  <c r="Z114" i="47"/>
  <c r="AA114" i="47" s="1"/>
  <c r="J114" i="47" s="1"/>
  <c r="L114" i="47" s="1"/>
  <c r="AO116" i="47"/>
  <c r="AQ116" i="47" s="1"/>
  <c r="B116" i="47"/>
  <c r="AM116" i="47"/>
  <c r="AN116" i="47" s="1"/>
  <c r="AQ78" i="41"/>
  <c r="AS79" i="41" s="1"/>
  <c r="AO78" i="41"/>
  <c r="Y79" i="51"/>
  <c r="V70" i="26"/>
  <c r="AQ76" i="51"/>
  <c r="AS77" i="51" s="1"/>
  <c r="AO76" i="51"/>
  <c r="J76" i="41"/>
  <c r="F76" i="41"/>
  <c r="H76" i="41" s="1"/>
  <c r="Z80" i="52"/>
  <c r="AA80" i="52" s="1"/>
  <c r="J80" i="52" s="1"/>
  <c r="L80" i="52" s="1"/>
  <c r="X85" i="26"/>
  <c r="Y85" i="26" s="1"/>
  <c r="J85" i="26" s="1"/>
  <c r="L85" i="26" s="1"/>
  <c r="AD72" i="48"/>
  <c r="AK77" i="41"/>
  <c r="AD77" i="41" s="1"/>
  <c r="AJ77" i="41"/>
  <c r="AC77" i="41" s="1"/>
  <c r="F72" i="48"/>
  <c r="Q86" i="48"/>
  <c r="AA86" i="26"/>
  <c r="T86" i="26" s="1"/>
  <c r="G75" i="41"/>
  <c r="H75" i="41" s="1"/>
  <c r="K75" i="41"/>
  <c r="L75" i="41" s="1"/>
  <c r="AL131" i="67" l="1"/>
  <c r="V78" i="41"/>
  <c r="Q78" i="41" s="1"/>
  <c r="AK87" i="1"/>
  <c r="AJ87" i="1"/>
  <c r="AK86" i="48"/>
  <c r="AD86" i="48"/>
  <c r="AE131" i="67"/>
  <c r="AF131" i="67"/>
  <c r="G119" i="67"/>
  <c r="I119" i="67" s="1"/>
  <c r="AM131" i="67"/>
  <c r="AB86" i="3"/>
  <c r="F73" i="3"/>
  <c r="F74" i="3" s="1"/>
  <c r="AC86" i="48"/>
  <c r="AJ86" i="48"/>
  <c r="AK86" i="39"/>
  <c r="V86" i="3"/>
  <c r="AC86" i="39"/>
  <c r="AK73" i="3"/>
  <c r="AD73" i="3" s="1"/>
  <c r="AJ73" i="3"/>
  <c r="AC73" i="3" s="1"/>
  <c r="AJ86" i="39"/>
  <c r="I118" i="67"/>
  <c r="AC72" i="3"/>
  <c r="AD72" i="3"/>
  <c r="AK109" i="47"/>
  <c r="AD109" i="47" s="1"/>
  <c r="U74" i="50"/>
  <c r="P74" i="50" s="1"/>
  <c r="R75" i="50"/>
  <c r="AB73" i="50"/>
  <c r="V74" i="50"/>
  <c r="Q74" i="50" s="1"/>
  <c r="F74" i="50" s="1"/>
  <c r="H74" i="50" s="1"/>
  <c r="AI74" i="50"/>
  <c r="AK73" i="50"/>
  <c r="AD73" i="50" s="1"/>
  <c r="AO70" i="26"/>
  <c r="AF70" i="26" s="1"/>
  <c r="AK74" i="52"/>
  <c r="AD74" i="52" s="1"/>
  <c r="AJ74" i="52"/>
  <c r="AC74" i="52" s="1"/>
  <c r="AQ75" i="52"/>
  <c r="AS76" i="52" s="1"/>
  <c r="AO75" i="52"/>
  <c r="AL76" i="52"/>
  <c r="AM76" i="52" s="1"/>
  <c r="AN76" i="52"/>
  <c r="AP76" i="52" s="1"/>
  <c r="B76" i="52"/>
  <c r="AS82" i="26"/>
  <c r="AU82" i="26" s="1"/>
  <c r="B82" i="26"/>
  <c r="AQ82" i="26"/>
  <c r="AR82" i="26" s="1"/>
  <c r="AV81" i="26"/>
  <c r="AX82" i="26" s="1"/>
  <c r="AT81" i="26"/>
  <c r="V75" i="52"/>
  <c r="Q75" i="52" s="1"/>
  <c r="F75" i="52" s="1"/>
  <c r="H75" i="52" s="1"/>
  <c r="AB74" i="52"/>
  <c r="AI75" i="52"/>
  <c r="AK75" i="52" s="1"/>
  <c r="AD75" i="52" s="1"/>
  <c r="R76" i="52"/>
  <c r="U75" i="52"/>
  <c r="P75" i="52" s="1"/>
  <c r="U110" i="47"/>
  <c r="P110" i="47" s="1"/>
  <c r="AJ74" i="51"/>
  <c r="AC74" i="51" s="1"/>
  <c r="AI86" i="26"/>
  <c r="AL86" i="26" s="1"/>
  <c r="AB86" i="26"/>
  <c r="AC86" i="26" s="1"/>
  <c r="AH115" i="47"/>
  <c r="AI115" i="47" s="1"/>
  <c r="G72" i="39"/>
  <c r="AD86" i="39"/>
  <c r="F22" i="39"/>
  <c r="U75" i="51"/>
  <c r="P75" i="51" s="1"/>
  <c r="AB74" i="51"/>
  <c r="V75" i="51"/>
  <c r="Q75" i="51" s="1"/>
  <c r="F75" i="51" s="1"/>
  <c r="H75" i="51" s="1"/>
  <c r="R76" i="51"/>
  <c r="U76" i="51" s="1"/>
  <c r="P76" i="51" s="1"/>
  <c r="AI75" i="51"/>
  <c r="AL78" i="50"/>
  <c r="AM78" i="50" s="1"/>
  <c r="B78" i="50"/>
  <c r="AN78" i="50"/>
  <c r="AP78" i="50" s="1"/>
  <c r="R111" i="47"/>
  <c r="V111" i="47" s="1"/>
  <c r="Q111" i="47" s="1"/>
  <c r="F111" i="47" s="1"/>
  <c r="H111" i="47" s="1"/>
  <c r="AJ110" i="47"/>
  <c r="AK110" i="47" s="1"/>
  <c r="AD110" i="47" s="1"/>
  <c r="AB109" i="47"/>
  <c r="AQ77" i="50"/>
  <c r="AS78" i="50" s="1"/>
  <c r="AO77" i="50"/>
  <c r="P70" i="26"/>
  <c r="U70" i="26"/>
  <c r="Y80" i="51"/>
  <c r="Z80" i="51" s="1"/>
  <c r="AA80" i="51" s="1"/>
  <c r="J80" i="51" s="1"/>
  <c r="L80" i="51" s="1"/>
  <c r="AL78" i="51"/>
  <c r="AM78" i="51" s="1"/>
  <c r="B78" i="51"/>
  <c r="AN78" i="51"/>
  <c r="AP78" i="51" s="1"/>
  <c r="Y82" i="52"/>
  <c r="Z82" i="52" s="1"/>
  <c r="AA82" i="52" s="1"/>
  <c r="J82" i="52" s="1"/>
  <c r="L82" i="52" s="1"/>
  <c r="AY71" i="26"/>
  <c r="AE70" i="26"/>
  <c r="R72" i="26"/>
  <c r="V72" i="26" s="1"/>
  <c r="AN71" i="26"/>
  <c r="AP71" i="26" s="1"/>
  <c r="AG71" i="26" s="1"/>
  <c r="G71" i="26" s="1"/>
  <c r="V71" i="26"/>
  <c r="H72" i="48"/>
  <c r="H22" i="48" s="1"/>
  <c r="F73" i="48"/>
  <c r="F74" i="48" s="1"/>
  <c r="H74" i="48" s="1"/>
  <c r="L76" i="41"/>
  <c r="F23" i="1"/>
  <c r="H10" i="1" s="1"/>
  <c r="H74" i="1"/>
  <c r="AI78" i="41"/>
  <c r="AB77" i="41"/>
  <c r="R79" i="41"/>
  <c r="V79" i="41" s="1"/>
  <c r="Q79" i="41" s="1"/>
  <c r="AO77" i="51"/>
  <c r="AQ77" i="51"/>
  <c r="AS78" i="51" s="1"/>
  <c r="Y79" i="41"/>
  <c r="Z79" i="41" s="1"/>
  <c r="AA79" i="41" s="1"/>
  <c r="AG81" i="52"/>
  <c r="AH81" i="52" s="1"/>
  <c r="W71" i="26"/>
  <c r="Q71" i="26" s="1"/>
  <c r="F71" i="26" s="1"/>
  <c r="AO79" i="41"/>
  <c r="AQ79" i="41"/>
  <c r="AS80" i="41" s="1"/>
  <c r="S87" i="26"/>
  <c r="X87" i="26" s="1"/>
  <c r="Y87" i="26" s="1"/>
  <c r="J87" i="26" s="1"/>
  <c r="Y81" i="50"/>
  <c r="Z81" i="50" s="1"/>
  <c r="AA81" i="50" s="1"/>
  <c r="J81" i="50" s="1"/>
  <c r="L81" i="50" s="1"/>
  <c r="Z79" i="51"/>
  <c r="AA79" i="51" s="1"/>
  <c r="J79" i="51" s="1"/>
  <c r="L79" i="51" s="1"/>
  <c r="AJ86" i="26"/>
  <c r="AK86" i="26" s="1"/>
  <c r="K86" i="26" s="1"/>
  <c r="AG80" i="50"/>
  <c r="AH80" i="50" s="1"/>
  <c r="J78" i="41"/>
  <c r="F78" i="41"/>
  <c r="Y116" i="47"/>
  <c r="AH116" i="47" s="1"/>
  <c r="AI116" i="47" s="1"/>
  <c r="AO117" i="47"/>
  <c r="AQ117" i="47" s="1"/>
  <c r="AM117" i="47"/>
  <c r="AN117" i="47" s="1"/>
  <c r="B117" i="47"/>
  <c r="AA87" i="26"/>
  <c r="T87" i="26" s="1"/>
  <c r="K77" i="41"/>
  <c r="G77" i="41"/>
  <c r="H77" i="41" s="1"/>
  <c r="AG79" i="51"/>
  <c r="AH79" i="51" s="1"/>
  <c r="AP116" i="47"/>
  <c r="AR116" i="47"/>
  <c r="AT117" i="47" s="1"/>
  <c r="X86" i="26"/>
  <c r="Y86" i="26" s="1"/>
  <c r="J86" i="26" s="1"/>
  <c r="Z80" i="50"/>
  <c r="AA80" i="50" s="1"/>
  <c r="J80" i="50" s="1"/>
  <c r="L80" i="50" s="1"/>
  <c r="AK78" i="41"/>
  <c r="AD78" i="41" s="1"/>
  <c r="AJ78" i="41"/>
  <c r="AC78" i="41" s="1"/>
  <c r="H70" i="26"/>
  <c r="Z81" i="52"/>
  <c r="AA81" i="52" s="1"/>
  <c r="J81" i="52" s="1"/>
  <c r="L81" i="52" s="1"/>
  <c r="L77" i="41"/>
  <c r="AN80" i="41"/>
  <c r="AP80" i="41" s="1"/>
  <c r="B80" i="41"/>
  <c r="AL80" i="41"/>
  <c r="AM80" i="41" s="1"/>
  <c r="U79" i="41" l="1"/>
  <c r="P79" i="41" s="1"/>
  <c r="AJ86" i="3"/>
  <c r="F22" i="3"/>
  <c r="G68" i="67"/>
  <c r="AK86" i="3"/>
  <c r="AC86" i="3"/>
  <c r="G72" i="3"/>
  <c r="AD86" i="3"/>
  <c r="AI75" i="50"/>
  <c r="AJ75" i="50" s="1"/>
  <c r="AC75" i="50" s="1"/>
  <c r="U75" i="50"/>
  <c r="P75" i="50" s="1"/>
  <c r="AB74" i="50"/>
  <c r="R76" i="50"/>
  <c r="V75" i="50"/>
  <c r="Q75" i="50" s="1"/>
  <c r="F75" i="50" s="1"/>
  <c r="H75" i="50" s="1"/>
  <c r="AK74" i="50"/>
  <c r="AD74" i="50" s="1"/>
  <c r="AJ74" i="50"/>
  <c r="AC74" i="50" s="1"/>
  <c r="AJ75" i="52"/>
  <c r="AC75" i="52" s="1"/>
  <c r="AV82" i="26"/>
  <c r="AX83" i="26" s="1"/>
  <c r="AT82" i="26"/>
  <c r="AS83" i="26"/>
  <c r="AU83" i="26" s="1"/>
  <c r="AQ83" i="26"/>
  <c r="AR83" i="26" s="1"/>
  <c r="B83" i="26"/>
  <c r="AQ76" i="52"/>
  <c r="AS77" i="52" s="1"/>
  <c r="AO76" i="52"/>
  <c r="U76" i="52"/>
  <c r="P76" i="52" s="1"/>
  <c r="AB75" i="52"/>
  <c r="AI76" i="52"/>
  <c r="R77" i="52"/>
  <c r="V76" i="52"/>
  <c r="Q76" i="52" s="1"/>
  <c r="F76" i="52" s="1"/>
  <c r="H76" i="52" s="1"/>
  <c r="L86" i="26"/>
  <c r="AN77" i="52"/>
  <c r="AP77" i="52" s="1"/>
  <c r="B77" i="52"/>
  <c r="AL77" i="52"/>
  <c r="AM77" i="52" s="1"/>
  <c r="V76" i="51"/>
  <c r="Q76" i="51" s="1"/>
  <c r="F76" i="51" s="1"/>
  <c r="H76" i="51" s="1"/>
  <c r="AO71" i="26"/>
  <c r="AF71" i="26" s="1"/>
  <c r="AG80" i="51"/>
  <c r="AH80" i="51" s="1"/>
  <c r="Z116" i="47"/>
  <c r="AA116" i="47" s="1"/>
  <c r="J116" i="47" s="1"/>
  <c r="L116" i="47" s="1"/>
  <c r="R112" i="47"/>
  <c r="AB110" i="47"/>
  <c r="AJ111" i="47"/>
  <c r="AL111" i="47" s="1"/>
  <c r="AE111" i="47" s="1"/>
  <c r="AB75" i="51"/>
  <c r="AI76" i="51"/>
  <c r="R77" i="51"/>
  <c r="V77" i="51" s="1"/>
  <c r="Q77" i="51" s="1"/>
  <c r="F77" i="51" s="1"/>
  <c r="H77" i="51" s="1"/>
  <c r="B79" i="50"/>
  <c r="AN79" i="50"/>
  <c r="AP79" i="50" s="1"/>
  <c r="AL79" i="50"/>
  <c r="AM79" i="50" s="1"/>
  <c r="G73" i="39"/>
  <c r="G74" i="39" s="1"/>
  <c r="H74" i="39" s="1"/>
  <c r="H72" i="39"/>
  <c r="H22" i="39" s="1"/>
  <c r="AL110" i="47"/>
  <c r="AE110" i="47" s="1"/>
  <c r="U111" i="47"/>
  <c r="P111" i="47" s="1"/>
  <c r="AO78" i="50"/>
  <c r="AQ78" i="50"/>
  <c r="AS79" i="50" s="1"/>
  <c r="AJ75" i="51"/>
  <c r="AC75" i="51" s="1"/>
  <c r="AK75" i="51"/>
  <c r="AD75" i="51" s="1"/>
  <c r="J79" i="41"/>
  <c r="F79" i="41"/>
  <c r="AM118" i="47"/>
  <c r="AN118" i="47" s="1"/>
  <c r="B118" i="47"/>
  <c r="AO118" i="47"/>
  <c r="AQ118" i="47" s="1"/>
  <c r="Y82" i="50"/>
  <c r="Z82" i="50" s="1"/>
  <c r="AA82" i="50" s="1"/>
  <c r="J82" i="50" s="1"/>
  <c r="L82" i="50" s="1"/>
  <c r="AG79" i="41"/>
  <c r="AH79" i="41" s="1"/>
  <c r="U71" i="26"/>
  <c r="P71" i="26"/>
  <c r="AE71" i="26"/>
  <c r="AY72" i="26"/>
  <c r="AN72" i="26"/>
  <c r="AO72" i="26" s="1"/>
  <c r="AF72" i="26" s="1"/>
  <c r="R73" i="26"/>
  <c r="V73" i="26" s="1"/>
  <c r="AR117" i="47"/>
  <c r="AT118" i="47" s="1"/>
  <c r="AP117" i="47"/>
  <c r="W72" i="26"/>
  <c r="Q72" i="26" s="1"/>
  <c r="F72" i="26" s="1"/>
  <c r="AN79" i="51"/>
  <c r="AP79" i="51" s="1"/>
  <c r="AL79" i="51"/>
  <c r="AM79" i="51" s="1"/>
  <c r="B79" i="51"/>
  <c r="Y81" i="51"/>
  <c r="AG81" i="51" s="1"/>
  <c r="AH81" i="51" s="1"/>
  <c r="AA88" i="26"/>
  <c r="T88" i="26" s="1"/>
  <c r="S88" i="26"/>
  <c r="AJ88" i="26" s="1"/>
  <c r="AK88" i="26" s="1"/>
  <c r="K88" i="26" s="1"/>
  <c r="H71" i="26"/>
  <c r="Y80" i="41"/>
  <c r="AG80" i="41" s="1"/>
  <c r="AH80" i="41" s="1"/>
  <c r="F22" i="48"/>
  <c r="H10" i="48" s="1"/>
  <c r="H73" i="48"/>
  <c r="P72" i="26"/>
  <c r="U72" i="26"/>
  <c r="Y83" i="52"/>
  <c r="Y84" i="52" s="1"/>
  <c r="AQ78" i="51"/>
  <c r="AS79" i="51" s="1"/>
  <c r="AO78" i="51"/>
  <c r="AO80" i="41"/>
  <c r="AQ80" i="41"/>
  <c r="AS81" i="41" s="1"/>
  <c r="B81" i="41"/>
  <c r="AN81" i="41"/>
  <c r="AP81" i="41" s="1"/>
  <c r="AL81" i="41"/>
  <c r="AM81" i="41" s="1"/>
  <c r="K78" i="41"/>
  <c r="L78" i="41" s="1"/>
  <c r="G78" i="41"/>
  <c r="H78" i="41" s="1"/>
  <c r="Y117" i="47"/>
  <c r="Z117" i="47" s="1"/>
  <c r="AA117" i="47" s="1"/>
  <c r="J117" i="47" s="1"/>
  <c r="L117" i="47" s="1"/>
  <c r="AG81" i="50"/>
  <c r="AH81" i="50" s="1"/>
  <c r="AJ87" i="26"/>
  <c r="AK87" i="26" s="1"/>
  <c r="K87" i="26" s="1"/>
  <c r="L87" i="26" s="1"/>
  <c r="AB78" i="41"/>
  <c r="AI79" i="41"/>
  <c r="R80" i="41"/>
  <c r="U80" i="41" s="1"/>
  <c r="P80" i="41" s="1"/>
  <c r="AG82" i="52"/>
  <c r="AH82" i="52" s="1"/>
  <c r="I55" i="67" l="1"/>
  <c r="G131" i="67"/>
  <c r="G25" i="67" s="1"/>
  <c r="G73" i="3"/>
  <c r="G74" i="3" s="1"/>
  <c r="H74" i="3" s="1"/>
  <c r="H72" i="3"/>
  <c r="H22" i="3" s="1"/>
  <c r="AK75" i="50"/>
  <c r="AD75" i="50" s="1"/>
  <c r="U76" i="50"/>
  <c r="P76" i="50" s="1"/>
  <c r="V76" i="50"/>
  <c r="Q76" i="50" s="1"/>
  <c r="F76" i="50" s="1"/>
  <c r="H76" i="50" s="1"/>
  <c r="AB75" i="50"/>
  <c r="AI76" i="50"/>
  <c r="R77" i="50"/>
  <c r="AH117" i="47"/>
  <c r="AI117" i="47" s="1"/>
  <c r="AQ77" i="52"/>
  <c r="AS78" i="52" s="1"/>
  <c r="AO77" i="52"/>
  <c r="AT83" i="26"/>
  <c r="AV83" i="26"/>
  <c r="AX84" i="26" s="1"/>
  <c r="AL78" i="52"/>
  <c r="AM78" i="52" s="1"/>
  <c r="B78" i="52"/>
  <c r="AN78" i="52"/>
  <c r="AP78" i="52" s="1"/>
  <c r="V77" i="52"/>
  <c r="Q77" i="52" s="1"/>
  <c r="F77" i="52" s="1"/>
  <c r="H77" i="52" s="1"/>
  <c r="AB76" i="52"/>
  <c r="R78" i="52"/>
  <c r="U77" i="52"/>
  <c r="P77" i="52" s="1"/>
  <c r="AI77" i="52"/>
  <c r="AK77" i="52" s="1"/>
  <c r="AD77" i="52" s="1"/>
  <c r="U77" i="51"/>
  <c r="P77" i="51" s="1"/>
  <c r="AJ76" i="52"/>
  <c r="AC76" i="52" s="1"/>
  <c r="AK76" i="52"/>
  <c r="AD76" i="52" s="1"/>
  <c r="AQ84" i="26"/>
  <c r="AR84" i="26" s="1"/>
  <c r="AS84" i="26"/>
  <c r="AU84" i="26" s="1"/>
  <c r="B84" i="26"/>
  <c r="AP72" i="26"/>
  <c r="AG72" i="26" s="1"/>
  <c r="G72" i="26" s="1"/>
  <c r="H72" i="26" s="1"/>
  <c r="Z83" i="52"/>
  <c r="AA83" i="52" s="1"/>
  <c r="J83" i="52" s="1"/>
  <c r="L83" i="52" s="1"/>
  <c r="W73" i="26"/>
  <c r="Q73" i="26" s="1"/>
  <c r="F73" i="26" s="1"/>
  <c r="AN80" i="50"/>
  <c r="AP80" i="50" s="1"/>
  <c r="AL80" i="50"/>
  <c r="AM80" i="50" s="1"/>
  <c r="B80" i="50"/>
  <c r="AK76" i="51"/>
  <c r="AD76" i="51" s="1"/>
  <c r="G22" i="39"/>
  <c r="H10" i="39" s="1"/>
  <c r="H73" i="39"/>
  <c r="R113" i="47"/>
  <c r="V113" i="47" s="1"/>
  <c r="Q113" i="47" s="1"/>
  <c r="F113" i="47" s="1"/>
  <c r="H113" i="47" s="1"/>
  <c r="AJ112" i="47"/>
  <c r="AL112" i="47" s="1"/>
  <c r="AE112" i="47" s="1"/>
  <c r="AB111" i="47"/>
  <c r="AK111" i="47"/>
  <c r="AD111" i="47" s="1"/>
  <c r="AG82" i="50"/>
  <c r="AH82" i="50" s="1"/>
  <c r="AJ76" i="51"/>
  <c r="AC76" i="51" s="1"/>
  <c r="AQ79" i="50"/>
  <c r="AS80" i="50" s="1"/>
  <c r="AO79" i="50"/>
  <c r="R78" i="51"/>
  <c r="AB76" i="51"/>
  <c r="AI77" i="51"/>
  <c r="AK77" i="51" s="1"/>
  <c r="AD77" i="51" s="1"/>
  <c r="U112" i="47"/>
  <c r="P112" i="47" s="1"/>
  <c r="V112" i="47"/>
  <c r="Q112" i="47" s="1"/>
  <c r="F112" i="47" s="1"/>
  <c r="H112" i="47" s="1"/>
  <c r="P73" i="26"/>
  <c r="U73" i="26"/>
  <c r="AN82" i="41"/>
  <c r="AP82" i="41" s="1"/>
  <c r="AL82" i="41"/>
  <c r="AM82" i="41" s="1"/>
  <c r="B82" i="41"/>
  <c r="V80" i="41"/>
  <c r="Q80" i="41" s="1"/>
  <c r="Z84" i="52"/>
  <c r="AA84" i="52" s="1"/>
  <c r="J84" i="52" s="1"/>
  <c r="L84" i="52" s="1"/>
  <c r="Y85" i="52"/>
  <c r="AG85" i="52" s="1"/>
  <c r="AH85" i="52" s="1"/>
  <c r="AG84" i="52"/>
  <c r="AH84" i="52" s="1"/>
  <c r="AA89" i="26"/>
  <c r="T89" i="26" s="1"/>
  <c r="AL80" i="51"/>
  <c r="AM80" i="51" s="1"/>
  <c r="B80" i="51"/>
  <c r="AN80" i="51"/>
  <c r="AP80" i="51" s="1"/>
  <c r="Y118" i="47"/>
  <c r="AH118" i="47" s="1"/>
  <c r="AI118" i="47" s="1"/>
  <c r="AQ81" i="41"/>
  <c r="AS82" i="41" s="1"/>
  <c r="AO81" i="41"/>
  <c r="AK79" i="41"/>
  <c r="AD79" i="41" s="1"/>
  <c r="Z80" i="41"/>
  <c r="AA80" i="41" s="1"/>
  <c r="X88" i="26"/>
  <c r="Y88" i="26" s="1"/>
  <c r="J88" i="26" s="1"/>
  <c r="L88" i="26" s="1"/>
  <c r="Z81" i="51"/>
  <c r="AA81" i="51" s="1"/>
  <c r="J81" i="51" s="1"/>
  <c r="L81" i="51" s="1"/>
  <c r="AQ79" i="51"/>
  <c r="AS80" i="51" s="1"/>
  <c r="AO79" i="51"/>
  <c r="AM119" i="47"/>
  <c r="AN119" i="47" s="1"/>
  <c r="B119" i="47"/>
  <c r="AO119" i="47"/>
  <c r="AQ119" i="47" s="1"/>
  <c r="AB79" i="41"/>
  <c r="R81" i="41"/>
  <c r="V81" i="41"/>
  <c r="Q81" i="41" s="1"/>
  <c r="AI80" i="41"/>
  <c r="AJ80" i="41" s="1"/>
  <c r="AC80" i="41" s="1"/>
  <c r="AG83" i="52"/>
  <c r="AH83" i="52" s="1"/>
  <c r="AJ79" i="41"/>
  <c r="AC79" i="41" s="1"/>
  <c r="AY73" i="26"/>
  <c r="AN73" i="26"/>
  <c r="AE72" i="26"/>
  <c r="R74" i="26"/>
  <c r="Y83" i="50"/>
  <c r="Y84" i="50" s="1"/>
  <c r="AR118" i="47"/>
  <c r="AT119" i="47" s="1"/>
  <c r="AP118" i="47"/>
  <c r="Y81" i="41"/>
  <c r="Z81" i="41"/>
  <c r="AA81" i="41" s="1"/>
  <c r="AG81" i="41"/>
  <c r="AH81" i="41" s="1"/>
  <c r="S89" i="26"/>
  <c r="X89" i="26" s="1"/>
  <c r="Y89" i="26" s="1"/>
  <c r="J89" i="26" s="1"/>
  <c r="Y82" i="51"/>
  <c r="AG82" i="51" s="1"/>
  <c r="AH82" i="51" s="1"/>
  <c r="Z85" i="52" l="1"/>
  <c r="AA85" i="52" s="1"/>
  <c r="J85" i="52" s="1"/>
  <c r="L85" i="52" s="1"/>
  <c r="G22" i="3"/>
  <c r="H10" i="3" s="1"/>
  <c r="H73" i="3"/>
  <c r="AK76" i="50"/>
  <c r="AD76" i="50" s="1"/>
  <c r="AJ76" i="50"/>
  <c r="AC76" i="50" s="1"/>
  <c r="V77" i="50"/>
  <c r="Q77" i="50" s="1"/>
  <c r="F77" i="50" s="1"/>
  <c r="H77" i="50" s="1"/>
  <c r="U77" i="50"/>
  <c r="P77" i="50" s="1"/>
  <c r="AB76" i="50"/>
  <c r="AI77" i="50"/>
  <c r="AJ77" i="50" s="1"/>
  <c r="AC77" i="50" s="1"/>
  <c r="R78" i="50"/>
  <c r="AK112" i="47"/>
  <c r="AD112" i="47" s="1"/>
  <c r="AJ77" i="52"/>
  <c r="AC77" i="52" s="1"/>
  <c r="U113" i="47"/>
  <c r="P113" i="47" s="1"/>
  <c r="AS85" i="26"/>
  <c r="AU85" i="26" s="1"/>
  <c r="AQ85" i="26"/>
  <c r="AR85" i="26" s="1"/>
  <c r="B85" i="26"/>
  <c r="AV84" i="26"/>
  <c r="AX85" i="26" s="1"/>
  <c r="AT84" i="26"/>
  <c r="V78" i="52"/>
  <c r="Q78" i="52" s="1"/>
  <c r="F78" i="52" s="1"/>
  <c r="H78" i="52" s="1"/>
  <c r="AI78" i="52"/>
  <c r="U78" i="52"/>
  <c r="P78" i="52" s="1"/>
  <c r="R79" i="52"/>
  <c r="AB77" i="52"/>
  <c r="AN79" i="52"/>
  <c r="AP79" i="52" s="1"/>
  <c r="B79" i="52"/>
  <c r="AL79" i="52"/>
  <c r="AM79" i="52" s="1"/>
  <c r="AQ78" i="52"/>
  <c r="AS79" i="52" s="1"/>
  <c r="AO78" i="52"/>
  <c r="Z83" i="50"/>
  <c r="AA83" i="50" s="1"/>
  <c r="J83" i="50" s="1"/>
  <c r="L83" i="50" s="1"/>
  <c r="Z118" i="47"/>
  <c r="AA118" i="47" s="1"/>
  <c r="J118" i="47" s="1"/>
  <c r="L118" i="47" s="1"/>
  <c r="AG83" i="50"/>
  <c r="AH83" i="50" s="1"/>
  <c r="R79" i="51"/>
  <c r="U78" i="51"/>
  <c r="P78" i="51" s="1"/>
  <c r="AI78" i="51"/>
  <c r="AK78" i="51" s="1"/>
  <c r="AD78" i="51" s="1"/>
  <c r="V78" i="51"/>
  <c r="Q78" i="51" s="1"/>
  <c r="F78" i="51" s="1"/>
  <c r="H78" i="51" s="1"/>
  <c r="AB77" i="51"/>
  <c r="AB112" i="47"/>
  <c r="R114" i="47"/>
  <c r="V114" i="47" s="1"/>
  <c r="Q114" i="47" s="1"/>
  <c r="F114" i="47" s="1"/>
  <c r="H114" i="47" s="1"/>
  <c r="AJ113" i="47"/>
  <c r="AL113" i="47" s="1"/>
  <c r="AE113" i="47" s="1"/>
  <c r="B81" i="50"/>
  <c r="AN81" i="50"/>
  <c r="AP81" i="50" s="1"/>
  <c r="AL81" i="50"/>
  <c r="AM81" i="50" s="1"/>
  <c r="AO80" i="50"/>
  <c r="AQ80" i="50"/>
  <c r="AS81" i="50" s="1"/>
  <c r="AJ77" i="51"/>
  <c r="AC77" i="51" s="1"/>
  <c r="AY74" i="26"/>
  <c r="AE73" i="26"/>
  <c r="AN74" i="26"/>
  <c r="AP74" i="26" s="1"/>
  <c r="AG74" i="26" s="1"/>
  <c r="G74" i="26" s="1"/>
  <c r="R75" i="26"/>
  <c r="W75" i="26" s="1"/>
  <c r="Q75" i="26" s="1"/>
  <c r="F75" i="26" s="1"/>
  <c r="AB80" i="41"/>
  <c r="R82" i="41"/>
  <c r="V82" i="41" s="1"/>
  <c r="Q82" i="41" s="1"/>
  <c r="AI81" i="41"/>
  <c r="F80" i="41"/>
  <c r="J80" i="41"/>
  <c r="J81" i="41"/>
  <c r="F81" i="41"/>
  <c r="Z82" i="51"/>
  <c r="AA82" i="51" s="1"/>
  <c r="J82" i="51" s="1"/>
  <c r="L82" i="51" s="1"/>
  <c r="Y82" i="41"/>
  <c r="Z84" i="50"/>
  <c r="AA84" i="50" s="1"/>
  <c r="J84" i="50" s="1"/>
  <c r="L84" i="50" s="1"/>
  <c r="Y85" i="50"/>
  <c r="AG85" i="50" s="1"/>
  <c r="AH85" i="50" s="1"/>
  <c r="AG84" i="50"/>
  <c r="AH84" i="50" s="1"/>
  <c r="V74" i="26"/>
  <c r="AK81" i="41"/>
  <c r="AD81" i="41" s="1"/>
  <c r="B120" i="47"/>
  <c r="AM120" i="47"/>
  <c r="AN120" i="47" s="1"/>
  <c r="AO120" i="47"/>
  <c r="AQ120" i="47" s="1"/>
  <c r="AO73" i="26"/>
  <c r="AF73" i="26" s="1"/>
  <c r="Y119" i="47"/>
  <c r="AH119" i="47" s="1"/>
  <c r="AI119" i="47" s="1"/>
  <c r="AL81" i="51"/>
  <c r="AM81" i="51" s="1"/>
  <c r="B81" i="51"/>
  <c r="AN81" i="51"/>
  <c r="AP81" i="51" s="1"/>
  <c r="AL83" i="41"/>
  <c r="AM83" i="41" s="1"/>
  <c r="B83" i="41"/>
  <c r="AN83" i="41"/>
  <c r="AP83" i="41" s="1"/>
  <c r="AK80" i="41"/>
  <c r="AD80" i="41" s="1"/>
  <c r="S90" i="26"/>
  <c r="X90" i="26" s="1"/>
  <c r="Y90" i="26" s="1"/>
  <c r="J90" i="26" s="1"/>
  <c r="AJ89" i="26"/>
  <c r="AK89" i="26" s="1"/>
  <c r="K89" i="26" s="1"/>
  <c r="L89" i="26" s="1"/>
  <c r="W74" i="26"/>
  <c r="Q74" i="26" s="1"/>
  <c r="F74" i="26" s="1"/>
  <c r="U81" i="41"/>
  <c r="P81" i="41" s="1"/>
  <c r="AP119" i="47"/>
  <c r="AR119" i="47"/>
  <c r="AT120" i="47" s="1"/>
  <c r="AP73" i="26"/>
  <c r="AG73" i="26" s="1"/>
  <c r="G73" i="26" s="1"/>
  <c r="H73" i="26" s="1"/>
  <c r="K79" i="41"/>
  <c r="L79" i="41" s="1"/>
  <c r="G79" i="41"/>
  <c r="H79" i="41" s="1"/>
  <c r="AO80" i="51"/>
  <c r="AQ80" i="51"/>
  <c r="AS81" i="51" s="1"/>
  <c r="AO82" i="41"/>
  <c r="AQ82" i="41"/>
  <c r="AS83" i="41" s="1"/>
  <c r="Y83" i="51"/>
  <c r="Y84" i="51" s="1"/>
  <c r="AA90" i="26"/>
  <c r="T90" i="26" s="1"/>
  <c r="Z85" i="50" l="1"/>
  <c r="AA85" i="50" s="1"/>
  <c r="J85" i="50" s="1"/>
  <c r="L85" i="50" s="1"/>
  <c r="V78" i="50"/>
  <c r="Q78" i="50" s="1"/>
  <c r="F78" i="50" s="1"/>
  <c r="H78" i="50" s="1"/>
  <c r="AI78" i="50"/>
  <c r="U78" i="50"/>
  <c r="P78" i="50" s="1"/>
  <c r="R79" i="50"/>
  <c r="AB77" i="50"/>
  <c r="AK77" i="50"/>
  <c r="AD77" i="50" s="1"/>
  <c r="AJ78" i="51"/>
  <c r="AC78" i="51" s="1"/>
  <c r="AK78" i="52"/>
  <c r="AD78" i="52" s="1"/>
  <c r="AJ78" i="52"/>
  <c r="AC78" i="52" s="1"/>
  <c r="AQ86" i="26"/>
  <c r="AR86" i="26" s="1"/>
  <c r="AS86" i="26"/>
  <c r="AU86" i="26" s="1"/>
  <c r="B86" i="26"/>
  <c r="AQ79" i="52"/>
  <c r="AS80" i="52" s="1"/>
  <c r="AO79" i="52"/>
  <c r="V79" i="52"/>
  <c r="Q79" i="52" s="1"/>
  <c r="F79" i="52" s="1"/>
  <c r="H79" i="52" s="1"/>
  <c r="AB78" i="52"/>
  <c r="AI79" i="52"/>
  <c r="R80" i="52"/>
  <c r="AV85" i="26"/>
  <c r="AX86" i="26" s="1"/>
  <c r="AT85" i="26"/>
  <c r="AN80" i="52"/>
  <c r="AP80" i="52" s="1"/>
  <c r="AL80" i="52"/>
  <c r="AM80" i="52" s="1"/>
  <c r="B80" i="52"/>
  <c r="U79" i="52"/>
  <c r="P79" i="52" s="1"/>
  <c r="Z83" i="51"/>
  <c r="AA83" i="51" s="1"/>
  <c r="J83" i="51" s="1"/>
  <c r="L83" i="51" s="1"/>
  <c r="AN82" i="50"/>
  <c r="AP82" i="50" s="1"/>
  <c r="B82" i="50"/>
  <c r="AL82" i="50"/>
  <c r="AM82" i="50" s="1"/>
  <c r="R115" i="47"/>
  <c r="U115" i="47" s="1"/>
  <c r="P115" i="47" s="1"/>
  <c r="AJ114" i="47"/>
  <c r="AL114" i="47" s="1"/>
  <c r="AE114" i="47" s="1"/>
  <c r="AB113" i="47"/>
  <c r="AK113" i="47"/>
  <c r="AD113" i="47" s="1"/>
  <c r="AO81" i="50"/>
  <c r="AQ81" i="50"/>
  <c r="AS82" i="50" s="1"/>
  <c r="U114" i="47"/>
  <c r="P114" i="47" s="1"/>
  <c r="U79" i="51"/>
  <c r="P79" i="51" s="1"/>
  <c r="V79" i="51"/>
  <c r="Q79" i="51" s="1"/>
  <c r="F79" i="51" s="1"/>
  <c r="H79" i="51" s="1"/>
  <c r="AB78" i="51"/>
  <c r="AI79" i="51"/>
  <c r="R80" i="51"/>
  <c r="AJ90" i="26"/>
  <c r="AK90" i="26" s="1"/>
  <c r="K90" i="26" s="1"/>
  <c r="L90" i="26" s="1"/>
  <c r="AN84" i="41"/>
  <c r="AP84" i="41" s="1"/>
  <c r="AL84" i="41"/>
  <c r="AM84" i="41" s="1"/>
  <c r="B84" i="41"/>
  <c r="Y83" i="41"/>
  <c r="AG83" i="41" s="1"/>
  <c r="AH83" i="41" s="1"/>
  <c r="AO81" i="51"/>
  <c r="AQ81" i="51"/>
  <c r="AS82" i="51" s="1"/>
  <c r="AG83" i="51"/>
  <c r="AH83" i="51" s="1"/>
  <c r="H74" i="26"/>
  <c r="AO83" i="41"/>
  <c r="AQ83" i="41"/>
  <c r="AS84" i="41" s="1"/>
  <c r="AJ81" i="41"/>
  <c r="AC81" i="41" s="1"/>
  <c r="Z82" i="41"/>
  <c r="AA82" i="41" s="1"/>
  <c r="R83" i="41"/>
  <c r="U83" i="41" s="1"/>
  <c r="P83" i="41" s="1"/>
  <c r="AI82" i="41"/>
  <c r="AK82" i="41" s="1"/>
  <c r="AD82" i="41" s="1"/>
  <c r="AB81" i="41"/>
  <c r="AE74" i="26"/>
  <c r="AY75" i="26"/>
  <c r="AN75" i="26"/>
  <c r="AP75" i="26" s="1"/>
  <c r="AG75" i="26" s="1"/>
  <c r="G75" i="26" s="1"/>
  <c r="H75" i="26" s="1"/>
  <c r="R76" i="26"/>
  <c r="V76" i="26" s="1"/>
  <c r="AA91" i="26"/>
  <c r="T91" i="26" s="1"/>
  <c r="S91" i="26"/>
  <c r="AJ91" i="26" s="1"/>
  <c r="AK91" i="26" s="1"/>
  <c r="K91" i="26" s="1"/>
  <c r="G80" i="41"/>
  <c r="K80" i="41"/>
  <c r="Y120" i="47"/>
  <c r="Y121" i="47" s="1"/>
  <c r="AP120" i="47"/>
  <c r="AR120" i="47"/>
  <c r="AT121" i="47" s="1"/>
  <c r="K81" i="41"/>
  <c r="L81" i="41" s="1"/>
  <c r="G81" i="41"/>
  <c r="H81" i="41" s="1"/>
  <c r="L80" i="41"/>
  <c r="J82" i="41"/>
  <c r="F82" i="41"/>
  <c r="AO74" i="26"/>
  <c r="AF74" i="26" s="1"/>
  <c r="Y85" i="51"/>
  <c r="AG85" i="51" s="1"/>
  <c r="AH85" i="51" s="1"/>
  <c r="Z84" i="51"/>
  <c r="AA84" i="51" s="1"/>
  <c r="J84" i="51" s="1"/>
  <c r="L84" i="51" s="1"/>
  <c r="AG84" i="51"/>
  <c r="AH84" i="51" s="1"/>
  <c r="AL82" i="51"/>
  <c r="AM82" i="51" s="1"/>
  <c r="B82" i="51"/>
  <c r="AN82" i="51"/>
  <c r="AP82" i="51" s="1"/>
  <c r="Z119" i="47"/>
  <c r="AA119" i="47" s="1"/>
  <c r="J119" i="47" s="1"/>
  <c r="L119" i="47" s="1"/>
  <c r="AM121" i="47"/>
  <c r="AN121" i="47" s="1"/>
  <c r="B121" i="47"/>
  <c r="AO121" i="47"/>
  <c r="AQ121" i="47" s="1"/>
  <c r="P74" i="26"/>
  <c r="U74" i="26"/>
  <c r="AG82" i="41"/>
  <c r="AH82" i="41" s="1"/>
  <c r="H80" i="41"/>
  <c r="U82" i="41"/>
  <c r="P82" i="41" s="1"/>
  <c r="V75" i="26"/>
  <c r="Z85" i="51" l="1"/>
  <c r="AA85" i="51" s="1"/>
  <c r="J85" i="51" s="1"/>
  <c r="L85" i="51" s="1"/>
  <c r="B122" i="47"/>
  <c r="AM122" i="47"/>
  <c r="AN122" i="47" s="1"/>
  <c r="AO122" i="47"/>
  <c r="AQ122" i="47" s="1"/>
  <c r="V79" i="50"/>
  <c r="Q79" i="50" s="1"/>
  <c r="F79" i="50" s="1"/>
  <c r="H79" i="50" s="1"/>
  <c r="R80" i="50"/>
  <c r="AB78" i="50"/>
  <c r="AI79" i="50"/>
  <c r="U79" i="50"/>
  <c r="P79" i="50" s="1"/>
  <c r="AJ78" i="50"/>
  <c r="AC78" i="50" s="1"/>
  <c r="AK78" i="50"/>
  <c r="AD78" i="50" s="1"/>
  <c r="B81" i="52"/>
  <c r="AL81" i="52"/>
  <c r="AM81" i="52" s="1"/>
  <c r="AN81" i="52"/>
  <c r="AP81" i="52" s="1"/>
  <c r="AO80" i="52"/>
  <c r="AQ80" i="52"/>
  <c r="AS81" i="52" s="1"/>
  <c r="V80" i="52"/>
  <c r="Q80" i="52" s="1"/>
  <c r="F80" i="52" s="1"/>
  <c r="H80" i="52" s="1"/>
  <c r="U80" i="52"/>
  <c r="P80" i="52" s="1"/>
  <c r="AB79" i="52"/>
  <c r="R81" i="52"/>
  <c r="AI80" i="52"/>
  <c r="AV86" i="26"/>
  <c r="AX87" i="26" s="1"/>
  <c r="AT86" i="26"/>
  <c r="AJ79" i="52"/>
  <c r="AC79" i="52" s="1"/>
  <c r="AK79" i="52"/>
  <c r="AD79" i="52" s="1"/>
  <c r="AS87" i="26"/>
  <c r="AU87" i="26" s="1"/>
  <c r="AQ87" i="26"/>
  <c r="AR87" i="26" s="1"/>
  <c r="B87" i="26"/>
  <c r="W76" i="26"/>
  <c r="Q76" i="26" s="1"/>
  <c r="F76" i="26" s="1"/>
  <c r="AO75" i="26"/>
  <c r="AF75" i="26" s="1"/>
  <c r="V115" i="47"/>
  <c r="Q115" i="47" s="1"/>
  <c r="F115" i="47" s="1"/>
  <c r="H115" i="47" s="1"/>
  <c r="AB114" i="47"/>
  <c r="R116" i="47"/>
  <c r="AJ115" i="47"/>
  <c r="AL115" i="47" s="1"/>
  <c r="AE115" i="47" s="1"/>
  <c r="Z120" i="47"/>
  <c r="AA120" i="47" s="1"/>
  <c r="J120" i="47" s="1"/>
  <c r="L120" i="47" s="1"/>
  <c r="AQ82" i="50"/>
  <c r="AS83" i="50" s="1"/>
  <c r="AO82" i="50"/>
  <c r="U80" i="51"/>
  <c r="P80" i="51" s="1"/>
  <c r="AI80" i="51"/>
  <c r="AK80" i="51" s="1"/>
  <c r="AD80" i="51" s="1"/>
  <c r="AB79" i="51"/>
  <c r="V80" i="51"/>
  <c r="Q80" i="51" s="1"/>
  <c r="F80" i="51" s="1"/>
  <c r="H80" i="51" s="1"/>
  <c r="R81" i="51"/>
  <c r="V81" i="51" s="1"/>
  <c r="Q81" i="51" s="1"/>
  <c r="F81" i="51" s="1"/>
  <c r="H81" i="51" s="1"/>
  <c r="AN83" i="50"/>
  <c r="AP83" i="50" s="1"/>
  <c r="B83" i="50"/>
  <c r="AL83" i="50"/>
  <c r="AM83" i="50" s="1"/>
  <c r="AK79" i="51"/>
  <c r="AD79" i="51" s="1"/>
  <c r="AJ79" i="51"/>
  <c r="AC79" i="51" s="1"/>
  <c r="AK114" i="47"/>
  <c r="AD114" i="47" s="1"/>
  <c r="K82" i="41"/>
  <c r="G82" i="41"/>
  <c r="U76" i="26"/>
  <c r="P76" i="26"/>
  <c r="L82" i="41"/>
  <c r="Z121" i="47"/>
  <c r="AA121" i="47" s="1"/>
  <c r="J121" i="47" s="1"/>
  <c r="AH121" i="47"/>
  <c r="AI121" i="47" s="1"/>
  <c r="Y122" i="47"/>
  <c r="AH122" i="47" s="1"/>
  <c r="AI122" i="47" s="1"/>
  <c r="S92" i="26"/>
  <c r="Y84" i="41"/>
  <c r="Z84" i="41" s="1"/>
  <c r="AA84" i="41" s="1"/>
  <c r="AQ84" i="41"/>
  <c r="AS85" i="41" s="1"/>
  <c r="AO84" i="41"/>
  <c r="R84" i="41"/>
  <c r="U84" i="41" s="1"/>
  <c r="P84" i="41" s="1"/>
  <c r="AI83" i="41"/>
  <c r="AJ83" i="41" s="1"/>
  <c r="AC83" i="41" s="1"/>
  <c r="AB82" i="41"/>
  <c r="AN83" i="51"/>
  <c r="AP83" i="51" s="1"/>
  <c r="AL83" i="51"/>
  <c r="AM83" i="51" s="1"/>
  <c r="B83" i="51"/>
  <c r="AH120" i="47"/>
  <c r="AI120" i="47" s="1"/>
  <c r="X91" i="26"/>
  <c r="Y91" i="26" s="1"/>
  <c r="J91" i="26" s="1"/>
  <c r="L91" i="26" s="1"/>
  <c r="AA92" i="26"/>
  <c r="T92" i="26" s="1"/>
  <c r="V83" i="41"/>
  <c r="Q83" i="41" s="1"/>
  <c r="Z83" i="41"/>
  <c r="AA83" i="41" s="1"/>
  <c r="P75" i="26"/>
  <c r="U75" i="26"/>
  <c r="AR121" i="47"/>
  <c r="AT122" i="47" s="1"/>
  <c r="AP121" i="47"/>
  <c r="AO82" i="51"/>
  <c r="AQ82" i="51"/>
  <c r="AS83" i="51" s="1"/>
  <c r="H82" i="41"/>
  <c r="R77" i="26"/>
  <c r="W77" i="26" s="1"/>
  <c r="Q77" i="26" s="1"/>
  <c r="F77" i="26" s="1"/>
  <c r="AN76" i="26"/>
  <c r="AY76" i="26"/>
  <c r="AE75" i="26"/>
  <c r="AK83" i="41"/>
  <c r="AD83" i="41" s="1"/>
  <c r="AJ82" i="41"/>
  <c r="AC82" i="41" s="1"/>
  <c r="AN85" i="41"/>
  <c r="AP85" i="41" s="1"/>
  <c r="AL85" i="41"/>
  <c r="AM85" i="41" s="1"/>
  <c r="B85" i="41"/>
  <c r="V84" i="41" l="1"/>
  <c r="Q84" i="41" s="1"/>
  <c r="AP122" i="47"/>
  <c r="AR122" i="47"/>
  <c r="Z122" i="47"/>
  <c r="AA122" i="47" s="1"/>
  <c r="J122" i="47" s="1"/>
  <c r="L122" i="47" s="1"/>
  <c r="V77" i="26"/>
  <c r="P77" i="26" s="1"/>
  <c r="AJ79" i="50"/>
  <c r="AC79" i="50" s="1"/>
  <c r="AK79" i="50"/>
  <c r="AD79" i="50" s="1"/>
  <c r="V80" i="50"/>
  <c r="Q80" i="50" s="1"/>
  <c r="F80" i="50" s="1"/>
  <c r="H80" i="50" s="1"/>
  <c r="U80" i="50"/>
  <c r="P80" i="50" s="1"/>
  <c r="AI80" i="50"/>
  <c r="AB79" i="50"/>
  <c r="R81" i="50"/>
  <c r="AT87" i="26"/>
  <c r="AV87" i="26"/>
  <c r="AX88" i="26" s="1"/>
  <c r="AJ80" i="52"/>
  <c r="AC80" i="52" s="1"/>
  <c r="AK80" i="52"/>
  <c r="AD80" i="52" s="1"/>
  <c r="AO81" i="52"/>
  <c r="AQ81" i="52"/>
  <c r="AS82" i="52" s="1"/>
  <c r="B88" i="26"/>
  <c r="AQ88" i="26"/>
  <c r="AR88" i="26" s="1"/>
  <c r="AS88" i="26"/>
  <c r="AU88" i="26" s="1"/>
  <c r="U81" i="52"/>
  <c r="P81" i="52" s="1"/>
  <c r="V81" i="52"/>
  <c r="Q81" i="52" s="1"/>
  <c r="F81" i="52" s="1"/>
  <c r="H81" i="52" s="1"/>
  <c r="AI81" i="52"/>
  <c r="AK81" i="52" s="1"/>
  <c r="AD81" i="52" s="1"/>
  <c r="AB80" i="52"/>
  <c r="R82" i="52"/>
  <c r="AN82" i="52"/>
  <c r="AP82" i="52" s="1"/>
  <c r="AL82" i="52"/>
  <c r="AM82" i="52" s="1"/>
  <c r="B82" i="52"/>
  <c r="AJ80" i="51"/>
  <c r="AC80" i="51" s="1"/>
  <c r="U116" i="47"/>
  <c r="P116" i="47" s="1"/>
  <c r="R117" i="47"/>
  <c r="V117" i="47" s="1"/>
  <c r="Q117" i="47" s="1"/>
  <c r="F117" i="47" s="1"/>
  <c r="H117" i="47" s="1"/>
  <c r="AJ116" i="47"/>
  <c r="AK116" i="47" s="1"/>
  <c r="AD116" i="47" s="1"/>
  <c r="AB115" i="47"/>
  <c r="B84" i="50"/>
  <c r="AL84" i="50"/>
  <c r="AM84" i="50" s="1"/>
  <c r="AN84" i="50"/>
  <c r="AP84" i="50" s="1"/>
  <c r="AO83" i="50"/>
  <c r="AQ83" i="50"/>
  <c r="AS84" i="50" s="1"/>
  <c r="V116" i="47"/>
  <c r="Q116" i="47" s="1"/>
  <c r="F116" i="47" s="1"/>
  <c r="H116" i="47" s="1"/>
  <c r="U81" i="51"/>
  <c r="P81" i="51" s="1"/>
  <c r="AB80" i="51"/>
  <c r="R82" i="51"/>
  <c r="U82" i="51" s="1"/>
  <c r="P82" i="51" s="1"/>
  <c r="AI81" i="51"/>
  <c r="AJ81" i="51" s="1"/>
  <c r="AC81" i="51" s="1"/>
  <c r="AK115" i="47"/>
  <c r="AD115" i="47" s="1"/>
  <c r="AE76" i="26"/>
  <c r="AN77" i="26"/>
  <c r="AY77" i="26"/>
  <c r="R78" i="26"/>
  <c r="W78" i="26" s="1"/>
  <c r="Q78" i="26" s="1"/>
  <c r="F78" i="26" s="1"/>
  <c r="F83" i="41"/>
  <c r="J83" i="41"/>
  <c r="AN84" i="51"/>
  <c r="AP84" i="51" s="1"/>
  <c r="AL84" i="51"/>
  <c r="AM84" i="51" s="1"/>
  <c r="B84" i="51"/>
  <c r="AP76" i="26"/>
  <c r="AG76" i="26" s="1"/>
  <c r="G76" i="26" s="1"/>
  <c r="H76" i="26" s="1"/>
  <c r="AO83" i="51"/>
  <c r="AQ83" i="51"/>
  <c r="AS84" i="51" s="1"/>
  <c r="Y85" i="41"/>
  <c r="AG85" i="41" s="1"/>
  <c r="AH85" i="41" s="1"/>
  <c r="S93" i="26"/>
  <c r="AJ93" i="26" s="1"/>
  <c r="AK93" i="26" s="1"/>
  <c r="K93" i="26" s="1"/>
  <c r="AQ85" i="41"/>
  <c r="AO85" i="41"/>
  <c r="G83" i="41"/>
  <c r="K83" i="41"/>
  <c r="AO76" i="26"/>
  <c r="AF76" i="26" s="1"/>
  <c r="X92" i="26"/>
  <c r="Y92" i="26" s="1"/>
  <c r="J92" i="26" s="1"/>
  <c r="L121" i="47"/>
  <c r="L123" i="47" s="1"/>
  <c r="J123" i="47"/>
  <c r="AA93" i="26"/>
  <c r="J84" i="41"/>
  <c r="F84" i="41"/>
  <c r="AI84" i="41"/>
  <c r="AK84" i="41" s="1"/>
  <c r="AD84" i="41" s="1"/>
  <c r="AB83" i="41"/>
  <c r="R85" i="41"/>
  <c r="U85" i="41" s="1"/>
  <c r="AG84" i="41"/>
  <c r="AH84" i="41" s="1"/>
  <c r="AJ92" i="26"/>
  <c r="AK92" i="26" s="1"/>
  <c r="K92" i="26" s="1"/>
  <c r="Z85" i="41" l="1"/>
  <c r="AA85" i="41" s="1"/>
  <c r="AN85" i="50"/>
  <c r="AP85" i="50" s="1"/>
  <c r="B85" i="50"/>
  <c r="AL85" i="50"/>
  <c r="AM85" i="50" s="1"/>
  <c r="AN85" i="51"/>
  <c r="AP85" i="51" s="1"/>
  <c r="B85" i="51"/>
  <c r="AL85" i="51"/>
  <c r="AM85" i="51" s="1"/>
  <c r="U77" i="26"/>
  <c r="U81" i="50"/>
  <c r="P81" i="50" s="1"/>
  <c r="V81" i="50"/>
  <c r="Q81" i="50" s="1"/>
  <c r="F81" i="50" s="1"/>
  <c r="H81" i="50" s="1"/>
  <c r="AB80" i="50"/>
  <c r="R82" i="50"/>
  <c r="AI81" i="50"/>
  <c r="AJ80" i="50"/>
  <c r="AC80" i="50" s="1"/>
  <c r="AK80" i="50"/>
  <c r="AD80" i="50" s="1"/>
  <c r="AQ89" i="26"/>
  <c r="AR89" i="26" s="1"/>
  <c r="AS89" i="26"/>
  <c r="AU89" i="26" s="1"/>
  <c r="B89" i="26"/>
  <c r="U82" i="52"/>
  <c r="P82" i="52" s="1"/>
  <c r="V82" i="52"/>
  <c r="Q82" i="52" s="1"/>
  <c r="F82" i="52" s="1"/>
  <c r="H82" i="52" s="1"/>
  <c r="R83" i="52"/>
  <c r="V83" i="52" s="1"/>
  <c r="Q83" i="52" s="1"/>
  <c r="F83" i="52" s="1"/>
  <c r="H83" i="52" s="1"/>
  <c r="AI82" i="52"/>
  <c r="AB81" i="52"/>
  <c r="AL83" i="52"/>
  <c r="AM83" i="52" s="1"/>
  <c r="B83" i="52"/>
  <c r="AN83" i="52"/>
  <c r="AP83" i="52" s="1"/>
  <c r="X93" i="26"/>
  <c r="Y93" i="26" s="1"/>
  <c r="J93" i="26" s="1"/>
  <c r="L93" i="26" s="1"/>
  <c r="AO82" i="52"/>
  <c r="AQ82" i="52"/>
  <c r="AS83" i="52" s="1"/>
  <c r="AT88" i="26"/>
  <c r="AV88" i="26"/>
  <c r="AX89" i="26" s="1"/>
  <c r="AJ81" i="52"/>
  <c r="AC81" i="52" s="1"/>
  <c r="AL116" i="47"/>
  <c r="AE116" i="47" s="1"/>
  <c r="AK81" i="51"/>
  <c r="AD81" i="51" s="1"/>
  <c r="AO84" i="50"/>
  <c r="AQ84" i="50"/>
  <c r="AS85" i="50" s="1"/>
  <c r="U117" i="47"/>
  <c r="R118" i="47"/>
  <c r="U118" i="47" s="1"/>
  <c r="P118" i="47" s="1"/>
  <c r="AJ117" i="47"/>
  <c r="AL117" i="47" s="1"/>
  <c r="AB116" i="47"/>
  <c r="AI82" i="51"/>
  <c r="AK82" i="51" s="1"/>
  <c r="AD82" i="51" s="1"/>
  <c r="R83" i="51"/>
  <c r="AB81" i="51"/>
  <c r="V82" i="51"/>
  <c r="Q82" i="51" s="1"/>
  <c r="F82" i="51" s="1"/>
  <c r="H82" i="51" s="1"/>
  <c r="L92" i="26"/>
  <c r="K84" i="41"/>
  <c r="L84" i="41" s="1"/>
  <c r="G84" i="41"/>
  <c r="H84" i="41" s="1"/>
  <c r="AA94" i="26"/>
  <c r="AB84" i="41"/>
  <c r="AI85" i="41"/>
  <c r="AB85" i="41"/>
  <c r="R86" i="41"/>
  <c r="H83" i="41"/>
  <c r="R79" i="26"/>
  <c r="V79" i="26" s="1"/>
  <c r="AY78" i="26"/>
  <c r="AN78" i="26"/>
  <c r="AP78" i="26" s="1"/>
  <c r="AG78" i="26" s="1"/>
  <c r="G78" i="26" s="1"/>
  <c r="H78" i="26" s="1"/>
  <c r="AE77" i="26"/>
  <c r="V85" i="41"/>
  <c r="AJ84" i="41"/>
  <c r="AC84" i="41" s="1"/>
  <c r="S94" i="26"/>
  <c r="AJ94" i="26" s="1"/>
  <c r="AK94" i="26" s="1"/>
  <c r="K94" i="26" s="1"/>
  <c r="AQ84" i="51"/>
  <c r="AS85" i="51" s="1"/>
  <c r="AO84" i="51"/>
  <c r="V78" i="26"/>
  <c r="AP77" i="26"/>
  <c r="AG77" i="26" s="1"/>
  <c r="G77" i="26" s="1"/>
  <c r="H77" i="26" s="1"/>
  <c r="P85" i="41"/>
  <c r="P86" i="41" s="1"/>
  <c r="U86" i="41"/>
  <c r="T93" i="26"/>
  <c r="AO77" i="26"/>
  <c r="AF77" i="26" s="1"/>
  <c r="L83" i="41"/>
  <c r="AB86" i="41" l="1"/>
  <c r="AQ85" i="51"/>
  <c r="AO85" i="51"/>
  <c r="AQ85" i="50"/>
  <c r="AO85" i="50"/>
  <c r="U82" i="50"/>
  <c r="P82" i="50" s="1"/>
  <c r="AB81" i="50"/>
  <c r="AI82" i="50"/>
  <c r="V82" i="50"/>
  <c r="Q82" i="50" s="1"/>
  <c r="F82" i="50" s="1"/>
  <c r="H82" i="50" s="1"/>
  <c r="R83" i="50"/>
  <c r="AJ81" i="50"/>
  <c r="AC81" i="50" s="1"/>
  <c r="AK81" i="50"/>
  <c r="AD81" i="50" s="1"/>
  <c r="W79" i="26"/>
  <c r="Q79" i="26" s="1"/>
  <c r="F79" i="26" s="1"/>
  <c r="AJ82" i="52"/>
  <c r="AC82" i="52" s="1"/>
  <c r="AK82" i="52"/>
  <c r="AD82" i="52" s="1"/>
  <c r="AL84" i="52"/>
  <c r="AM84" i="52" s="1"/>
  <c r="B84" i="52"/>
  <c r="AN84" i="52"/>
  <c r="AP84" i="52" s="1"/>
  <c r="B90" i="26"/>
  <c r="AS90" i="26"/>
  <c r="AU90" i="26" s="1"/>
  <c r="AQ90" i="26"/>
  <c r="AR90" i="26" s="1"/>
  <c r="AO83" i="52"/>
  <c r="AQ83" i="52"/>
  <c r="AS84" i="52" s="1"/>
  <c r="U83" i="52"/>
  <c r="P83" i="52" s="1"/>
  <c r="AB82" i="52"/>
  <c r="R84" i="52"/>
  <c r="AI83" i="52"/>
  <c r="AT89" i="26"/>
  <c r="AV89" i="26"/>
  <c r="AX90" i="26" s="1"/>
  <c r="AO78" i="26"/>
  <c r="AF78" i="26" s="1"/>
  <c r="AE117" i="47"/>
  <c r="V118" i="47"/>
  <c r="R119" i="47"/>
  <c r="V119" i="47" s="1"/>
  <c r="Q119" i="47" s="1"/>
  <c r="F119" i="47" s="1"/>
  <c r="H119" i="47" s="1"/>
  <c r="AJ118" i="47"/>
  <c r="AL118" i="47" s="1"/>
  <c r="AE118" i="47" s="1"/>
  <c r="AB117" i="47"/>
  <c r="P117" i="47"/>
  <c r="V83" i="51"/>
  <c r="Q83" i="51" s="1"/>
  <c r="F83" i="51" s="1"/>
  <c r="H83" i="51" s="1"/>
  <c r="AB82" i="51"/>
  <c r="R84" i="51"/>
  <c r="U83" i="51"/>
  <c r="P83" i="51" s="1"/>
  <c r="AI83" i="51"/>
  <c r="AJ83" i="51" s="1"/>
  <c r="AC83" i="51" s="1"/>
  <c r="AJ82" i="51"/>
  <c r="AC82" i="51" s="1"/>
  <c r="AK117" i="47"/>
  <c r="AA95" i="26"/>
  <c r="T95" i="26" s="1"/>
  <c r="T94" i="26"/>
  <c r="S95" i="26"/>
  <c r="AJ95" i="26" s="1"/>
  <c r="AK95" i="26" s="1"/>
  <c r="K95" i="26" s="1"/>
  <c r="P79" i="26"/>
  <c r="U79" i="26"/>
  <c r="AJ85" i="41"/>
  <c r="AK85" i="41"/>
  <c r="AI86" i="41"/>
  <c r="P78" i="26"/>
  <c r="U78" i="26"/>
  <c r="X94" i="26"/>
  <c r="Y94" i="26" s="1"/>
  <c r="J94" i="26" s="1"/>
  <c r="L94" i="26" s="1"/>
  <c r="Q85" i="41"/>
  <c r="V86" i="41"/>
  <c r="AN79" i="26"/>
  <c r="AP79" i="26" s="1"/>
  <c r="AG79" i="26" s="1"/>
  <c r="G79" i="26" s="1"/>
  <c r="AE78" i="26"/>
  <c r="AY79" i="26"/>
  <c r="R80" i="26"/>
  <c r="AL85" i="52" l="1"/>
  <c r="AM85" i="52" s="1"/>
  <c r="AN85" i="52"/>
  <c r="AP85" i="52" s="1"/>
  <c r="B85" i="52"/>
  <c r="R85" i="51"/>
  <c r="U85" i="51" s="1"/>
  <c r="P85" i="51" s="1"/>
  <c r="R85" i="52"/>
  <c r="U85" i="52" s="1"/>
  <c r="P85" i="52" s="1"/>
  <c r="AK82" i="50"/>
  <c r="AD82" i="50" s="1"/>
  <c r="AJ82" i="50"/>
  <c r="AC82" i="50" s="1"/>
  <c r="U83" i="50"/>
  <c r="P83" i="50" s="1"/>
  <c r="V83" i="50"/>
  <c r="Q83" i="50" s="1"/>
  <c r="F83" i="50" s="1"/>
  <c r="R84" i="50"/>
  <c r="AB82" i="50"/>
  <c r="AI83" i="50"/>
  <c r="H79" i="26"/>
  <c r="AV90" i="26"/>
  <c r="AX91" i="26" s="1"/>
  <c r="AT90" i="26"/>
  <c r="AO84" i="52"/>
  <c r="AQ84" i="52"/>
  <c r="AS85" i="52" s="1"/>
  <c r="AJ83" i="52"/>
  <c r="AC83" i="52" s="1"/>
  <c r="AK83" i="52"/>
  <c r="AD83" i="52" s="1"/>
  <c r="AQ91" i="26"/>
  <c r="AR91" i="26" s="1"/>
  <c r="AS91" i="26"/>
  <c r="AU91" i="26" s="1"/>
  <c r="B91" i="26"/>
  <c r="U84" i="52"/>
  <c r="AI84" i="52"/>
  <c r="V84" i="52"/>
  <c r="AB83" i="52"/>
  <c r="AK118" i="47"/>
  <c r="AD118" i="47" s="1"/>
  <c r="AK83" i="51"/>
  <c r="AD83" i="51" s="1"/>
  <c r="U119" i="47"/>
  <c r="AJ119" i="47"/>
  <c r="AL119" i="47" s="1"/>
  <c r="AE119" i="47" s="1"/>
  <c r="AB118" i="47"/>
  <c r="R120" i="47"/>
  <c r="V120" i="47" s="1"/>
  <c r="Q118" i="47"/>
  <c r="F118" i="47" s="1"/>
  <c r="AD117" i="47"/>
  <c r="U84" i="51"/>
  <c r="AB83" i="51"/>
  <c r="AI84" i="51"/>
  <c r="V84" i="51"/>
  <c r="AD85" i="41"/>
  <c r="AK86" i="41"/>
  <c r="S96" i="26"/>
  <c r="X96" i="26" s="1"/>
  <c r="Y96" i="26" s="1"/>
  <c r="J96" i="26" s="1"/>
  <c r="AY80" i="26"/>
  <c r="AE79" i="26"/>
  <c r="AN80" i="26"/>
  <c r="AO80" i="26" s="1"/>
  <c r="AF80" i="26" s="1"/>
  <c r="R81" i="26"/>
  <c r="V81" i="26" s="1"/>
  <c r="V80" i="26"/>
  <c r="AC85" i="41"/>
  <c r="AC86" i="41" s="1"/>
  <c r="AJ86" i="41"/>
  <c r="W80" i="26"/>
  <c r="Q80" i="26" s="1"/>
  <c r="F80" i="26" s="1"/>
  <c r="J85" i="41"/>
  <c r="F85" i="41"/>
  <c r="Q86" i="41"/>
  <c r="X95" i="26"/>
  <c r="Y95" i="26" s="1"/>
  <c r="J95" i="26" s="1"/>
  <c r="L95" i="26" s="1"/>
  <c r="AO79" i="26"/>
  <c r="AF79" i="26" s="1"/>
  <c r="AA96" i="26"/>
  <c r="T96" i="26" s="1"/>
  <c r="R86" i="51" l="1"/>
  <c r="AB84" i="51"/>
  <c r="V85" i="51"/>
  <c r="Q85" i="51" s="1"/>
  <c r="V85" i="52"/>
  <c r="Q85" i="52" s="1"/>
  <c r="R86" i="52"/>
  <c r="AB84" i="52"/>
  <c r="R85" i="50"/>
  <c r="V85" i="50" s="1"/>
  <c r="Q85" i="50" s="1"/>
  <c r="AB85" i="51"/>
  <c r="AI85" i="51"/>
  <c r="AI86" i="51" s="1"/>
  <c r="AB85" i="52"/>
  <c r="AI85" i="52"/>
  <c r="AI86" i="52" s="1"/>
  <c r="AQ85" i="52"/>
  <c r="AO85" i="52"/>
  <c r="AJ83" i="50"/>
  <c r="AC83" i="50" s="1"/>
  <c r="AK83" i="50"/>
  <c r="AD83" i="50" s="1"/>
  <c r="V84" i="50"/>
  <c r="U84" i="50"/>
  <c r="AB83" i="50"/>
  <c r="AI84" i="50"/>
  <c r="Q84" i="52"/>
  <c r="U120" i="47"/>
  <c r="P120" i="47" s="1"/>
  <c r="AJ84" i="52"/>
  <c r="AK84" i="52"/>
  <c r="AT91" i="26"/>
  <c r="AV91" i="26"/>
  <c r="AX92" i="26" s="1"/>
  <c r="P84" i="52"/>
  <c r="P86" i="52" s="1"/>
  <c r="U86" i="52"/>
  <c r="AQ92" i="26"/>
  <c r="AR92" i="26" s="1"/>
  <c r="AS92" i="26"/>
  <c r="AU92" i="26" s="1"/>
  <c r="B92" i="26"/>
  <c r="AP80" i="26"/>
  <c r="AG80" i="26" s="1"/>
  <c r="G80" i="26" s="1"/>
  <c r="H80" i="26" s="1"/>
  <c r="Q120" i="47"/>
  <c r="F120" i="47" s="1"/>
  <c r="H120" i="47" s="1"/>
  <c r="AK119" i="47"/>
  <c r="H83" i="50"/>
  <c r="Q84" i="51"/>
  <c r="P84" i="51"/>
  <c r="P86" i="51" s="1"/>
  <c r="U86" i="51"/>
  <c r="H118" i="47"/>
  <c r="AB119" i="47"/>
  <c r="AJ120" i="47"/>
  <c r="AL120" i="47" s="1"/>
  <c r="R121" i="47"/>
  <c r="P119" i="47"/>
  <c r="AJ84" i="51"/>
  <c r="AK84" i="51"/>
  <c r="U81" i="26"/>
  <c r="P81" i="26"/>
  <c r="K85" i="41"/>
  <c r="G85" i="41"/>
  <c r="G86" i="41" s="1"/>
  <c r="G22" i="41" s="1"/>
  <c r="AD86" i="41"/>
  <c r="U80" i="26"/>
  <c r="P80" i="26"/>
  <c r="AE80" i="26"/>
  <c r="AY81" i="26"/>
  <c r="AN81" i="26"/>
  <c r="AP81" i="26" s="1"/>
  <c r="AG81" i="26" s="1"/>
  <c r="G81" i="26" s="1"/>
  <c r="R82" i="26"/>
  <c r="V82" i="26" s="1"/>
  <c r="S97" i="26"/>
  <c r="AJ97" i="26" s="1"/>
  <c r="AK97" i="26" s="1"/>
  <c r="K97" i="26" s="1"/>
  <c r="F86" i="41"/>
  <c r="L85" i="41"/>
  <c r="W81" i="26"/>
  <c r="Q81" i="26" s="1"/>
  <c r="F81" i="26" s="1"/>
  <c r="AJ96" i="26"/>
  <c r="AK96" i="26" s="1"/>
  <c r="K96" i="26" s="1"/>
  <c r="L96" i="26" s="1"/>
  <c r="AA97" i="26"/>
  <c r="H85" i="41" l="1"/>
  <c r="AB86" i="52"/>
  <c r="AB84" i="50"/>
  <c r="AB86" i="51"/>
  <c r="V86" i="51"/>
  <c r="U85" i="50"/>
  <c r="P85" i="50" s="1"/>
  <c r="V86" i="52"/>
  <c r="R86" i="50"/>
  <c r="R122" i="47"/>
  <c r="AB121" i="47" s="1"/>
  <c r="AK85" i="52"/>
  <c r="AD85" i="52" s="1"/>
  <c r="AJ85" i="52"/>
  <c r="AC85" i="52" s="1"/>
  <c r="AK85" i="51"/>
  <c r="AD85" i="51" s="1"/>
  <c r="AJ85" i="51"/>
  <c r="AC85" i="51" s="1"/>
  <c r="AI85" i="50"/>
  <c r="AI86" i="50" s="1"/>
  <c r="AB85" i="50"/>
  <c r="AB86" i="50" s="1"/>
  <c r="AK84" i="50"/>
  <c r="AD84" i="50" s="1"/>
  <c r="AJ84" i="50"/>
  <c r="P84" i="50"/>
  <c r="Q84" i="50"/>
  <c r="V86" i="50"/>
  <c r="AT92" i="26"/>
  <c r="AV92" i="26"/>
  <c r="AX93" i="26" s="1"/>
  <c r="B93" i="26"/>
  <c r="AS93" i="26"/>
  <c r="AU93" i="26" s="1"/>
  <c r="AQ93" i="26"/>
  <c r="AR93" i="26" s="1"/>
  <c r="AD84" i="52"/>
  <c r="AC84" i="52"/>
  <c r="F84" i="52"/>
  <c r="Q86" i="52"/>
  <c r="AE120" i="47"/>
  <c r="AD119" i="47"/>
  <c r="AD84" i="51"/>
  <c r="F84" i="51"/>
  <c r="Q86" i="51"/>
  <c r="AK120" i="47"/>
  <c r="AD120" i="47" s="1"/>
  <c r="AC84" i="51"/>
  <c r="V121" i="47"/>
  <c r="U121" i="47"/>
  <c r="AB120" i="47"/>
  <c r="AJ121" i="47"/>
  <c r="F22" i="41"/>
  <c r="H10" i="41" s="1"/>
  <c r="H86" i="41"/>
  <c r="U82" i="26"/>
  <c r="P82" i="26"/>
  <c r="H81" i="26"/>
  <c r="AA98" i="26"/>
  <c r="S98" i="26"/>
  <c r="AJ98" i="26" s="1"/>
  <c r="AK98" i="26" s="1"/>
  <c r="K98" i="26" s="1"/>
  <c r="AE81" i="26"/>
  <c r="AY82" i="26"/>
  <c r="AN82" i="26"/>
  <c r="AO82" i="26" s="1"/>
  <c r="AF82" i="26" s="1"/>
  <c r="R83" i="26"/>
  <c r="AO81" i="26"/>
  <c r="AF81" i="26" s="1"/>
  <c r="T97" i="26"/>
  <c r="X97" i="26"/>
  <c r="Y97" i="26" s="1"/>
  <c r="J97" i="26" s="1"/>
  <c r="L97" i="26" s="1"/>
  <c r="W82" i="26"/>
  <c r="Q82" i="26" s="1"/>
  <c r="F82" i="26" s="1"/>
  <c r="AJ86" i="52" l="1"/>
  <c r="P86" i="50"/>
  <c r="U86" i="50"/>
  <c r="AJ86" i="51"/>
  <c r="AC86" i="51"/>
  <c r="AD86" i="51"/>
  <c r="AK86" i="52"/>
  <c r="AD86" i="52"/>
  <c r="AK86" i="51"/>
  <c r="AB122" i="47"/>
  <c r="AB123" i="47" s="1"/>
  <c r="AJ122" i="47"/>
  <c r="AJ123" i="47" s="1"/>
  <c r="AK85" i="50"/>
  <c r="AD85" i="50" s="1"/>
  <c r="AD86" i="50" s="1"/>
  <c r="AJ85" i="50"/>
  <c r="AC85" i="50" s="1"/>
  <c r="U122" i="47"/>
  <c r="P122" i="47" s="1"/>
  <c r="AC86" i="52"/>
  <c r="V122" i="47"/>
  <c r="Q122" i="47" s="1"/>
  <c r="F84" i="50"/>
  <c r="Q86" i="50"/>
  <c r="AC84" i="50"/>
  <c r="AP82" i="26"/>
  <c r="AG82" i="26" s="1"/>
  <c r="G82" i="26" s="1"/>
  <c r="H82" i="26" s="1"/>
  <c r="B94" i="26"/>
  <c r="AQ94" i="26"/>
  <c r="AR94" i="26" s="1"/>
  <c r="AS94" i="26"/>
  <c r="AU94" i="26" s="1"/>
  <c r="H84" i="52"/>
  <c r="F85" i="52"/>
  <c r="F86" i="52" s="1"/>
  <c r="H86" i="52" s="1"/>
  <c r="AT93" i="26"/>
  <c r="AV93" i="26"/>
  <c r="AX94" i="26" s="1"/>
  <c r="H84" i="51"/>
  <c r="F85" i="51"/>
  <c r="F86" i="51" s="1"/>
  <c r="H86" i="51" s="1"/>
  <c r="P121" i="47"/>
  <c r="Q121" i="47"/>
  <c r="F121" i="47" s="1"/>
  <c r="V123" i="47"/>
  <c r="AK121" i="47"/>
  <c r="AD121" i="47" s="1"/>
  <c r="AL121" i="47"/>
  <c r="AY83" i="26"/>
  <c r="R84" i="26"/>
  <c r="W84" i="26" s="1"/>
  <c r="Q84" i="26" s="1"/>
  <c r="F84" i="26" s="1"/>
  <c r="AE82" i="26"/>
  <c r="AN83" i="26"/>
  <c r="AO83" i="26" s="1"/>
  <c r="AF83" i="26" s="1"/>
  <c r="W83" i="26"/>
  <c r="Q83" i="26" s="1"/>
  <c r="F83" i="26" s="1"/>
  <c r="S99" i="26"/>
  <c r="AJ99" i="26" s="1"/>
  <c r="AK99" i="26" s="1"/>
  <c r="K99" i="26" s="1"/>
  <c r="V83" i="26"/>
  <c r="AA99" i="26"/>
  <c r="X98" i="26"/>
  <c r="Y98" i="26" s="1"/>
  <c r="J98" i="26" s="1"/>
  <c r="L98" i="26" s="1"/>
  <c r="T98" i="26"/>
  <c r="AC86" i="50" l="1"/>
  <c r="AJ86" i="50"/>
  <c r="AK86" i="50"/>
  <c r="AL122" i="47"/>
  <c r="AE122" i="47" s="1"/>
  <c r="AK122" i="47"/>
  <c r="AD122" i="47" s="1"/>
  <c r="AD123" i="47" s="1"/>
  <c r="U123" i="47"/>
  <c r="H84" i="50"/>
  <c r="F85" i="50"/>
  <c r="V84" i="26"/>
  <c r="U84" i="26" s="1"/>
  <c r="AP83" i="26"/>
  <c r="AG83" i="26" s="1"/>
  <c r="G83" i="26" s="1"/>
  <c r="H83" i="26" s="1"/>
  <c r="AT94" i="26"/>
  <c r="AV94" i="26"/>
  <c r="AX95" i="26" s="1"/>
  <c r="H85" i="52"/>
  <c r="F22" i="52"/>
  <c r="H10" i="52" s="1"/>
  <c r="AQ95" i="26"/>
  <c r="AR95" i="26" s="1"/>
  <c r="B95" i="26"/>
  <c r="AS95" i="26"/>
  <c r="AU95" i="26" s="1"/>
  <c r="X99" i="26"/>
  <c r="Y99" i="26" s="1"/>
  <c r="J99" i="26" s="1"/>
  <c r="L99" i="26" s="1"/>
  <c r="H121" i="47"/>
  <c r="H123" i="47" s="1"/>
  <c r="F123" i="47"/>
  <c r="F122" i="47"/>
  <c r="H122" i="47" s="1"/>
  <c r="H85" i="51"/>
  <c r="F22" i="51"/>
  <c r="H10" i="51" s="1"/>
  <c r="AE121" i="47"/>
  <c r="AE123" i="47" s="1"/>
  <c r="P83" i="26"/>
  <c r="U83" i="26"/>
  <c r="AA100" i="26"/>
  <c r="AA101" i="26" s="1"/>
  <c r="S100" i="26"/>
  <c r="X100" i="26" s="1"/>
  <c r="Y100" i="26" s="1"/>
  <c r="J100" i="26" s="1"/>
  <c r="T99" i="26"/>
  <c r="AE83" i="26"/>
  <c r="AN84" i="26"/>
  <c r="AO84" i="26" s="1"/>
  <c r="AF84" i="26" s="1"/>
  <c r="AY84" i="26"/>
  <c r="R85" i="26"/>
  <c r="V85" i="26" s="1"/>
  <c r="AL123" i="47" l="1"/>
  <c r="AK123" i="47"/>
  <c r="H85" i="50"/>
  <c r="F86" i="50"/>
  <c r="H86" i="50" s="1"/>
  <c r="P84" i="26"/>
  <c r="AJ100" i="26"/>
  <c r="AK100" i="26" s="1"/>
  <c r="K100" i="26" s="1"/>
  <c r="L100" i="26" s="1"/>
  <c r="B96" i="26"/>
  <c r="AQ96" i="26"/>
  <c r="AR96" i="26" s="1"/>
  <c r="AS96" i="26"/>
  <c r="AU96" i="26" s="1"/>
  <c r="AV95" i="26"/>
  <c r="AX96" i="26" s="1"/>
  <c r="AT95" i="26"/>
  <c r="F59" i="47"/>
  <c r="H46" i="47" s="1"/>
  <c r="U85" i="26"/>
  <c r="P85" i="26"/>
  <c r="R86" i="26"/>
  <c r="V86" i="26" s="1"/>
  <c r="AE84" i="26"/>
  <c r="AN85" i="26"/>
  <c r="AO85" i="26" s="1"/>
  <c r="AF85" i="26" s="1"/>
  <c r="AY85" i="26"/>
  <c r="T101" i="26"/>
  <c r="W85" i="26"/>
  <c r="Q85" i="26" s="1"/>
  <c r="F85" i="26" s="1"/>
  <c r="AP84" i="26"/>
  <c r="AG84" i="26" s="1"/>
  <c r="G84" i="26" s="1"/>
  <c r="H84" i="26" s="1"/>
  <c r="S101" i="26"/>
  <c r="T100" i="26"/>
  <c r="W86" i="26" l="1"/>
  <c r="Q86" i="26" s="1"/>
  <c r="F86" i="26" s="1"/>
  <c r="F22" i="50"/>
  <c r="H10" i="50" s="1"/>
  <c r="X101" i="26"/>
  <c r="Y101" i="26" s="1"/>
  <c r="J101" i="26" s="1"/>
  <c r="AP85" i="26"/>
  <c r="AG85" i="26" s="1"/>
  <c r="G85" i="26" s="1"/>
  <c r="H85" i="26" s="1"/>
  <c r="AV96" i="26"/>
  <c r="AX97" i="26" s="1"/>
  <c r="AT96" i="26"/>
  <c r="B97" i="26"/>
  <c r="AQ97" i="26"/>
  <c r="AR97" i="26" s="1"/>
  <c r="AS97" i="26"/>
  <c r="AU97" i="26" s="1"/>
  <c r="P86" i="26"/>
  <c r="U86" i="26"/>
  <c r="AJ101" i="26"/>
  <c r="AK101" i="26" s="1"/>
  <c r="K101" i="26" s="1"/>
  <c r="I101" i="26"/>
  <c r="S102" i="26" s="1"/>
  <c r="AY86" i="26"/>
  <c r="AN86" i="26"/>
  <c r="AP86" i="26" s="1"/>
  <c r="AG86" i="26" s="1"/>
  <c r="G86" i="26" s="1"/>
  <c r="AE85" i="26"/>
  <c r="R87" i="26"/>
  <c r="W87" i="26" s="1"/>
  <c r="Q87" i="26" s="1"/>
  <c r="F87" i="26" s="1"/>
  <c r="H86" i="26" l="1"/>
  <c r="AJ102" i="26"/>
  <c r="AK102" i="26" s="1"/>
  <c r="K102" i="26" s="1"/>
  <c r="X102" i="26"/>
  <c r="Y102" i="26" s="1"/>
  <c r="J102" i="26" s="1"/>
  <c r="AV97" i="26"/>
  <c r="AX98" i="26" s="1"/>
  <c r="AT97" i="26"/>
  <c r="AQ98" i="26"/>
  <c r="AR98" i="26" s="1"/>
  <c r="AS98" i="26"/>
  <c r="AU98" i="26" s="1"/>
  <c r="B98" i="26"/>
  <c r="V87" i="26"/>
  <c r="P87" i="26" s="1"/>
  <c r="L101" i="26"/>
  <c r="I102" i="26"/>
  <c r="AA102" i="26"/>
  <c r="T102" i="26" s="1"/>
  <c r="AO86" i="26"/>
  <c r="AF86" i="26" s="1"/>
  <c r="AE86" i="26"/>
  <c r="AY87" i="26"/>
  <c r="AN87" i="26"/>
  <c r="AO87" i="26" s="1"/>
  <c r="AF87" i="26" s="1"/>
  <c r="R88" i="26"/>
  <c r="V88" i="26" s="1"/>
  <c r="L102" i="26" l="1"/>
  <c r="U87" i="26"/>
  <c r="AV98" i="26"/>
  <c r="AX99" i="26" s="1"/>
  <c r="AT98" i="26"/>
  <c r="AQ99" i="26"/>
  <c r="AR99" i="26" s="1"/>
  <c r="B99" i="26"/>
  <c r="AS99" i="26"/>
  <c r="AU99" i="26" s="1"/>
  <c r="U88" i="26"/>
  <c r="P88" i="26"/>
  <c r="AN88" i="26"/>
  <c r="AP88" i="26" s="1"/>
  <c r="AG88" i="26" s="1"/>
  <c r="G88" i="26" s="1"/>
  <c r="AE87" i="26"/>
  <c r="AY88" i="26"/>
  <c r="R89" i="26"/>
  <c r="W89" i="26" s="1"/>
  <c r="Q89" i="26" s="1"/>
  <c r="F89" i="26" s="1"/>
  <c r="W88" i="26"/>
  <c r="Q88" i="26" s="1"/>
  <c r="F88" i="26" s="1"/>
  <c r="AP87" i="26"/>
  <c r="AG87" i="26" s="1"/>
  <c r="G87" i="26" s="1"/>
  <c r="H87" i="26" s="1"/>
  <c r="AO88" i="26" l="1"/>
  <c r="AF88" i="26" s="1"/>
  <c r="AT99" i="26"/>
  <c r="AV99" i="26"/>
  <c r="AX100" i="26" s="1"/>
  <c r="AQ100" i="26"/>
  <c r="AR100" i="26" s="1"/>
  <c r="AS100" i="26"/>
  <c r="AU100" i="26" s="1"/>
  <c r="B100" i="26"/>
  <c r="AN89" i="26"/>
  <c r="AP89" i="26" s="1"/>
  <c r="AG89" i="26" s="1"/>
  <c r="G89" i="26" s="1"/>
  <c r="H89" i="26" s="1"/>
  <c r="AE88" i="26"/>
  <c r="AY89" i="26"/>
  <c r="R90" i="26"/>
  <c r="W90" i="26" s="1"/>
  <c r="Q90" i="26" s="1"/>
  <c r="F90" i="26" s="1"/>
  <c r="H88" i="26"/>
  <c r="V89" i="26"/>
  <c r="AV100" i="26" l="1"/>
  <c r="AX101" i="26" s="1"/>
  <c r="AT100" i="26"/>
  <c r="B101" i="26"/>
  <c r="AS101" i="26"/>
  <c r="AU101" i="26" s="1"/>
  <c r="AQ101" i="26"/>
  <c r="AR101" i="26" s="1"/>
  <c r="V90" i="26"/>
  <c r="U90" i="26" s="1"/>
  <c r="AO89" i="26"/>
  <c r="AF89" i="26" s="1"/>
  <c r="P89" i="26"/>
  <c r="U89" i="26"/>
  <c r="AE89" i="26"/>
  <c r="AN90" i="26"/>
  <c r="AO90" i="26" s="1"/>
  <c r="AF90" i="26" s="1"/>
  <c r="R91" i="26"/>
  <c r="V91" i="26" s="1"/>
  <c r="AY90" i="26"/>
  <c r="O102" i="26" l="1"/>
  <c r="B102" i="26" s="1"/>
  <c r="AQ102" i="26"/>
  <c r="AR102" i="26" s="1"/>
  <c r="AS102" i="26"/>
  <c r="AU102" i="26" s="1"/>
  <c r="P90" i="26"/>
  <c r="AV101" i="26"/>
  <c r="AX102" i="26" s="1"/>
  <c r="AT101" i="26"/>
  <c r="AP90" i="26"/>
  <c r="AG90" i="26" s="1"/>
  <c r="G90" i="26" s="1"/>
  <c r="H90" i="26" s="1"/>
  <c r="W91" i="26"/>
  <c r="Q91" i="26" s="1"/>
  <c r="F91" i="26" s="1"/>
  <c r="AY91" i="26"/>
  <c r="AE90" i="26"/>
  <c r="AN91" i="26"/>
  <c r="AP91" i="26" s="1"/>
  <c r="AG91" i="26" s="1"/>
  <c r="G91" i="26" s="1"/>
  <c r="R92" i="26"/>
  <c r="P91" i="26"/>
  <c r="U91" i="26"/>
  <c r="AV102" i="26" l="1"/>
  <c r="AT102" i="26"/>
  <c r="H91" i="26"/>
  <c r="AY92" i="26"/>
  <c r="R93" i="26"/>
  <c r="W93" i="26" s="1"/>
  <c r="Q93" i="26" s="1"/>
  <c r="F93" i="26" s="1"/>
  <c r="AE91" i="26"/>
  <c r="AN92" i="26"/>
  <c r="AO91" i="26"/>
  <c r="AF91" i="26" s="1"/>
  <c r="W92" i="26"/>
  <c r="Q92" i="26" s="1"/>
  <c r="F92" i="26" s="1"/>
  <c r="V92" i="26"/>
  <c r="V93" i="26" l="1"/>
  <c r="P93" i="26" s="1"/>
  <c r="U92" i="26"/>
  <c r="P92" i="26"/>
  <c r="AY93" i="26"/>
  <c r="AN93" i="26"/>
  <c r="AP93" i="26" s="1"/>
  <c r="AG93" i="26" s="1"/>
  <c r="G93" i="26" s="1"/>
  <c r="H93" i="26" s="1"/>
  <c r="AE92" i="26"/>
  <c r="R94" i="26"/>
  <c r="W94" i="26" s="1"/>
  <c r="Q94" i="26" s="1"/>
  <c r="F94" i="26" s="1"/>
  <c r="AP92" i="26"/>
  <c r="AG92" i="26" s="1"/>
  <c r="G92" i="26" s="1"/>
  <c r="H92" i="26" s="1"/>
  <c r="AO92" i="26"/>
  <c r="AF92" i="26" s="1"/>
  <c r="U93" i="26" l="1"/>
  <c r="AN94" i="26"/>
  <c r="AP94" i="26" s="1"/>
  <c r="AG94" i="26" s="1"/>
  <c r="G94" i="26" s="1"/>
  <c r="H94" i="26" s="1"/>
  <c r="AY94" i="26"/>
  <c r="R95" i="26"/>
  <c r="AE93" i="26"/>
  <c r="AO93" i="26"/>
  <c r="AF93" i="26" s="1"/>
  <c r="V94" i="26"/>
  <c r="AE94" i="26" l="1"/>
  <c r="AN95" i="26"/>
  <c r="AP95" i="26" s="1"/>
  <c r="AG95" i="26" s="1"/>
  <c r="G95" i="26" s="1"/>
  <c r="AY95" i="26"/>
  <c r="R96" i="26"/>
  <c r="V96" i="26" s="1"/>
  <c r="W95" i="26"/>
  <c r="Q95" i="26" s="1"/>
  <c r="F95" i="26" s="1"/>
  <c r="V95" i="26"/>
  <c r="P94" i="26"/>
  <c r="U94" i="26"/>
  <c r="AO94" i="26"/>
  <c r="AF94" i="26" s="1"/>
  <c r="AO95" i="26" l="1"/>
  <c r="AF95" i="26" s="1"/>
  <c r="H95" i="26"/>
  <c r="W96" i="26"/>
  <c r="Q96" i="26" s="1"/>
  <c r="F96" i="26" s="1"/>
  <c r="U95" i="26"/>
  <c r="P95" i="26"/>
  <c r="AN96" i="26"/>
  <c r="AP96" i="26" s="1"/>
  <c r="AG96" i="26" s="1"/>
  <c r="G96" i="26" s="1"/>
  <c r="AE95" i="26"/>
  <c r="AY96" i="26"/>
  <c r="R97" i="26"/>
  <c r="W97" i="26" s="1"/>
  <c r="Q97" i="26" s="1"/>
  <c r="F97" i="26" s="1"/>
  <c r="P96" i="26"/>
  <c r="U96" i="26"/>
  <c r="AO96" i="26" l="1"/>
  <c r="AF96" i="26" s="1"/>
  <c r="V97" i="26"/>
  <c r="P97" i="26" s="1"/>
  <c r="H96" i="26"/>
  <c r="AY97" i="26"/>
  <c r="AN97" i="26"/>
  <c r="AP97" i="26" s="1"/>
  <c r="AG97" i="26" s="1"/>
  <c r="G97" i="26" s="1"/>
  <c r="H97" i="26" s="1"/>
  <c r="AE96" i="26"/>
  <c r="R98" i="26"/>
  <c r="U97" i="26" l="1"/>
  <c r="AO97" i="26"/>
  <c r="AF97" i="26" s="1"/>
  <c r="AE97" i="26"/>
  <c r="R99" i="26"/>
  <c r="V99" i="26" s="1"/>
  <c r="AN98" i="26"/>
  <c r="AO98" i="26" s="1"/>
  <c r="AF98" i="26" s="1"/>
  <c r="AY98" i="26"/>
  <c r="V98" i="26"/>
  <c r="W98" i="26"/>
  <c r="Q98" i="26" s="1"/>
  <c r="F98" i="26" s="1"/>
  <c r="AP98" i="26" l="1"/>
  <c r="AG98" i="26" s="1"/>
  <c r="G98" i="26" s="1"/>
  <c r="H98" i="26" s="1"/>
  <c r="W99" i="26"/>
  <c r="Q99" i="26" s="1"/>
  <c r="F99" i="26" s="1"/>
  <c r="AN99" i="26"/>
  <c r="AP99" i="26" s="1"/>
  <c r="AG99" i="26" s="1"/>
  <c r="G99" i="26" s="1"/>
  <c r="AE98" i="26"/>
  <c r="AY99" i="26"/>
  <c r="R100" i="26"/>
  <c r="W100" i="26" s="1"/>
  <c r="Q100" i="26" s="1"/>
  <c r="F100" i="26" s="1"/>
  <c r="U98" i="26"/>
  <c r="P98" i="26"/>
  <c r="P99" i="26"/>
  <c r="U99" i="26"/>
  <c r="H99" i="26" l="1"/>
  <c r="V100" i="26"/>
  <c r="P100" i="26" s="1"/>
  <c r="AN100" i="26"/>
  <c r="AP100" i="26" s="1"/>
  <c r="AG100" i="26" s="1"/>
  <c r="G100" i="26" s="1"/>
  <c r="H100" i="26" s="1"/>
  <c r="AY100" i="26"/>
  <c r="AE99" i="26"/>
  <c r="R101" i="26"/>
  <c r="AO99" i="26"/>
  <c r="AF99" i="26" s="1"/>
  <c r="W101" i="26" l="1"/>
  <c r="Q101" i="26" s="1"/>
  <c r="U100" i="26"/>
  <c r="V101" i="26"/>
  <c r="AO100" i="26"/>
  <c r="AF100" i="26" s="1"/>
  <c r="AN101" i="26"/>
  <c r="AY101" i="26"/>
  <c r="AE100" i="26"/>
  <c r="D101" i="26"/>
  <c r="R102" i="26" s="1"/>
  <c r="W102" i="26" l="1"/>
  <c r="V102" i="26"/>
  <c r="V103" i="26" s="1"/>
  <c r="AN102" i="26"/>
  <c r="AN103" i="26" s="1"/>
  <c r="AE102" i="26"/>
  <c r="AY102" i="26"/>
  <c r="AE101" i="26"/>
  <c r="R103" i="26"/>
  <c r="AO101" i="26"/>
  <c r="AP101" i="26"/>
  <c r="D102" i="26"/>
  <c r="D103" i="26" s="1"/>
  <c r="U101" i="26"/>
  <c r="P101" i="26"/>
  <c r="F101" i="26"/>
  <c r="AE103" i="26" l="1"/>
  <c r="AP102" i="26"/>
  <c r="AG102" i="26" s="1"/>
  <c r="AO102" i="26"/>
  <c r="AF102" i="26" s="1"/>
  <c r="P102" i="26"/>
  <c r="P103" i="26" s="1"/>
  <c r="U102" i="26"/>
  <c r="Q102" i="26"/>
  <c r="Q103" i="26" s="1"/>
  <c r="W103" i="26"/>
  <c r="AG101" i="26"/>
  <c r="G101" i="26" s="1"/>
  <c r="D22" i="26"/>
  <c r="AF101" i="26"/>
  <c r="AO103" i="26" l="1"/>
  <c r="AF103" i="26"/>
  <c r="AP103" i="26"/>
  <c r="AG103" i="26" s="1"/>
  <c r="G102" i="26"/>
  <c r="G103" i="26" s="1"/>
  <c r="F102" i="26"/>
  <c r="H101" i="26"/>
  <c r="G22" i="26" l="1"/>
  <c r="H102" i="26"/>
  <c r="H22" i="26" s="1"/>
  <c r="F22" i="26"/>
  <c r="F103" i="26"/>
  <c r="H103" i="26" s="1"/>
  <c r="H10" i="26" l="1"/>
</calcChain>
</file>

<file path=xl/sharedStrings.xml><?xml version="1.0" encoding="utf-8"?>
<sst xmlns="http://schemas.openxmlformats.org/spreadsheetml/2006/main" count="4787" uniqueCount="326">
  <si>
    <t>1 - кредит по специальной процедуре            2 - кредит Экспресс</t>
  </si>
  <si>
    <t>Информация об условиях кредитования c примерным графиком погашения</t>
  </si>
  <si>
    <t>Кредитополучатель:</t>
  </si>
  <si>
    <t>Иванов И.И.</t>
  </si>
  <si>
    <t>сп кп</t>
  </si>
  <si>
    <t>эк</t>
  </si>
  <si>
    <t>сп</t>
  </si>
  <si>
    <t>К уплате:</t>
  </si>
  <si>
    <t>Процент по кредиту:</t>
  </si>
  <si>
    <t>Количество дней для первого месяца</t>
  </si>
  <si>
    <t>Комиссия по кредиту:</t>
  </si>
  <si>
    <t>Количество дней для последнего месяца</t>
  </si>
  <si>
    <t>Периоды погашения</t>
  </si>
  <si>
    <t>Срок кредита:</t>
  </si>
  <si>
    <t>Дата выдачи:</t>
  </si>
  <si>
    <t>дд.мм.гггг</t>
  </si>
  <si>
    <t>Обеспечение:</t>
  </si>
  <si>
    <t>Поручительство</t>
  </si>
  <si>
    <t>Целевое назначение:</t>
  </si>
  <si>
    <t>…</t>
  </si>
  <si>
    <t>Залог приобретаемого товара</t>
  </si>
  <si>
    <t>Дата погашения</t>
  </si>
  <si>
    <t>Сумма погашения основного долга</t>
  </si>
  <si>
    <t>Сумма процентов к уплате</t>
  </si>
  <si>
    <t>Сумма комиссии к уплате</t>
  </si>
  <si>
    <t>Итого к уплате</t>
  </si>
  <si>
    <t>проверка</t>
  </si>
  <si>
    <t>день</t>
  </si>
  <si>
    <t>процент сп</t>
  </si>
  <si>
    <t>процент эк</t>
  </si>
  <si>
    <t>остаток</t>
  </si>
  <si>
    <t>проц сп</t>
  </si>
  <si>
    <t>проц эк</t>
  </si>
  <si>
    <t>ежедостат</t>
  </si>
  <si>
    <t>* Тариф 30 000  белорусских рублей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соглашения об овердрафтном кредите.</t>
  </si>
  <si>
    <t>* Тариф 10  долларов  США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соглашения об овердрафтном кредите.</t>
  </si>
  <si>
    <t xml:space="preserve"> </t>
  </si>
  <si>
    <t>* Тариф 9 000  белорусских рублей  должен  быть внесен  Вами  на  карт-счет НАЛИЧНЫМИ в терминалах ЗАО "Трастбанк" и в кассах АСБ "Беларусбанк", где есть логотип "VISA" в течении 30 дней после подписания кредитного договора.</t>
  </si>
  <si>
    <t>поручительство</t>
  </si>
  <si>
    <t>ЭК_ЮСД</t>
  </si>
  <si>
    <t>ЭК_БИР</t>
  </si>
  <si>
    <t>СП_КП</t>
  </si>
  <si>
    <t>СП</t>
  </si>
  <si>
    <t>I. Иные платежи, согласно Перечню ставок вознаграждения за операции ЗАО «Трастбанк»:</t>
  </si>
  <si>
    <t>1) Регистрация в платежной системе карточки на три года  (уплачивается в течение первого месяца с даты открытия карт-счета): 10 долларов США;</t>
  </si>
  <si>
    <t>Иные платежи отсутствуют.</t>
  </si>
  <si>
    <t>2) Выдача наличных средств при овердрафтном кредите по карт-счету:</t>
  </si>
  <si>
    <t>2) Пополнение карт-счета:</t>
  </si>
  <si>
    <t>II. Ответственность Кредитополучателя за несоблюдение условий кредитного договора:</t>
  </si>
  <si>
    <t>- банковским переводом со счетов, открытых в других банках (в том числе их филиалов), банковским переводом без открытия счета путем внесения средств в кассу иных банков (в том числе их филиалов): 0,5% от зачисляемой суммы.</t>
  </si>
  <si>
    <t>1) В случае не 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50% годовых.</t>
  </si>
  <si>
    <t>1) В случае не исполнения обязательств по погашению основного долга и процентов по кредиту Кредитополучатель уплачивает повышенные проценты по просроченной задолженности в размере 30% годовых, начисленную от суммы просроченной задолженности;</t>
  </si>
  <si>
    <t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t>
  </si>
  <si>
    <t>3) Просмотр доступного остатка денежных средств по карт-счету:</t>
  </si>
  <si>
    <t>2) В случае неисполнения обязательств по уплате процентов,  Кредитополучатель уплачивает Банку пеню из расчета ставки по кредиту, увеличенной на 5% годовых , от суммы просроченной задолженности за каждый день просрочки.</t>
  </si>
  <si>
    <t>2) В случае неисполнения обязательств по уплате комиссии за сопровождение кредита,  Кредитополучатель уплачивает Банку  пеню в размере 0,2% от суммы просроченной задолженности за каждый день просрочки.</t>
  </si>
  <si>
    <t xml:space="preserve"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 </t>
  </si>
  <si>
    <t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t>
  </si>
  <si>
    <t>- в устройствах Банка: бесплатно;</t>
  </si>
  <si>
    <t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3 базовых величин.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</si>
  <si>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2 долларов США.</t>
  </si>
  <si>
    <t>III. Кредитополучателю предоставляется право на досрочное погашение задолженности по кредиту без взимания штрафов и дополнительных комиссий.</t>
  </si>
  <si>
    <t xml:space="preserve">4)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</si>
  <si>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3) Пополнение карт-счета бесплатно, кроме случаев:</t>
  </si>
  <si>
    <t>1) В случае неисполнения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50% годовых.</t>
  </si>
  <si>
    <t>- в устройствах Банков, подключенных к ОАО «БПЦ», на территории Республики Беларусь: 0,06 доллара США;</t>
  </si>
  <si>
    <t>2) В случае неисполнения обязательств по уплате процентов,  Кредитополучатель уплачивает Банку пеню из расчета ставки по кредиту, увеличенной на 5% годовых, от суммы просроченной задолженности за каждый день просрочки.</t>
  </si>
  <si>
    <t>- в устройствах Банков, не подключенных к ОАО «БПЦ»: 0,3 доллара США;</t>
  </si>
  <si>
    <t>- в устройствах Банков за пределами Республики Беларусь: 0,4 доллара США.</t>
  </si>
  <si>
    <t>1) В случае неисполнения обязательств по погашению основного долга Кредитополучатель уплачивает повышенные проценты по просроченной задолженности из расчета ставки по кредиту, увеличенной на 30% годовых.</t>
  </si>
  <si>
    <t>4) Блокировка и внесение карточки в локальный стоп-лист: 5 долларов США.</t>
  </si>
  <si>
    <t>4) Блокировка и внесение карточки в локальный стоп-лист: 10 000 белорусских рублей.</t>
  </si>
  <si>
    <t>5) Замена персонального идентификационного номера в связи его с утерей (взимается независимо от обстоятельств утери): 5 долларов США.</t>
  </si>
  <si>
    <t xml:space="preserve">3)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</si>
  <si>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6) Предоставление дополнительной выписки по счету: 5 долларов США.</t>
  </si>
  <si>
    <t>6) Предоставление дополнительной выписки по счету: 3 100 белорусских рублей.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</si>
  <si>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3 базовых величин.</t>
  </si>
  <si>
    <t>1) Кредитополучатель уплачивает Банку повышенную процентную ставку по просроченной задолженности по кредиту в размере 50%, начисленную от суммы просроченной задолженности;</t>
  </si>
  <si>
    <t>2)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t>
  </si>
  <si>
    <t>Неустойка</t>
  </si>
  <si>
    <t>неустойка</t>
  </si>
  <si>
    <t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</si>
  <si>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t>
  </si>
  <si>
    <t>- в кассах и банкоматах Банка (в том числе Пунктов выдачи наличных): 2,5% от выданной суммы, но не менее 5000 бел.руб.;</t>
  </si>
  <si>
    <t>В период срока действия лимита овердрафта:</t>
  </si>
  <si>
    <t>* Все платежи в погашение кредитов осуществляются не позднее 20-го числа текущего месяца.</t>
  </si>
  <si>
    <t>* Для полного погашения кредита, а также при внесении последнего платежа обязательно перезвоните в Банк и уточните сумму для погашения!</t>
  </si>
  <si>
    <t>Контактные телефоны: 8-017-209-47-71, +37529-1-293-293 (Velcom), +37533-6-803-903 (МТС), +37525-9-803-903 (Life:))</t>
  </si>
  <si>
    <t xml:space="preserve"> - в кассах и банкоматах Банка (в том числе Пунктов выдачи наличных): 2,5% от выданной суммы, но не менее 5000 бел.руб.;</t>
  </si>
  <si>
    <t xml:space="preserve"> 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t>
  </si>
  <si>
    <t xml:space="preserve"> 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t>
  </si>
  <si>
    <t>4) Просмотр доступного остатка денежных средств по карт-счету:</t>
  </si>
  <si>
    <t xml:space="preserve"> - в устройствах Банка: бесплатно;</t>
  </si>
  <si>
    <t xml:space="preserve"> 5) Блокировка и внесение карточки в локальный стоп-лист: 10 000 белорусских рублей.</t>
  </si>
  <si>
    <t>7) Предоставление дополнительной выписки по счету: 3 100 белорусских рублей.</t>
  </si>
  <si>
    <t>III. Внесение платежа по основному долгу в размере, превышающем ежемесячный обязательный платеж, не освобождает Кредитополучателя от внесения платежей в следующем (их) расчетном (ых) периоде (ах).</t>
  </si>
  <si>
    <t>IV. Кредитополучателю предоставляется право на досрочное погашение задолженности по кредиту без взимания штрафов и дополнительных комиссий.</t>
  </si>
  <si>
    <t>Ставка рефинансирования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</si>
  <si>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</si>
  <si>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t>
  </si>
  <si>
    <t>1) Регистрация в платежной системе карточки на три года  (уплачивается в течение первого месяца с даты открытия карт-счета): бесплатно;</t>
  </si>
  <si>
    <t>1) Регистрация в платежной системе карточки со сроком действия 2 года  (уплачивается в течение первого месяца с даты открытия карт-счета): бесплатно;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</si>
  <si>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5000 бел.руб., но не менее 2 долларов США.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</si>
  <si>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5000 бел.руб.</t>
  </si>
  <si>
    <t>*Тариф 15 000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 1. путем пополнения карт-счета Кредитополучателя в порядке, установленном Договором карт-счета для пополнения карт-счета;   
 2. путем внесения наличных денежных средств в кассу Банка;
 3. путем оплаты через систему "РАСЧЕТ" наличным или безналичным способом.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</si>
  <si>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t>
  </si>
  <si>
    <t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t>
  </si>
  <si>
    <t>1) Регистрация в платежной системе карточки на два года  (уплачивается в течение первого месяца с даты открытия карт-счета): бесплатно;</t>
  </si>
  <si>
    <t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пунктов;</t>
  </si>
  <si>
    <t>- в устройствах Банков, подключенных к ОАО «БПЦ», на территории Республики Беларусь: 500 белорусских рублей;</t>
  </si>
  <si>
    <t>- в устройствах Банков, не подключенных к ОАО «БПЦ»: 1 000 белорусских рублей;</t>
  </si>
  <si>
    <t>- в устройствах Банков за пределами Республики Беларусь: 3 000 белорусских рублей.</t>
  </si>
  <si>
    <t>- перевода на карт-счет в рамках системы "Расчет": 1,5% от зачисляемой суммы.</t>
  </si>
  <si>
    <t>5) Блокировка и внесение карточки в локальный стоп-лист: 5 долларов США.</t>
  </si>
  <si>
    <t>6) Замена персонального идентификационного номера в связи его с утерей (взимается независимо от обстоятельств утери): 5 долларов США.</t>
  </si>
  <si>
    <t>7) Предоставление дополнительной выписки по счету: 5 долларов США.</t>
  </si>
  <si>
    <t>5) Блокировка и внесение карточки в локальный стоп-лист: 10 000 белорусских рублей.</t>
  </si>
  <si>
    <t>- в устройствах Банков, не подключенных к ОАО «БПЦ»:1 000 белорусских рублей;</t>
  </si>
  <si>
    <t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
</t>
  </si>
  <si>
    <t>1) Регистрация в платежной системе карточки со сроком действия 2 года  (уплачивается в течение первого месяца с даты открытия карт-счета): 50 000 белорусских рублей;</t>
  </si>
  <si>
    <t>1) Регистрация в платежной системе карточки на три года  (уплачивается в течение первого месяца с даты открытия карт-счета): 50 000 белорусских рублей;</t>
  </si>
  <si>
    <t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t>
  </si>
  <si>
    <t>- перевода на карт-счет в рамках системы "Расчет": 2% от зачисляемой суммы.</t>
  </si>
  <si>
    <t>- банковских переводов со счетов, открытых в ЗАО «Тастбанк: 0,7% от зачисляемой суммы.</t>
  </si>
  <si>
    <t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t>
  </si>
  <si>
    <t>- в устройствах Банков, подключенных к ОАО «БПЦ», на территории Республики Беларусь: 600 белорусских рублей;</t>
  </si>
  <si>
    <t>- в устройствах Банков, не подключенных к ОАО «БПЦ»: 1 500 белорусских рублей;</t>
  </si>
  <si>
    <t>- в устройствах Банков за пределами Республики Беларусь: 5 000 белорусских рублей.</t>
  </si>
  <si>
    <t>6) Замена персонального идентификационного номера в связи его с утерей (взимается независимо от обстоятельств утери): 20 000 белорусских рублей.</t>
  </si>
  <si>
    <t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t>
  </si>
  <si>
    <t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</t>
  </si>
  <si>
    <t xml:space="preserve"> 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t>
  </si>
  <si>
    <t xml:space="preserve"> - банковских переводов со счетов, открытых в ЗАО «Тастбанк: 0,7% от зачисляемой суммы.</t>
  </si>
  <si>
    <t xml:space="preserve"> 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t>
  </si>
  <si>
    <t xml:space="preserve"> - перевода на карт-счет в рамках системы "Расчет": 2% от зачисляемой суммы.</t>
  </si>
  <si>
    <t xml:space="preserve"> - в устройствах Банков, подключенных к ОАО «БПЦ», на территории Республики Беларусь: 600 белорусских рублей;</t>
  </si>
  <si>
    <t xml:space="preserve"> - в устройствах Банков, не подключенных к ОАО «БПЦ»: 1 500 белорусских рублей;</t>
  </si>
  <si>
    <t xml:space="preserve"> - в устройствах Банков за пределами Республики Беларусь: 5 000 белорусских рублей.</t>
  </si>
  <si>
    <t>- в кассах Банков и их филиалов (без учета дополнительных комиссий Банков) и  банкоматах Банков за пределами Республики Беларусь: 2,5% от выданной суммы, но не менее 15 000 бел.руб.</t>
  </si>
  <si>
    <t>Срок лимита:</t>
  </si>
  <si>
    <t>Без использования возможностей лимита овердрафта:</t>
  </si>
  <si>
    <t>С использованием возможностей лимита овердрафта:</t>
  </si>
  <si>
    <t>проц2</t>
  </si>
  <si>
    <t>комиссия2</t>
  </si>
  <si>
    <t>После срока действия лимита овердрафта:</t>
  </si>
  <si>
    <t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t>
  </si>
  <si>
    <t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t>
  </si>
  <si>
    <t>1) Выдача наличных средств при овердрафтном кредите по карт-счету:</t>
  </si>
  <si>
    <t>2) Пополнение карт-счета бесплатно, кроме случаев:</t>
  </si>
  <si>
    <t>5) Замена персонального идентификационного номера в связи его с утерей (взимается независимо от обстоятельств утери): 20 000 белорусских рублей.</t>
  </si>
  <si>
    <t>1) Пополнение карт-счета:</t>
  </si>
  <si>
    <t>2) Просмотр доступного остатка денежных средств по карт-счету:</t>
  </si>
  <si>
    <r>
      <t xml:space="preserve">* Для полного погашения кредита, а также при внесении последнего платежа </t>
    </r>
    <r>
      <rPr>
        <u/>
        <sz val="10"/>
        <color indexed="9"/>
        <rFont val="Arial Cyr"/>
        <charset val="204"/>
      </rPr>
      <t>обязательно</t>
    </r>
    <r>
      <rPr>
        <sz val="10"/>
        <color indexed="9"/>
        <rFont val="Arial Cyr"/>
        <charset val="204"/>
      </rPr>
      <t xml:space="preserve"> перезвоните в Банк и уточните сумму для погашения!</t>
    </r>
  </si>
  <si>
    <t>Для полного погашения кредита, а также при внесении последнего платежа обязательно позвоните в Банк и уточните сумму для погашения.</t>
  </si>
  <si>
    <r>
      <t xml:space="preserve">Регистрация  в платежной системе  банковской карточки Visa Electron или БелКарт и перевыпуск ее по окончанию срока действия в течение периода  пользования кредитом </t>
    </r>
    <r>
      <rPr>
        <b/>
        <sz val="12"/>
        <color indexed="8"/>
        <rFont val="Arial"/>
        <family val="2"/>
        <charset val="204"/>
      </rPr>
      <t>—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бесплатно.</t>
    </r>
  </si>
  <si>
    <r>
      <t xml:space="preserve">Все платежи в погашение кредитов осуществляются не позднее </t>
    </r>
    <r>
      <rPr>
        <b/>
        <sz val="12"/>
        <color indexed="8"/>
        <rFont val="Arial"/>
        <family val="2"/>
        <charset val="204"/>
      </rPr>
      <t>20</t>
    </r>
    <r>
      <rPr>
        <sz val="12"/>
        <color indexed="8"/>
        <rFont val="Arial"/>
        <family val="2"/>
        <charset val="204"/>
      </rPr>
      <t>-го числа текущего месяца.</t>
    </r>
  </si>
  <si>
    <t>-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t>
  </si>
  <si>
    <t xml:space="preserve">-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t>
  </si>
  <si>
    <t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</t>
  </si>
  <si>
    <t>- В случае несвоевременного уведомления Банка об изменении паспортных данных, адреса проживания и номера телефона, указанных в заявлении-анкете, Кредитополучатель уплачивает штраф в размере 1 базовой величины.</t>
  </si>
  <si>
    <t>Кредитополучателю предоставляется право на досрочное погашение задолженности по кредиту без взимания штрафов.</t>
  </si>
  <si>
    <t xml:space="preserve">Выдача наличных средств: </t>
  </si>
  <si>
    <t xml:space="preserve">- в кассах и банкоматах Банка (в том числе Пунктов выдачи наличных): </t>
  </si>
  <si>
    <t>2,5% от выданной суммы, но не менее 5 000 BYR</t>
  </si>
  <si>
    <t>- в кассах банков и их филиалов (без учета дополнительных комиссий банков) и  банкоматах банков, подключенных к ОАО «БПЦ»:</t>
  </si>
  <si>
    <t>3,5% от выданной суммы, но не менее 5 000 BYR</t>
  </si>
  <si>
    <t>- в кассах банков и их филиалов (без учета дополнительных комиссий банков) и  банкоматах банков, не подключенных к ОАО «БПЦ», на территории Республики Беларусь:</t>
  </si>
  <si>
    <t>- в кассах банков и их филиалов (без учета дополнительных комиссий банков) и  банкоматах банков за пределами территории Республики Беларусь:</t>
  </si>
  <si>
    <t>3,5% от выданной суммы, но не менее 15 000 BYR</t>
  </si>
  <si>
    <t>Пополнение счета путем:</t>
  </si>
  <si>
    <t xml:space="preserve">- внесения наличных денежных средств в кассу Банка; </t>
  </si>
  <si>
    <t>- внесения наличных денежных средств на  карточку в ПВН ОАО «АСБ Беларусбанк»</t>
  </si>
  <si>
    <t>- банковского перевода со счетов, открытых в других банках (в том числе их филиалов), банковского перевода без открытия счета путем внесения средств в кассу иных банков (в том числе их филиалов)</t>
  </si>
  <si>
    <t>- перевода на счет в рамках системы «Расчет»</t>
  </si>
  <si>
    <t xml:space="preserve">бесплатно </t>
  </si>
  <si>
    <t>бесплатно</t>
  </si>
  <si>
    <t>0,7% от суммы зачисления</t>
  </si>
  <si>
    <t>0,9% от суммы зачисления</t>
  </si>
  <si>
    <t>2% от суммы зачисления</t>
  </si>
  <si>
    <t>Предоставление возможности с использованием банковской платежной карточки просмотра доступного остатка денежных средств по счету, получения мини-выписки по счету, осуществления операций в сети Интернет, а также подключение услуги «SMS-оповещения» осуществляется на основании заявления Клиента.</t>
  </si>
  <si>
    <t>Информация об условиях кредитования мной получена, с ней ознакомлен(а) и согласен(на) до подписания Соглашения об овердрафтном кредите</t>
  </si>
  <si>
    <t>Годовая процентная ставка:</t>
  </si>
  <si>
    <t>Переменная</t>
  </si>
  <si>
    <t>Фиксированная</t>
  </si>
  <si>
    <t>- банковского перевода со счетов, открытых в Банке; банковского перевода без открытия счета путем внесения средств в кассу Банка</t>
  </si>
  <si>
    <t xml:space="preserve"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 </t>
  </si>
  <si>
    <t>ежедостат2</t>
  </si>
  <si>
    <t>Ответственность Кредитополучателя за несоблюдение условий Соглашения об овердрафтном кредите</t>
  </si>
  <si>
    <t>Ответственность Банка за несоблюдение условий Соглашения об овердрафтном кредите</t>
  </si>
  <si>
    <t>бел. рублей</t>
  </si>
  <si>
    <t>Контактные телефоны Банка: 8-017-209-47-71, +37529-1-293-293 (Velcom), +37533-6-803-903 (МТС), +37525-9-803-903 (Life:))</t>
  </si>
  <si>
    <r>
      <t xml:space="preserve">Оплата товаров, работ и услуг с использованием карточки </t>
    </r>
    <r>
      <rPr>
        <b/>
        <sz val="12"/>
        <color indexed="8"/>
        <rFont val="Arial"/>
        <family val="2"/>
        <charset val="204"/>
      </rPr>
      <t>—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бесплатно.</t>
    </r>
  </si>
  <si>
    <t xml:space="preserve"> - За неисполнение обязательства по предоставлению кредита по вине Банка последний уплачивает Кредитополучателю штраф в размере 0,5 (ноль целых пять десятых) процента базовой величины, установленной на дату нарушения.</t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</si>
  <si>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8-017-209-47-71 (городской телефон), +37529-1-293-293 (Velcom), +37533-6-803-903 (МТС), +37525-9-803-903 (Life:)),
465 (Единый номер для абонентов мобильных операторов Velcom, МТС, Life:)).</t>
    </r>
  </si>
  <si>
    <t>- За неисполнение обязательства по предоставлению кредита по вине Банка последний уплачивает Кредитополучателю штраф в размере 0,5 (ноль целых пять десятых) процента базовой величины, установленной на дату нарушения.</t>
  </si>
  <si>
    <t xml:space="preserve"> - В случае непогашения в срок задолженности по кредиту, Кредитополучатель уплачивает Банку повышенные проценты в размере 112.00 (Сто двенадцать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</si>
  <si>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130.00 (Сто тридцать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</si>
  <si>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120.00 (Сто двадцать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</si>
  <si>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135.00 (Сто тридцать пять целых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</si>
  <si>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143.00 (Сто сорок три целых  ноль сотых) процентов годовых, начисленных на сумму просроченной 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</si>
  <si>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128.00 (Сто двадцать восемь целых  ноль сотых) процентов годовых, начисленных на сумму просроченной
задолженности по основному долгу.</t>
  </si>
  <si>
    <t xml:space="preserve"> - В случае непогашения в срок задолженности по кредиту, Кредитополучатель уплачивает Банку повышенные проценты в размере 138.00 (Сто тридцать восемь целых ноль сотых) процентов годовых, начисленных на сумму просроченной
задолженности по основному долгу.</t>
  </si>
  <si>
    <r>
      <t xml:space="preserve">Платежи в погашение кредита осуществляются не позднее </t>
    </r>
    <r>
      <rPr>
        <b/>
        <sz val="12"/>
        <color indexed="8"/>
        <rFont val="Arial"/>
        <family val="2"/>
        <charset val="204"/>
      </rPr>
      <t>20</t>
    </r>
    <r>
      <rPr>
        <sz val="12"/>
        <color indexed="8"/>
        <rFont val="Arial"/>
        <family val="2"/>
        <charset val="204"/>
      </rPr>
      <t>-го числа каждого месяца, начиная с месяца, следующего за месяцем получения кредита.</t>
    </r>
  </si>
  <si>
    <t>3 % от выданной суммы, но не менее 25 000 BYR</t>
  </si>
  <si>
    <t>2,5 % от выданной суммы, но не менее 20 000 BYR</t>
  </si>
  <si>
    <t>2,5 % от суммы зачисления</t>
  </si>
  <si>
    <t>0,7 % от суммы зачисления</t>
  </si>
  <si>
    <t>0,9 % от суммы зачисления</t>
  </si>
  <si>
    <t>2 % от суммы зачисления</t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</si>
  <si>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               - 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</si>
  <si>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       - 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</si>
  <si>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       -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</si>
  <si>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r>
      <rPr>
        <b/>
        <sz val="12"/>
        <color indexed="8"/>
        <rFont val="Arial"/>
        <family val="2"/>
        <charset val="204"/>
      </rPr>
      <t>Контактные телефоны Банка:</t>
    </r>
    <r>
      <rPr>
        <sz val="12"/>
        <color indexed="8"/>
        <rFont val="Arial"/>
        <family val="2"/>
        <charset val="204"/>
      </rPr>
      <t xml:space="preserve"> 8 801 1 003 333 (бесплатный звонок с городского телефона на территории Беларуси), 
                                                     8-017-209-47-71 (городской телефон),                                                                                               -                                                   +37529-1-293-293 (Velcom), +37533-6-803-903 (МТС), +37525-9-803-903 (Life:)),
                                                     465 (Единый номер для абонентов мобильных операторов Velcom, МТС, Life:)).</t>
    </r>
  </si>
  <si>
    <t>Для полного погашения кредита, а также при внесении последнего платежа, обязательно позвоните в Банк и уточните сумму для погашения.</t>
  </si>
  <si>
    <t>Цель кредита:</t>
  </si>
  <si>
    <t>потребительские нужды</t>
  </si>
  <si>
    <t>2,5 % от выданной суммы, но не менее 2 BYN</t>
  </si>
  <si>
    <t>3 % от выданной суммы, но не менее 2,50 BYN</t>
  </si>
  <si>
    <t xml:space="preserve">Головач И А </t>
  </si>
  <si>
    <t>Процент по кредиту: 1-2 плат.период / последующие плат.периоды</t>
  </si>
  <si>
    <t>доля  дней в 3 месяце</t>
  </si>
  <si>
    <t>начало</t>
  </si>
  <si>
    <t>конец</t>
  </si>
  <si>
    <t>ИНФОРМАЦИЯ ОБ УСЛОВИЯХ КРЕДИТОВАНИЯ</t>
  </si>
  <si>
    <t>(наименование кредитополучателя)</t>
  </si>
  <si>
    <t>ЗАО «Банк «Решение»</t>
  </si>
  <si>
    <t>п/п</t>
  </si>
  <si>
    <t>Условие</t>
  </si>
  <si>
    <t>Содержание условия</t>
  </si>
  <si>
    <t>1.</t>
  </si>
  <si>
    <t>Сумма кредита (максимальный размер (лимит) общей суммы кредита и (или) предельный размер единовременной задолженности по кредиту), валюта</t>
  </si>
  <si>
    <t>белорусских рублей</t>
  </si>
  <si>
    <t>2.</t>
  </si>
  <si>
    <t>Срок и порядок предоставления кредита</t>
  </si>
  <si>
    <t>мес. (срок действия лимита овердрафта).</t>
  </si>
  <si>
    <t>В безналичном порядке, путем перечисления Банком денежных средств в соответствии с указаниями, данными посредством использования Карточки.</t>
  </si>
  <si>
    <t>3.</t>
  </si>
  <si>
    <t>Срок и порядок возврата (погашения) кредита (количество, размер и периодичность (сроки) платежей по кредитному договору или порядок определения этих платежей)</t>
  </si>
  <si>
    <t>мес. (срок кредита)</t>
  </si>
  <si>
    <t>Размер: сумма предоставленного кредита по состоянию на 1-е число месяца, следующего за месяцем предоставления кредита, разделенная равными частями на количество платежных периодов, оставшихся до полного погашения кредита. 
Платежные периоды: 
а) с 1 по 20 число (ежемесячно)
б) в день полного погашения кредита.</t>
  </si>
  <si>
    <t>4.</t>
  </si>
  <si>
    <t>Размер процентов за пользование кредитом, порядок определения их размера (с применением фиксированной либо переменной годовой процентной ставки) и сроки их уплаты</t>
  </si>
  <si>
    <t>% годовых (фиксированный)</t>
  </si>
  <si>
    <t>Платежные периоды: 
а) с 1 по 20 число (ежемесячно)
б) в день полного погашения кредита.</t>
  </si>
  <si>
    <t>5.</t>
  </si>
  <si>
    <t>Возможность и условия досрочного возврата (погашения) кредита</t>
  </si>
  <si>
    <t>Разрешено досрочное погашение без взимания штрафа.</t>
  </si>
  <si>
    <t>6.</t>
  </si>
  <si>
    <t>Способы возврата (погашения) кредита, в том числе способ осуществления платежей кредитополучателем по кредитному договору без взимания вознаграждения</t>
  </si>
  <si>
    <t xml:space="preserve">Наличными денежными средствами либо в безналичном порядке, путем пополнения текущего Счета, в т.ч. через систему «Расчет», посредством Мобильного/Интернет Банка. 
Бесплатно:  в кассах Банка
</t>
  </si>
  <si>
    <t>7.</t>
  </si>
  <si>
    <t>Обязанность заявителя (кредитополучателя) заключить иные договоры</t>
  </si>
  <si>
    <t>Договор об использовании карточки</t>
  </si>
  <si>
    <t>8.</t>
  </si>
  <si>
    <t>Способы обеспечения исполнения обязательств по кредитному договору и обязательные требования к такому обеспечению</t>
  </si>
  <si>
    <t>9.</t>
  </si>
  <si>
    <t>Цели, на которые кредит может быть использован</t>
  </si>
  <si>
    <t>Потребительский кредит</t>
  </si>
  <si>
    <t>10.</t>
  </si>
  <si>
    <t>Ответственность кредитополучателя за неисполнение (ненадлежащее исполнение) условий кредитного договора, размер неустойки (штрафа, пени) или порядок их определения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</si>
  <si>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</si>
  <si>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11.</t>
  </si>
  <si>
    <t>Услуги, оказываемые банком, третьими лицами за отдельную плату, их цена или порядок ее определения, а также согласие заявителя (кредитополучателя) на получение таких услуг</t>
  </si>
  <si>
    <t>Вознаграждение*:
За снятие наличных денежных средств посредством карточки: 
- в банкоматах и кассах банков-партнеров** (без учета вознаграждения других банков) – 2,5% от выданной суммы (минимум 2,0 белорусских рубля);
- в банкоматах и кассах, не являющихся партнерами Банка – 3 % от выданной суммы (минимум 2,50 белорусских рубля).
Пополнение текущего Счета:
-  в рамках системы «Расчет» 2% от суммы зачисления;
-  посредством карточки в ОАО «АСБ Беларусбанк»   2,5% от суммы зачисления.
* Размер вознаграждения определяется на дату подписания Информации об условиях кредитования.
** В соответствии с  Перечнем ставок вознаграждения за услуги, оказываемые ЗАО «Банк «Решение»</t>
  </si>
  <si>
    <t>12.</t>
  </si>
  <si>
    <t>Иные условия предоставления и возврата (погашения) кредита, а также уплаты процентов за пользование им</t>
  </si>
  <si>
    <t>Отсутствует</t>
  </si>
  <si>
    <t>Ф.И.О.</t>
  </si>
  <si>
    <t>(подпись)</t>
  </si>
  <si>
    <t>ИТОГО</t>
  </si>
  <si>
    <t>Путем безналичного перечисления в погашение задолженности по кредиту(ам) и в соответствии с указаниями, данными посредством использования Карточки.</t>
  </si>
  <si>
    <t>Итого:</t>
  </si>
  <si>
    <t>Остаток по осн. долгу</t>
  </si>
  <si>
    <t>Сумма погашения процентов</t>
  </si>
  <si>
    <t>Ежемесячный аннуитет. Платеж</t>
  </si>
  <si>
    <t>1- (1+ПС)^(кол. Мес)</t>
  </si>
  <si>
    <t>(1+ПС)^-(кол-во мес)</t>
  </si>
  <si>
    <t>ставка процента *1/1200</t>
  </si>
  <si>
    <t>ПС</t>
  </si>
  <si>
    <t>Разрешено полное досрочное погашение без взимания штрафа.</t>
  </si>
  <si>
    <t xml:space="preserve">Размер и периодичность: в соответствии с Приложением </t>
  </si>
  <si>
    <t xml:space="preserve">мес. </t>
  </si>
  <si>
    <t>Одноразовое перечисление Банком денежных средств на текущий Счет, открытый в Банке</t>
  </si>
  <si>
    <t>Потребительские нужды</t>
  </si>
  <si>
    <t>Целевое назначение</t>
  </si>
  <si>
    <t>Обеспечение</t>
  </si>
  <si>
    <t>Дата выдачи</t>
  </si>
  <si>
    <t>месяцев</t>
  </si>
  <si>
    <t>Тип процентной ставки</t>
  </si>
  <si>
    <t>% годовых</t>
  </si>
  <si>
    <t>Ставка по кредиту</t>
  </si>
  <si>
    <t>бел.рублей</t>
  </si>
  <si>
    <t>Сумма кредита</t>
  </si>
  <si>
    <t>№ кредитного договора</t>
  </si>
  <si>
    <t>Кредитополучатель</t>
  </si>
  <si>
    <t>Иванов Иван Иванович</t>
  </si>
  <si>
    <t xml:space="preserve">Наличными денежными средствами либо в безналичном порядке, путем пополнения текущего Счета, в т.ч. через систему «Расчет», посредством Мобильного/Интернет Банка. 
Бесплатно:  в кассах Банка
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</si>
  <si>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
- штраф в размере 15 бел. рублей за непогашение в срок задолженности по кредиту                                                              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</si>
  <si>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                                                        - штраф в размере 15 бел. рублей за непогашение в срок задолженности по кредиту      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</si>
  <si>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>Страховка:</t>
  </si>
  <si>
    <t xml:space="preserve">Разрешено (без взимания штрафа). Внесенные денежные средства в размере, превышающем ежемесячный платеж, направляются на досрочный возврат (погашение) кредита в ближайшие по сроку погашения будущие периоды. </t>
  </si>
  <si>
    <t>Не применимо</t>
  </si>
  <si>
    <t>Примерный график платежей по возврату (погашению) кредита</t>
  </si>
  <si>
    <t>Приложение №1                                              к информации об условиях кредитования</t>
  </si>
  <si>
    <t>мес.</t>
  </si>
  <si>
    <t xml:space="preserve">Путем пополнения Счета одним из следующих способов:                                                                                - внесением наличных денежных средств в кассу Банка, в том числе и с использованием карточки (бесплатно);                                                                         - посредством системы «Расчет» (2% от суммы зачисления);
-  посредством карточки в ОАО «АСБ Беларусбанк»   (2,5% от суммы зачисления).                
</t>
  </si>
  <si>
    <t>По состоянию на:</t>
  </si>
  <si>
    <t>Приведенные ежемесячные платежи являются ориентировочными, так как могут изменяться в случае возникновения просроченной задолженности по кредиту либо его досрочного погашения</t>
  </si>
  <si>
    <t>(ФИО)</t>
  </si>
  <si>
    <t>Срок и порядок предоставления кредита, способы предоставления, в том числе без взимания вознаграждения</t>
  </si>
  <si>
    <t>Размер процентов за пользование кредитом, порядок определения их размера (с применением фиксированной либо переменной годовой процентной ставки), сумма процентов за весь срок пользования кредитом (на дату предоставления информации) и сроки их уплаты</t>
  </si>
  <si>
    <t>Стоимость дополнительных платных услуг, предусмотренных кредитным договором, предоставляемых банком и (или) третьими лицами, а также согласие заявителя (кредитополучателя) на получение таких услуг</t>
  </si>
  <si>
    <t xml:space="preserve">Банк предоставляет кредит для покрытия овердрафта, возникающего при проведении операций с использованием карточки (ее реквизитов) на сумму, превышающую остаток денежных средств на Счете. Бесплатные способы предоставления кредита: оплата товаров/работ/услугу с использованием карточки (ее реквизитов), снятие наличных  в кассах и банкоматах Банка                            </t>
  </si>
  <si>
    <t>Сроки уплаты (платежные периоды): 
а) с 1 по 20 число (ежемесячно)
б) в день полного погашения кредита.</t>
  </si>
  <si>
    <t>Размер: сумма предоставленного кредита по состоянию на 1-е число месяца, следующего за месяцем предоставления кредита, разделенная равными частями на количество платежных периодов, оставшихся до полного погашения кредита. 
Периодичность платежей (платежные периоды): 
а) с 1 по 20 число (ежемесячно)
б) в день полного погашения кредита.</t>
  </si>
  <si>
    <t>бел.руб., сумма процентов за весь срок пользования кредитом (при условии единоразового предоставления кредита в полном объеме)</t>
  </si>
  <si>
    <t>Неустойка и гарантийный депозит юридического лица</t>
  </si>
  <si>
    <t>При несвоевременном погашении кредита Кредитополучатель уплачивает:
-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пунктов;
- неустойку в размере 0,3 % от суммы просроченной задолженности по основному долгу за каждый день просрочки;
- пеню в размере 0,2 % от суммы просроченной задолженности по процентам за каждый день просрочки.                                                        - штраф в размере 30 бел. рублей за непогашение в срок задолженности по кредиту      
В случае несвоевременного уведомления Банка об изменении паспортных данных, адреса проживания и номера телефона - штраф в размере 1 базовой величины.</t>
  </si>
  <si>
    <t xml:space="preserve">Отсутствует </t>
  </si>
  <si>
    <t xml:space="preserve">Согласие заявителя (кредитополучателя) выражено путем подписания Информации об условиях кредитования    </t>
  </si>
  <si>
    <t>бел. руб. (единоразово).</t>
  </si>
  <si>
    <t xml:space="preserve">Добровольное медицинское страхование -      
</t>
  </si>
  <si>
    <t>отсрочка по ОД</t>
  </si>
  <si>
    <t>месяца</t>
  </si>
  <si>
    <t>COPART, INC. MEMBER WIRE ACCOUNT /Нерезидент РБ/ Адрес:  94534 USA, CA, 4665 BUSINESS CENTER DRIVE FAIRFIELD, COPART CORPORATE HEADQUARTERS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</si>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</sst>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00000"/>
    <numFmt numFmtId="166" formatCode="#,##0.00000"/>
    <numFmt numFmtId="167" formatCode="0.00000"/>
  </numFmts>
  <fonts count="78">
    <font>
      <sz val="10"/>
      <name val="Arial Cyr"/>
      <charset val="204"/>
    </font>
    <font>
      <sz val="10"/>
      <name val="Arial Cyr"/>
      <charset val="204"/>
    </font>
    <font>
      <sz val="10"/>
      <color indexed="22"/>
      <name val="Arial Cyr"/>
      <charset val="204"/>
    </font>
    <font>
      <b/>
      <i/>
      <sz val="20"/>
      <color indexed="23"/>
      <name val="Arial Cyr"/>
      <charset val="204"/>
    </font>
    <font>
      <b/>
      <sz val="12"/>
      <color indexed="9"/>
      <name val="Arial Cyr"/>
      <charset val="204"/>
    </font>
    <font>
      <sz val="10"/>
      <color indexed="9"/>
      <name val="Arial Cyr"/>
      <charset val="204"/>
    </font>
    <font>
      <b/>
      <i/>
      <sz val="20"/>
      <color indexed="9"/>
      <name val="Arial Cyr"/>
      <charset val="204"/>
    </font>
    <font>
      <b/>
      <sz val="14"/>
      <color indexed="22"/>
      <name val="Arial Cyr"/>
      <charset val="204"/>
    </font>
    <font>
      <b/>
      <sz val="12"/>
      <name val="Arial Cyr"/>
      <charset val="204"/>
    </font>
    <font>
      <b/>
      <sz val="10"/>
      <color indexed="9"/>
      <name val="Arial Cyr"/>
      <charset val="204"/>
    </font>
    <font>
      <b/>
      <sz val="10"/>
      <name val="Arial Cyr"/>
      <charset val="204"/>
    </font>
    <font>
      <sz val="10"/>
      <color indexed="10"/>
      <name val="Arial Cyr"/>
      <charset val="204"/>
    </font>
    <font>
      <b/>
      <i/>
      <sz val="10"/>
      <color indexed="9"/>
      <name val="Arial Cyr"/>
      <charset val="204"/>
    </font>
    <font>
      <b/>
      <sz val="10"/>
      <color indexed="22"/>
      <name val="Arial Cyr"/>
      <charset val="204"/>
    </font>
    <font>
      <sz val="6"/>
      <color indexed="55"/>
      <name val="Arial Cyr"/>
      <charset val="204"/>
    </font>
    <font>
      <sz val="9"/>
      <color indexed="9"/>
      <name val="Arial Cyr"/>
      <charset val="204"/>
    </font>
    <font>
      <sz val="10"/>
      <name val="Times New Roman"/>
      <family val="1"/>
      <charset val="204"/>
    </font>
    <font>
      <b/>
      <sz val="10.5"/>
      <color indexed="9"/>
      <name val="Times New Roman"/>
      <family val="1"/>
      <charset val="204"/>
    </font>
    <font>
      <sz val="10.5"/>
      <color indexed="9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9"/>
      <name val="Arial Cyr"/>
      <charset val="204"/>
    </font>
    <font>
      <sz val="10"/>
      <color indexed="9"/>
      <name val="Arial Cyr"/>
      <charset val="204"/>
    </font>
    <font>
      <b/>
      <sz val="10"/>
      <color indexed="9"/>
      <name val="Arial Cyr"/>
      <charset val="204"/>
    </font>
    <font>
      <sz val="10"/>
      <color indexed="9"/>
      <name val="Arial Cyr"/>
      <charset val="204"/>
    </font>
    <font>
      <b/>
      <i/>
      <sz val="20"/>
      <color indexed="9"/>
      <name val="Arial Cyr"/>
      <charset val="204"/>
    </font>
    <font>
      <b/>
      <sz val="14"/>
      <color indexed="9"/>
      <name val="Arial Cyr"/>
      <charset val="204"/>
    </font>
    <font>
      <b/>
      <i/>
      <sz val="10"/>
      <color indexed="9"/>
      <name val="Arial Cyr"/>
      <charset val="204"/>
    </font>
    <font>
      <sz val="9"/>
      <color indexed="9"/>
      <name val="Arial Cyr"/>
      <charset val="204"/>
    </font>
    <font>
      <b/>
      <sz val="10.5"/>
      <color indexed="9"/>
      <name val="Times New Roman"/>
      <family val="1"/>
      <charset val="204"/>
    </font>
    <font>
      <sz val="10.5"/>
      <color indexed="9"/>
      <name val="Times New Roman"/>
      <family val="1"/>
      <charset val="204"/>
    </font>
    <font>
      <u/>
      <sz val="10"/>
      <color indexed="9"/>
      <name val="Arial Cyr"/>
      <charset val="204"/>
    </font>
    <font>
      <sz val="10"/>
      <name val="Arial Cyr"/>
      <charset val="204"/>
    </font>
    <font>
      <sz val="10"/>
      <color indexed="9"/>
      <name val="Arial cer"/>
      <charset val="204"/>
    </font>
    <font>
      <sz val="10"/>
      <color indexed="9"/>
      <name val="Times New Roman"/>
      <family val="1"/>
      <charset val="204"/>
    </font>
    <font>
      <sz val="11"/>
      <color indexed="9"/>
      <name val="Arial Cyr"/>
      <charset val="204"/>
    </font>
    <font>
      <sz val="11"/>
      <name val="Arial Cyr"/>
      <charset val="204"/>
    </font>
    <font>
      <sz val="9"/>
      <color indexed="9"/>
      <name val="Arial"/>
      <family val="2"/>
      <charset val="204"/>
    </font>
    <font>
      <b/>
      <sz val="10"/>
      <color indexed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color indexed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b/>
      <i/>
      <sz val="20"/>
      <name val="Arial Cyr"/>
      <charset val="204"/>
    </font>
    <font>
      <b/>
      <sz val="14"/>
      <name val="Arial Cyr"/>
      <charset val="204"/>
    </font>
    <font>
      <b/>
      <i/>
      <sz val="10"/>
      <name val="Arial Cyr"/>
      <charset val="204"/>
    </font>
    <font>
      <b/>
      <sz val="10.5"/>
      <name val="Times New Roman"/>
      <family val="1"/>
      <charset val="204"/>
    </font>
    <font>
      <sz val="10.5"/>
      <name val="Times New Roman"/>
      <family val="1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0"/>
      <name val="Arial Cyr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Arial Cyr"/>
      <charset val="204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sz val="11"/>
      <color theme="0"/>
      <name val="Arial Cyr"/>
      <charset val="204"/>
    </font>
    <font>
      <sz val="10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8" fillId="0" borderId="0"/>
  </cellStyleXfs>
  <cellXfs count="741">
    <xf numFmtId="0" fontId="0" fillId="0" borderId="0" xfId="0"/>
    <xf numFmtId="1" fontId="2" fillId="2" borderId="0" xfId="0" applyNumberFormat="1" applyFont="1" applyFill="1" applyProtection="1">
      <protection locked="0" hidden="1"/>
    </xf>
    <xf numFmtId="0" fontId="0" fillId="2" borderId="0" xfId="0" applyFill="1" applyProtection="1"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0" fontId="6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Protection="1"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11" fillId="2" borderId="0" xfId="0" applyFont="1" applyFill="1" applyProtection="1">
      <protection hidden="1"/>
    </xf>
    <xf numFmtId="0" fontId="10" fillId="2" borderId="1" xfId="0" applyFont="1" applyFill="1" applyBorder="1" applyProtection="1"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3" fontId="1" fillId="2" borderId="3" xfId="0" applyNumberFormat="1" applyFont="1" applyFill="1" applyBorder="1" applyAlignment="1" applyProtection="1">
      <alignment horizontal="center"/>
      <protection hidden="1"/>
    </xf>
    <xf numFmtId="0" fontId="10" fillId="2" borderId="4" xfId="0" applyFont="1" applyFill="1" applyBorder="1" applyProtection="1">
      <protection hidden="1"/>
    </xf>
    <xf numFmtId="1" fontId="12" fillId="2" borderId="0" xfId="0" applyNumberFormat="1" applyFont="1" applyFill="1" applyAlignment="1" applyProtection="1">
      <alignment horizontal="left"/>
      <protection hidden="1"/>
    </xf>
    <xf numFmtId="0" fontId="13" fillId="2" borderId="0" xfId="0" applyFont="1" applyFill="1" applyAlignment="1" applyProtection="1">
      <alignment horizontal="center"/>
      <protection hidden="1"/>
    </xf>
    <xf numFmtId="0" fontId="13" fillId="2" borderId="5" xfId="0" applyFont="1" applyFill="1" applyBorder="1" applyAlignment="1" applyProtection="1">
      <alignment horizontal="center"/>
      <protection locked="0" hidden="1"/>
    </xf>
    <xf numFmtId="0" fontId="14" fillId="2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4" fontId="5" fillId="2" borderId="0" xfId="0" applyNumberFormat="1" applyFont="1" applyFill="1" applyProtection="1">
      <protection hidden="1"/>
    </xf>
    <xf numFmtId="4" fontId="5" fillId="2" borderId="0" xfId="0" applyNumberFormat="1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" fillId="2" borderId="0" xfId="0" applyFont="1" applyFill="1" applyProtection="1">
      <protection hidden="1"/>
    </xf>
    <xf numFmtId="0" fontId="15" fillId="0" borderId="0" xfId="0" applyFont="1" applyProtection="1">
      <protection hidden="1"/>
    </xf>
    <xf numFmtId="4" fontId="15" fillId="2" borderId="0" xfId="0" applyNumberFormat="1" applyFont="1" applyFill="1" applyAlignment="1">
      <alignment horizontal="center" wrapText="1"/>
    </xf>
    <xf numFmtId="0" fontId="5" fillId="2" borderId="0" xfId="0" applyFont="1" applyFill="1" applyAlignment="1" applyProtection="1">
      <alignment wrapText="1"/>
      <protection hidden="1"/>
    </xf>
    <xf numFmtId="0" fontId="0" fillId="2" borderId="0" xfId="0" applyFill="1" applyAlignment="1" applyProtection="1">
      <alignment wrapText="1"/>
      <protection hidden="1"/>
    </xf>
    <xf numFmtId="0" fontId="0" fillId="2" borderId="0" xfId="0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right" vertical="top" wrapText="1" readingOrder="1"/>
      <protection hidden="1"/>
    </xf>
    <xf numFmtId="49" fontId="17" fillId="2" borderId="0" xfId="0" applyNumberFormat="1" applyFont="1" applyFill="1" applyAlignment="1" applyProtection="1">
      <alignment horizontal="left" vertical="top" wrapText="1" readingOrder="1"/>
      <protection hidden="1"/>
    </xf>
    <xf numFmtId="0" fontId="5" fillId="0" borderId="0" xfId="0" applyFont="1" applyAlignment="1" applyProtection="1">
      <alignment horizontal="left" vertical="top" wrapText="1" readingOrder="1"/>
      <protection hidden="1"/>
    </xf>
    <xf numFmtId="0" fontId="11" fillId="0" borderId="0" xfId="0" applyFont="1" applyAlignment="1" applyProtection="1">
      <alignment horizontal="left" vertical="top" wrapText="1" readingOrder="1"/>
      <protection hidden="1"/>
    </xf>
    <xf numFmtId="0" fontId="0" fillId="0" borderId="0" xfId="0" applyAlignment="1" applyProtection="1">
      <alignment horizontal="left" vertical="top" wrapText="1" readingOrder="1"/>
      <protection hidden="1"/>
    </xf>
    <xf numFmtId="49" fontId="18" fillId="2" borderId="0" xfId="0" applyNumberFormat="1" applyFont="1" applyFill="1" applyAlignment="1" applyProtection="1">
      <alignment horizontal="left" vertical="top" wrapText="1" readingOrder="1"/>
      <protection hidden="1"/>
    </xf>
    <xf numFmtId="0" fontId="19" fillId="2" borderId="0" xfId="0" applyFont="1" applyFill="1" applyAlignment="1" applyProtection="1">
      <alignment horizontal="left" vertical="top" wrapText="1" readingOrder="1"/>
      <protection hidden="1"/>
    </xf>
    <xf numFmtId="14" fontId="2" fillId="2" borderId="0" xfId="0" applyNumberFormat="1" applyFont="1" applyFill="1" applyProtection="1">
      <protection locked="0" hidden="1"/>
    </xf>
    <xf numFmtId="3" fontId="1" fillId="2" borderId="0" xfId="0" applyNumberFormat="1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1" fillId="2" borderId="0" xfId="0" applyFont="1" applyFill="1" applyAlignment="1" applyProtection="1">
      <alignment wrapText="1"/>
      <protection hidden="1"/>
    </xf>
    <xf numFmtId="0" fontId="0" fillId="2" borderId="0" xfId="0" applyFill="1" applyProtection="1">
      <protection locked="0" hidden="1"/>
    </xf>
    <xf numFmtId="0" fontId="24" fillId="2" borderId="0" xfId="0" applyFont="1" applyFill="1" applyProtection="1">
      <protection hidden="1"/>
    </xf>
    <xf numFmtId="0" fontId="24" fillId="0" borderId="0" xfId="0" applyFont="1" applyProtection="1"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left" vertical="top" wrapText="1" readingOrder="1"/>
      <protection hidden="1"/>
    </xf>
    <xf numFmtId="0" fontId="24" fillId="0" borderId="0" xfId="0" applyFont="1" applyAlignment="1" applyProtection="1">
      <alignment horizontal="left" vertical="top" wrapText="1" readingOrder="1"/>
      <protection hidden="1"/>
    </xf>
    <xf numFmtId="0" fontId="26" fillId="2" borderId="0" xfId="0" applyFont="1" applyFill="1" applyProtection="1">
      <protection hidden="1"/>
    </xf>
    <xf numFmtId="0" fontId="26" fillId="0" borderId="0" xfId="0" applyFont="1" applyProtection="1"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Protection="1">
      <protection hidden="1"/>
    </xf>
    <xf numFmtId="1" fontId="29" fillId="2" borderId="0" xfId="0" applyNumberFormat="1" applyFont="1" applyFill="1" applyAlignment="1" applyProtection="1">
      <alignment horizontal="left"/>
      <protection hidden="1"/>
    </xf>
    <xf numFmtId="4" fontId="26" fillId="2" borderId="0" xfId="0" applyNumberFormat="1" applyFont="1" applyFill="1" applyProtection="1">
      <protection hidden="1"/>
    </xf>
    <xf numFmtId="1" fontId="26" fillId="2" borderId="0" xfId="0" applyNumberFormat="1" applyFont="1" applyFill="1" applyProtection="1">
      <protection hidden="1"/>
    </xf>
    <xf numFmtId="0" fontId="30" fillId="2" borderId="0" xfId="0" applyFont="1" applyFill="1" applyProtection="1">
      <protection hidden="1"/>
    </xf>
    <xf numFmtId="4" fontId="30" fillId="2" borderId="0" xfId="0" applyNumberFormat="1" applyFont="1" applyFill="1" applyProtection="1">
      <protection hidden="1"/>
    </xf>
    <xf numFmtId="0" fontId="30" fillId="0" borderId="0" xfId="0" applyFont="1" applyProtection="1">
      <protection hidden="1"/>
    </xf>
    <xf numFmtId="49" fontId="31" fillId="2" borderId="0" xfId="0" applyNumberFormat="1" applyFont="1" applyFill="1" applyAlignment="1" applyProtection="1">
      <alignment horizontal="left" vertical="top" wrapText="1" readingOrder="1"/>
      <protection hidden="1"/>
    </xf>
    <xf numFmtId="49" fontId="32" fillId="2" borderId="0" xfId="0" applyNumberFormat="1" applyFont="1" applyFill="1" applyAlignment="1" applyProtection="1">
      <alignment horizontal="left" vertical="top" wrapText="1" readingOrder="1"/>
      <protection hidden="1"/>
    </xf>
    <xf numFmtId="0" fontId="5" fillId="2" borderId="0" xfId="0" applyFont="1" applyFill="1" applyAlignment="1" applyProtection="1">
      <alignment horizontal="left" wrapText="1"/>
      <protection hidden="1"/>
    </xf>
    <xf numFmtId="1" fontId="26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left" vertical="top" wrapText="1" readingOrder="1"/>
      <protection hidden="1"/>
    </xf>
    <xf numFmtId="3" fontId="15" fillId="2" borderId="0" xfId="0" applyNumberFormat="1" applyFont="1" applyFill="1" applyAlignment="1">
      <alignment horizontal="center" wrapText="1"/>
    </xf>
    <xf numFmtId="0" fontId="36" fillId="2" borderId="0" xfId="0" applyFont="1" applyFill="1" applyAlignment="1" applyProtection="1">
      <alignment horizontal="justify" vertical="center" wrapText="1" readingOrder="1"/>
      <protection hidden="1"/>
    </xf>
    <xf numFmtId="164" fontId="15" fillId="2" borderId="0" xfId="0" applyNumberFormat="1" applyFont="1" applyFill="1" applyAlignment="1">
      <alignment horizontal="center" wrapText="1"/>
    </xf>
    <xf numFmtId="1" fontId="5" fillId="2" borderId="0" xfId="0" applyNumberFormat="1" applyFont="1" applyFill="1" applyProtection="1">
      <protection hidden="1"/>
    </xf>
    <xf numFmtId="0" fontId="15" fillId="2" borderId="0" xfId="0" applyFont="1" applyFill="1" applyProtection="1">
      <protection hidden="1"/>
    </xf>
    <xf numFmtId="4" fontId="15" fillId="2" borderId="0" xfId="0" applyNumberFormat="1" applyFont="1" applyFill="1" applyProtection="1">
      <protection hidden="1"/>
    </xf>
    <xf numFmtId="0" fontId="34" fillId="2" borderId="0" xfId="0" applyFont="1" applyFill="1" applyProtection="1">
      <protection hidden="1"/>
    </xf>
    <xf numFmtId="0" fontId="34" fillId="0" borderId="0" xfId="0" applyFont="1" applyProtection="1">
      <protection hidden="1"/>
    </xf>
    <xf numFmtId="4" fontId="24" fillId="2" borderId="0" xfId="0" applyNumberFormat="1" applyFont="1" applyFill="1" applyProtection="1">
      <protection hidden="1"/>
    </xf>
    <xf numFmtId="0" fontId="13" fillId="2" borderId="5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8" fillId="2" borderId="0" xfId="0" applyFon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justify" wrapText="1"/>
      <protection hidden="1"/>
    </xf>
    <xf numFmtId="0" fontId="16" fillId="2" borderId="0" xfId="0" applyFont="1" applyFill="1" applyAlignment="1" applyProtection="1">
      <alignment horizontal="justify" vertical="center" wrapText="1" readingOrder="1"/>
      <protection hidden="1"/>
    </xf>
    <xf numFmtId="0" fontId="21" fillId="2" borderId="0" xfId="0" applyFont="1" applyFill="1" applyAlignment="1" applyProtection="1">
      <alignment horizontal="left" vertical="top" wrapText="1"/>
      <protection hidden="1"/>
    </xf>
    <xf numFmtId="0" fontId="13" fillId="2" borderId="0" xfId="0" applyFont="1" applyFill="1" applyAlignment="1" applyProtection="1">
      <alignment horizontal="center"/>
      <protection locked="0" hidden="1"/>
    </xf>
    <xf numFmtId="0" fontId="20" fillId="2" borderId="0" xfId="0" applyFont="1" applyFill="1" applyAlignment="1" applyProtection="1">
      <alignment horizontal="justify" vertical="center" wrapText="1" readingOrder="1"/>
      <protection hidden="1"/>
    </xf>
    <xf numFmtId="3" fontId="37" fillId="2" borderId="0" xfId="0" applyNumberFormat="1" applyFont="1" applyFill="1" applyAlignment="1" applyProtection="1">
      <alignment horizontal="center"/>
      <protection hidden="1"/>
    </xf>
    <xf numFmtId="0" fontId="36" fillId="2" borderId="0" xfId="0" applyFont="1" applyFill="1" applyAlignment="1">
      <alignment horizontal="justify"/>
    </xf>
    <xf numFmtId="0" fontId="35" fillId="2" borderId="0" xfId="0" applyFont="1" applyFill="1" applyAlignment="1" applyProtection="1">
      <alignment horizontal="justify" vertical="center" wrapText="1" readingOrder="1"/>
      <protection hidden="1"/>
    </xf>
    <xf numFmtId="4" fontId="37" fillId="2" borderId="0" xfId="0" applyNumberFormat="1" applyFont="1" applyFill="1" applyAlignment="1" applyProtection="1">
      <alignment horizontal="center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10" fillId="3" borderId="6" xfId="0" applyFont="1" applyFill="1" applyBorder="1" applyAlignment="1" applyProtection="1">
      <alignment horizontal="center" vertical="center" wrapText="1"/>
      <protection hidden="1"/>
    </xf>
    <xf numFmtId="1" fontId="24" fillId="2" borderId="0" xfId="0" applyNumberFormat="1" applyFont="1" applyFill="1" applyProtection="1">
      <protection hidden="1"/>
    </xf>
    <xf numFmtId="1" fontId="24" fillId="0" borderId="0" xfId="0" applyNumberFormat="1" applyFont="1" applyProtection="1">
      <protection hidden="1"/>
    </xf>
    <xf numFmtId="3" fontId="24" fillId="0" borderId="0" xfId="0" applyNumberFormat="1" applyFont="1" applyProtection="1">
      <protection hidden="1"/>
    </xf>
    <xf numFmtId="4" fontId="33" fillId="2" borderId="0" xfId="0" applyNumberFormat="1" applyFont="1" applyFill="1" applyProtection="1">
      <protection hidden="1"/>
    </xf>
    <xf numFmtId="1" fontId="5" fillId="0" borderId="0" xfId="0" applyNumberFormat="1" applyFont="1" applyProtection="1">
      <protection hidden="1"/>
    </xf>
    <xf numFmtId="3" fontId="5" fillId="0" borderId="0" xfId="0" applyNumberFormat="1" applyFont="1" applyProtection="1">
      <protection hidden="1"/>
    </xf>
    <xf numFmtId="0" fontId="24" fillId="2" borderId="0" xfId="0" applyFont="1" applyFill="1" applyAlignment="1" applyProtection="1">
      <alignment wrapText="1"/>
      <protection hidden="1"/>
    </xf>
    <xf numFmtId="0" fontId="24" fillId="2" borderId="0" xfId="0" applyFont="1" applyFill="1" applyAlignment="1" applyProtection="1">
      <alignment horizontal="right"/>
      <protection hidden="1"/>
    </xf>
    <xf numFmtId="2" fontId="5" fillId="2" borderId="0" xfId="0" applyNumberFormat="1" applyFont="1" applyFill="1" applyAlignment="1" applyProtection="1">
      <alignment wrapText="1"/>
      <protection hidden="1"/>
    </xf>
    <xf numFmtId="1" fontId="5" fillId="2" borderId="0" xfId="0" applyNumberFormat="1" applyFont="1" applyFill="1" applyAlignment="1" applyProtection="1">
      <alignment wrapText="1"/>
      <protection hidden="1"/>
    </xf>
    <xf numFmtId="4" fontId="5" fillId="0" borderId="0" xfId="0" applyNumberFormat="1" applyFont="1" applyProtection="1"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Alignment="1" applyProtection="1">
      <alignment horizontal="left"/>
      <protection hidden="1"/>
    </xf>
    <xf numFmtId="0" fontId="36" fillId="0" borderId="0" xfId="0" applyFont="1" applyAlignment="1">
      <alignment horizontal="justify"/>
    </xf>
    <xf numFmtId="0" fontId="39" fillId="0" borderId="0" xfId="0" applyFont="1" applyAlignment="1" applyProtection="1">
      <alignment horizontal="left"/>
      <protection locked="0"/>
    </xf>
    <xf numFmtId="0" fontId="24" fillId="2" borderId="0" xfId="0" applyFont="1" applyFill="1" applyAlignment="1" applyProtection="1">
      <alignment horizontal="right" vertical="top" wrapText="1" readingOrder="1"/>
      <protection hidden="1"/>
    </xf>
    <xf numFmtId="0" fontId="5" fillId="2" borderId="0" xfId="0" applyFont="1" applyFill="1" applyAlignment="1" applyProtection="1">
      <alignment horizontal="justify" vertical="center" wrapText="1"/>
      <protection hidden="1"/>
    </xf>
    <xf numFmtId="0" fontId="5" fillId="2" borderId="0" xfId="0" applyFont="1" applyFill="1" applyAlignment="1" applyProtection="1">
      <alignment horizontal="justify" wrapText="1"/>
      <protection hidden="1"/>
    </xf>
    <xf numFmtId="0" fontId="36" fillId="2" borderId="0" xfId="0" applyFont="1" applyFill="1" applyAlignment="1" applyProtection="1">
      <alignment horizontal="left" vertical="center" wrapText="1" readingOrder="1"/>
      <protection hidden="1"/>
    </xf>
    <xf numFmtId="0" fontId="40" fillId="2" borderId="0" xfId="0" applyFont="1" applyFill="1" applyAlignment="1" applyProtection="1">
      <alignment horizontal="justify" vertical="center" wrapText="1" readingOrder="1"/>
      <protection hidden="1"/>
    </xf>
    <xf numFmtId="0" fontId="36" fillId="2" borderId="0" xfId="0" applyFont="1" applyFill="1" applyAlignment="1" applyProtection="1">
      <alignment horizontal="left" wrapText="1"/>
      <protection hidden="1"/>
    </xf>
    <xf numFmtId="0" fontId="44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left" vertical="top" wrapText="1" readingOrder="1"/>
      <protection hidden="1"/>
    </xf>
    <xf numFmtId="0" fontId="45" fillId="0" borderId="0" xfId="0" applyFont="1" applyProtection="1">
      <protection hidden="1"/>
    </xf>
    <xf numFmtId="0" fontId="46" fillId="0" borderId="0" xfId="0" applyFont="1" applyProtection="1">
      <protection hidden="1"/>
    </xf>
    <xf numFmtId="0" fontId="47" fillId="0" borderId="0" xfId="0" applyFont="1" applyProtection="1">
      <protection hidden="1"/>
    </xf>
    <xf numFmtId="0" fontId="48" fillId="0" borderId="0" xfId="0" applyFont="1" applyAlignment="1" applyProtection="1">
      <alignment horizontal="left" vertical="top" wrapText="1" readingOrder="1"/>
      <protection hidden="1"/>
    </xf>
    <xf numFmtId="0" fontId="49" fillId="0" borderId="0" xfId="0" applyFont="1" applyAlignment="1" applyProtection="1">
      <alignment horizontal="left" vertical="top" wrapText="1" readingOrder="1"/>
      <protection hidden="1"/>
    </xf>
    <xf numFmtId="0" fontId="48" fillId="0" borderId="0" xfId="0" applyFont="1" applyProtection="1">
      <protection hidden="1"/>
    </xf>
    <xf numFmtId="0" fontId="50" fillId="2" borderId="0" xfId="0" applyFont="1" applyFill="1" applyProtection="1">
      <protection hidden="1"/>
    </xf>
    <xf numFmtId="0" fontId="50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1" fillId="0" borderId="0" xfId="0" applyFont="1" applyAlignment="1" applyProtection="1">
      <alignment horizontal="left" vertical="top" wrapText="1" readingOrder="1"/>
      <protection hidden="1"/>
    </xf>
    <xf numFmtId="0" fontId="21" fillId="2" borderId="0" xfId="0" applyFont="1" applyFill="1" applyAlignment="1" applyProtection="1">
      <alignment horizontal="left" vertical="top" wrapText="1"/>
      <protection locked="0" hidden="1"/>
    </xf>
    <xf numFmtId="0" fontId="21" fillId="2" borderId="0" xfId="0" applyFont="1" applyFill="1" applyAlignment="1" applyProtection="1">
      <alignment horizontal="left" vertical="top" wrapText="1"/>
      <protection locked="0"/>
    </xf>
    <xf numFmtId="0" fontId="10" fillId="2" borderId="7" xfId="0" applyFont="1" applyFill="1" applyBorder="1" applyProtection="1">
      <protection hidden="1"/>
    </xf>
    <xf numFmtId="0" fontId="10" fillId="2" borderId="8" xfId="0" applyFont="1" applyFill="1" applyBorder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wrapText="1"/>
      <protection hidden="1"/>
    </xf>
    <xf numFmtId="0" fontId="51" fillId="2" borderId="0" xfId="0" applyFont="1" applyFill="1" applyAlignment="1" applyProtection="1">
      <alignment horizontal="left" vertical="center"/>
      <protection hidden="1"/>
    </xf>
    <xf numFmtId="0" fontId="52" fillId="2" borderId="0" xfId="0" applyFont="1" applyFill="1" applyProtection="1">
      <protection hidden="1"/>
    </xf>
    <xf numFmtId="1" fontId="53" fillId="2" borderId="0" xfId="0" applyNumberFormat="1" applyFont="1" applyFill="1" applyAlignment="1" applyProtection="1">
      <alignment horizontal="left"/>
      <protection hidden="1"/>
    </xf>
    <xf numFmtId="1" fontId="0" fillId="2" borderId="0" xfId="0" applyNumberFormat="1" applyFill="1" applyProtection="1"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4" fontId="0" fillId="2" borderId="0" xfId="0" applyNumberFormat="1" applyFill="1" applyProtection="1">
      <protection hidden="1"/>
    </xf>
    <xf numFmtId="0" fontId="23" fillId="2" borderId="0" xfId="0" applyFont="1" applyFill="1" applyProtection="1">
      <protection hidden="1"/>
    </xf>
    <xf numFmtId="4" fontId="23" fillId="2" borderId="0" xfId="0" applyNumberFormat="1" applyFont="1" applyFill="1" applyProtection="1">
      <protection hidden="1"/>
    </xf>
    <xf numFmtId="0" fontId="0" fillId="2" borderId="0" xfId="0" applyFill="1" applyAlignment="1" applyProtection="1">
      <alignment horizontal="left" vertical="top" wrapText="1" readingOrder="1"/>
      <protection hidden="1"/>
    </xf>
    <xf numFmtId="49" fontId="54" fillId="2" borderId="0" xfId="0" applyNumberFormat="1" applyFont="1" applyFill="1" applyAlignment="1" applyProtection="1">
      <alignment horizontal="left" vertical="top" wrapText="1" readingOrder="1"/>
      <protection hidden="1"/>
    </xf>
    <xf numFmtId="49" fontId="55" fillId="2" borderId="0" xfId="0" applyNumberFormat="1" applyFont="1" applyFill="1" applyAlignment="1" applyProtection="1">
      <alignment horizontal="left" vertical="top" wrapText="1" readingOrder="1"/>
      <protection hidden="1"/>
    </xf>
    <xf numFmtId="0" fontId="21" fillId="2" borderId="0" xfId="0" applyFont="1" applyFill="1" applyAlignment="1" applyProtection="1">
      <alignment horizontal="left" vertical="top" wrapText="1" readingOrder="1"/>
      <protection hidden="1"/>
    </xf>
    <xf numFmtId="0" fontId="16" fillId="2" borderId="0" xfId="0" applyFont="1" applyFill="1" applyAlignment="1">
      <alignment horizontal="justify"/>
    </xf>
    <xf numFmtId="2" fontId="0" fillId="2" borderId="0" xfId="0" applyNumberFormat="1" applyFill="1" applyProtection="1">
      <protection hidden="1"/>
    </xf>
    <xf numFmtId="165" fontId="0" fillId="0" borderId="0" xfId="0" applyNumberFormat="1" applyProtection="1">
      <protection hidden="1"/>
    </xf>
    <xf numFmtId="166" fontId="0" fillId="2" borderId="0" xfId="0" applyNumberFormat="1" applyFill="1" applyProtection="1">
      <protection hidden="1"/>
    </xf>
    <xf numFmtId="0" fontId="16" fillId="0" borderId="0" xfId="0" applyFont="1" applyAlignment="1">
      <alignment horizontal="justify"/>
    </xf>
    <xf numFmtId="167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49" fontId="56" fillId="0" borderId="0" xfId="0" applyNumberFormat="1" applyFont="1" applyAlignment="1">
      <alignment vertical="center" wrapText="1"/>
    </xf>
    <xf numFmtId="0" fontId="57" fillId="0" borderId="0" xfId="0" applyFont="1" applyAlignment="1">
      <alignment vertical="center" wrapText="1"/>
    </xf>
    <xf numFmtId="0" fontId="16" fillId="0" borderId="0" xfId="0" applyFont="1"/>
    <xf numFmtId="2" fontId="37" fillId="2" borderId="0" xfId="0" applyNumberFormat="1" applyFont="1" applyFill="1" applyAlignment="1" applyProtection="1">
      <alignment horizontal="center"/>
      <protection hidden="1"/>
    </xf>
    <xf numFmtId="0" fontId="38" fillId="2" borderId="9" xfId="0" applyFont="1" applyFill="1" applyBorder="1" applyAlignment="1" applyProtection="1">
      <alignment horizontal="center" vertical="center"/>
      <protection locked="0" hidden="1"/>
    </xf>
    <xf numFmtId="0" fontId="38" fillId="2" borderId="6" xfId="0" applyFont="1" applyFill="1" applyBorder="1" applyAlignment="1" applyProtection="1">
      <alignment horizontal="center" vertical="center"/>
      <protection locked="0" hidden="1"/>
    </xf>
    <xf numFmtId="0" fontId="10" fillId="2" borderId="4" xfId="0" applyFont="1" applyFill="1" applyBorder="1" applyAlignment="1" applyProtection="1">
      <alignment vertical="center"/>
      <protection hidden="1"/>
    </xf>
    <xf numFmtId="4" fontId="69" fillId="2" borderId="0" xfId="0" applyNumberFormat="1" applyFont="1" applyFill="1" applyProtection="1">
      <protection hidden="1"/>
    </xf>
    <xf numFmtId="1" fontId="53" fillId="2" borderId="6" xfId="0" applyNumberFormat="1" applyFont="1" applyFill="1" applyBorder="1" applyAlignment="1" applyProtection="1">
      <alignment horizontal="left"/>
      <protection hidden="1"/>
    </xf>
    <xf numFmtId="0" fontId="0" fillId="2" borderId="6" xfId="0" applyFill="1" applyBorder="1" applyProtection="1">
      <protection hidden="1"/>
    </xf>
    <xf numFmtId="0" fontId="5" fillId="5" borderId="0" xfId="0" applyFont="1" applyFill="1" applyProtection="1">
      <protection hidden="1"/>
    </xf>
    <xf numFmtId="4" fontId="37" fillId="5" borderId="0" xfId="0" applyNumberFormat="1" applyFont="1" applyFill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4" fontId="0" fillId="5" borderId="0" xfId="0" applyNumberFormat="1" applyFill="1" applyProtection="1">
      <protection hidden="1"/>
    </xf>
    <xf numFmtId="1" fontId="0" fillId="5" borderId="0" xfId="0" applyNumberFormat="1" applyFill="1" applyProtection="1">
      <protection hidden="1"/>
    </xf>
    <xf numFmtId="0" fontId="11" fillId="5" borderId="0" xfId="0" applyFont="1" applyFill="1" applyProtection="1">
      <protection hidden="1"/>
    </xf>
    <xf numFmtId="0" fontId="1" fillId="5" borderId="0" xfId="0" applyFont="1" applyFill="1" applyProtection="1">
      <protection hidden="1"/>
    </xf>
    <xf numFmtId="0" fontId="70" fillId="0" borderId="6" xfId="0" applyFont="1" applyBorder="1" applyAlignment="1">
      <alignment horizontal="center"/>
    </xf>
    <xf numFmtId="0" fontId="70" fillId="0" borderId="6" xfId="0" applyFont="1" applyBorder="1" applyAlignment="1">
      <alignment horizontal="center" vertical="top"/>
    </xf>
    <xf numFmtId="0" fontId="70" fillId="0" borderId="0" xfId="0" applyFont="1" applyAlignment="1">
      <alignment horizontal="center"/>
    </xf>
    <xf numFmtId="0" fontId="70" fillId="0" borderId="0" xfId="0" applyFont="1"/>
    <xf numFmtId="14" fontId="71" fillId="6" borderId="0" xfId="0" applyNumberFormat="1" applyFont="1" applyFill="1"/>
    <xf numFmtId="3" fontId="72" fillId="2" borderId="0" xfId="0" applyNumberFormat="1" applyFont="1" applyFill="1" applyAlignment="1">
      <alignment horizontal="center" wrapText="1"/>
    </xf>
    <xf numFmtId="3" fontId="72" fillId="2" borderId="6" xfId="0" applyNumberFormat="1" applyFont="1" applyFill="1" applyBorder="1" applyAlignment="1">
      <alignment horizontal="center" wrapText="1"/>
    </xf>
    <xf numFmtId="1" fontId="71" fillId="7" borderId="10" xfId="0" applyNumberFormat="1" applyFont="1" applyFill="1" applyBorder="1" applyAlignment="1">
      <alignment horizontal="center"/>
    </xf>
    <xf numFmtId="4" fontId="71" fillId="7" borderId="11" xfId="0" applyNumberFormat="1" applyFont="1" applyFill="1" applyBorder="1" applyAlignment="1" applyProtection="1">
      <alignment horizontal="center" vertical="top"/>
      <protection locked="0"/>
    </xf>
    <xf numFmtId="0" fontId="71" fillId="7" borderId="12" xfId="0" applyFont="1" applyFill="1" applyBorder="1" applyAlignment="1">
      <alignment horizontal="center"/>
    </xf>
    <xf numFmtId="0" fontId="59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60" fillId="2" borderId="0" xfId="0" applyFont="1" applyFill="1" applyProtection="1">
      <protection hidden="1"/>
    </xf>
    <xf numFmtId="4" fontId="60" fillId="2" borderId="0" xfId="0" applyNumberFormat="1" applyFont="1" applyFill="1" applyProtection="1">
      <protection hidden="1"/>
    </xf>
    <xf numFmtId="3" fontId="71" fillId="2" borderId="0" xfId="0" applyNumberFormat="1" applyFont="1" applyFill="1" applyAlignment="1">
      <alignment horizontal="center" wrapText="1"/>
    </xf>
    <xf numFmtId="0" fontId="10" fillId="2" borderId="1" xfId="0" applyFont="1" applyFill="1" applyBorder="1" applyProtection="1">
      <protection locked="0" hidden="1"/>
    </xf>
    <xf numFmtId="0" fontId="10" fillId="2" borderId="4" xfId="0" applyFont="1" applyFill="1" applyBorder="1" applyProtection="1">
      <protection locked="0" hidden="1"/>
    </xf>
    <xf numFmtId="0" fontId="69" fillId="2" borderId="0" xfId="0" applyFont="1" applyFill="1" applyProtection="1"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center" vertical="top"/>
      <protection hidden="1"/>
    </xf>
    <xf numFmtId="4" fontId="71" fillId="0" borderId="12" xfId="0" applyNumberFormat="1" applyFont="1" applyBorder="1" applyAlignment="1" applyProtection="1">
      <alignment horizontal="center" vertical="top"/>
      <protection hidden="1"/>
    </xf>
    <xf numFmtId="0" fontId="70" fillId="0" borderId="0" xfId="0" applyFont="1" applyAlignment="1" applyProtection="1">
      <alignment horizontal="center"/>
      <protection hidden="1"/>
    </xf>
    <xf numFmtId="0" fontId="70" fillId="0" borderId="0" xfId="0" applyFont="1" applyProtection="1">
      <protection hidden="1"/>
    </xf>
    <xf numFmtId="14" fontId="71" fillId="6" borderId="0" xfId="0" applyNumberFormat="1" applyFont="1" applyFill="1" applyProtection="1">
      <protection hidden="1"/>
    </xf>
    <xf numFmtId="0" fontId="16" fillId="2" borderId="0" xfId="0" applyFont="1" applyFill="1" applyAlignment="1" applyProtection="1">
      <alignment horizontal="justify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4" fontId="71" fillId="7" borderId="12" xfId="0" applyNumberFormat="1" applyFont="1" applyFill="1" applyBorder="1" applyAlignment="1" applyProtection="1">
      <alignment horizontal="center" vertical="top"/>
      <protection hidden="1"/>
    </xf>
    <xf numFmtId="0" fontId="70" fillId="0" borderId="13" xfId="0" applyFont="1" applyBorder="1" applyAlignment="1" applyProtection="1">
      <alignment vertical="top"/>
      <protection hidden="1"/>
    </xf>
    <xf numFmtId="1" fontId="71" fillId="7" borderId="12" xfId="0" applyNumberFormat="1" applyFont="1" applyFill="1" applyBorder="1" applyAlignment="1" applyProtection="1">
      <alignment horizontal="center" vertical="center"/>
      <protection hidden="1"/>
    </xf>
    <xf numFmtId="0" fontId="71" fillId="7" borderId="12" xfId="0" applyFont="1" applyFill="1" applyBorder="1" applyAlignment="1" applyProtection="1">
      <alignment horizontal="center" vertical="top"/>
      <protection hidden="1"/>
    </xf>
    <xf numFmtId="0" fontId="71" fillId="7" borderId="10" xfId="0" applyFont="1" applyFill="1" applyBorder="1" applyAlignment="1" applyProtection="1">
      <alignment horizontal="center" vertical="top"/>
      <protection hidden="1"/>
    </xf>
    <xf numFmtId="1" fontId="2" fillId="2" borderId="0" xfId="0" applyNumberFormat="1" applyFont="1" applyFill="1" applyProtection="1">
      <protection hidden="1"/>
    </xf>
    <xf numFmtId="3" fontId="71" fillId="2" borderId="6" xfId="0" applyNumberFormat="1" applyFont="1" applyFill="1" applyBorder="1" applyAlignment="1" applyProtection="1">
      <alignment horizontal="center" wrapText="1"/>
      <protection hidden="1"/>
    </xf>
    <xf numFmtId="3" fontId="71" fillId="2" borderId="0" xfId="0" applyNumberFormat="1" applyFont="1" applyFill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/>
      <protection hidden="1"/>
    </xf>
    <xf numFmtId="1" fontId="71" fillId="0" borderId="12" xfId="0" applyNumberFormat="1" applyFont="1" applyBorder="1" applyAlignment="1" applyProtection="1">
      <alignment horizontal="center" vertical="top"/>
      <protection hidden="1"/>
    </xf>
    <xf numFmtId="0" fontId="71" fillId="0" borderId="12" xfId="0" applyFont="1" applyBorder="1" applyAlignment="1" applyProtection="1">
      <alignment horizontal="center" vertical="top"/>
      <protection hidden="1"/>
    </xf>
    <xf numFmtId="0" fontId="73" fillId="0" borderId="0" xfId="1" applyFont="1" applyProtection="1">
      <protection hidden="1"/>
    </xf>
    <xf numFmtId="0" fontId="62" fillId="0" borderId="0" xfId="1" applyFont="1" applyProtection="1">
      <protection hidden="1"/>
    </xf>
    <xf numFmtId="0" fontId="21" fillId="0" borderId="0" xfId="1" applyFont="1" applyAlignment="1" applyProtection="1">
      <alignment horizontal="center"/>
      <protection hidden="1"/>
    </xf>
    <xf numFmtId="0" fontId="21" fillId="0" borderId="6" xfId="1" applyFont="1" applyBorder="1" applyAlignment="1" applyProtection="1">
      <alignment horizontal="center"/>
      <protection hidden="1"/>
    </xf>
    <xf numFmtId="0" fontId="74" fillId="0" borderId="0" xfId="1" applyFont="1" applyProtection="1">
      <protection hidden="1"/>
    </xf>
    <xf numFmtId="0" fontId="21" fillId="0" borderId="6" xfId="1" applyFont="1" applyBorder="1" applyAlignment="1" applyProtection="1">
      <alignment horizontal="center" vertical="top"/>
      <protection hidden="1"/>
    </xf>
    <xf numFmtId="4" fontId="60" fillId="0" borderId="11" xfId="1" applyNumberFormat="1" applyFont="1" applyBorder="1" applyAlignment="1" applyProtection="1">
      <alignment horizontal="center" vertical="top"/>
      <protection hidden="1"/>
    </xf>
    <xf numFmtId="0" fontId="60" fillId="0" borderId="12" xfId="1" applyFont="1" applyBorder="1" applyAlignment="1" applyProtection="1">
      <alignment horizontal="center"/>
      <protection hidden="1"/>
    </xf>
    <xf numFmtId="0" fontId="60" fillId="7" borderId="10" xfId="1" applyFont="1" applyFill="1" applyBorder="1" applyAlignment="1" applyProtection="1">
      <alignment horizontal="center"/>
      <protection hidden="1"/>
    </xf>
    <xf numFmtId="0" fontId="65" fillId="0" borderId="0" xfId="1" applyFont="1" applyProtection="1">
      <protection hidden="1"/>
    </xf>
    <xf numFmtId="3" fontId="65" fillId="0" borderId="0" xfId="1" applyNumberFormat="1" applyFont="1" applyProtection="1">
      <protection hidden="1"/>
    </xf>
    <xf numFmtId="2" fontId="62" fillId="0" borderId="0" xfId="1" applyNumberFormat="1" applyFont="1" applyProtection="1">
      <protection hidden="1"/>
    </xf>
    <xf numFmtId="0" fontId="21" fillId="0" borderId="0" xfId="1" applyFont="1" applyProtection="1">
      <protection hidden="1"/>
    </xf>
    <xf numFmtId="0" fontId="63" fillId="0" borderId="0" xfId="1" applyFont="1" applyProtection="1">
      <protection hidden="1"/>
    </xf>
    <xf numFmtId="4" fontId="62" fillId="0" borderId="0" xfId="1" applyNumberFormat="1" applyFont="1" applyProtection="1">
      <protection hidden="1"/>
    </xf>
    <xf numFmtId="14" fontId="60" fillId="6" borderId="0" xfId="1" applyNumberFormat="1" applyFont="1" applyFill="1" applyProtection="1">
      <protection hidden="1"/>
    </xf>
    <xf numFmtId="14" fontId="65" fillId="0" borderId="0" xfId="1" applyNumberFormat="1" applyFont="1" applyProtection="1">
      <protection hidden="1"/>
    </xf>
    <xf numFmtId="0" fontId="66" fillId="0" borderId="6" xfId="1" applyFont="1" applyBorder="1" applyAlignment="1" applyProtection="1">
      <alignment horizontal="center" vertical="center" wrapText="1"/>
      <protection hidden="1"/>
    </xf>
    <xf numFmtId="0" fontId="63" fillId="0" borderId="0" xfId="1" applyFont="1" applyAlignment="1" applyProtection="1">
      <alignment horizontal="center" vertical="center" wrapText="1"/>
      <protection hidden="1"/>
    </xf>
    <xf numFmtId="14" fontId="65" fillId="0" borderId="6" xfId="1" applyNumberFormat="1" applyFont="1" applyBorder="1" applyAlignment="1" applyProtection="1">
      <alignment horizontal="center" vertical="center"/>
      <protection hidden="1"/>
    </xf>
    <xf numFmtId="4" fontId="64" fillId="0" borderId="6" xfId="1" applyNumberFormat="1" applyFont="1" applyBorder="1" applyAlignment="1" applyProtection="1">
      <alignment horizontal="center" vertical="center"/>
      <protection hidden="1"/>
    </xf>
    <xf numFmtId="3" fontId="63" fillId="0" borderId="0" xfId="1" applyNumberFormat="1" applyFont="1" applyAlignment="1" applyProtection="1">
      <alignment horizontal="center" vertical="center" wrapText="1"/>
      <protection hidden="1"/>
    </xf>
    <xf numFmtId="4" fontId="73" fillId="0" borderId="0" xfId="1" applyNumberFormat="1" applyFont="1" applyProtection="1">
      <protection hidden="1"/>
    </xf>
    <xf numFmtId="0" fontId="61" fillId="0" borderId="0" xfId="1" applyFont="1" applyProtection="1">
      <protection hidden="1"/>
    </xf>
    <xf numFmtId="0" fontId="66" fillId="8" borderId="11" xfId="1" applyFont="1" applyFill="1" applyBorder="1" applyAlignment="1" applyProtection="1">
      <alignment horizontal="center" vertical="center"/>
      <protection locked="0" hidden="1"/>
    </xf>
    <xf numFmtId="0" fontId="66" fillId="4" borderId="14" xfId="1" applyFont="1" applyFill="1" applyBorder="1" applyAlignment="1" applyProtection="1">
      <alignment horizontal="center" vertical="center"/>
      <protection locked="0" hidden="1"/>
    </xf>
    <xf numFmtId="0" fontId="66" fillId="4" borderId="11" xfId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Alignment="1" applyProtection="1">
      <alignment horizontal="center"/>
      <protection locked="0" hidden="1"/>
    </xf>
    <xf numFmtId="3" fontId="65" fillId="8" borderId="6" xfId="1" applyNumberFormat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Alignment="1" applyProtection="1">
      <alignment horizontal="left" vertical="center"/>
      <protection locked="0" hidden="1"/>
    </xf>
    <xf numFmtId="0" fontId="65" fillId="8" borderId="6" xfId="1" applyFont="1" applyFill="1" applyBorder="1" applyAlignment="1" applyProtection="1">
      <alignment horizontal="center" vertical="center"/>
      <protection locked="0" hidden="1"/>
    </xf>
    <xf numFmtId="0" fontId="65" fillId="2" borderId="14" xfId="1" applyFont="1" applyFill="1" applyBorder="1" applyAlignment="1" applyProtection="1">
      <alignment vertical="center"/>
      <protection locked="0" hidden="1"/>
    </xf>
    <xf numFmtId="0" fontId="67" fillId="2" borderId="0" xfId="1" applyFont="1" applyFill="1" applyAlignment="1" applyProtection="1">
      <alignment horizontal="center" vertical="center"/>
      <protection locked="0" hidden="1"/>
    </xf>
    <xf numFmtId="0" fontId="67" fillId="2" borderId="15" xfId="1" applyFont="1" applyFill="1" applyBorder="1" applyAlignment="1" applyProtection="1">
      <alignment horizontal="center" vertical="center"/>
      <protection locked="0" hidden="1"/>
    </xf>
    <xf numFmtId="0" fontId="65" fillId="8" borderId="14" xfId="1" applyFont="1" applyFill="1" applyBorder="1" applyAlignment="1" applyProtection="1">
      <alignment horizontal="center" vertical="center"/>
      <protection locked="0" hidden="1"/>
    </xf>
    <xf numFmtId="0" fontId="65" fillId="0" borderId="6" xfId="1" applyFont="1" applyBorder="1" applyProtection="1">
      <protection locked="0" hidden="1"/>
    </xf>
    <xf numFmtId="14" fontId="65" fillId="4" borderId="14" xfId="1" applyNumberFormat="1" applyFont="1" applyFill="1" applyBorder="1" applyAlignment="1" applyProtection="1">
      <alignment horizontal="center" vertical="center"/>
      <protection locked="0" hidden="1"/>
    </xf>
    <xf numFmtId="0" fontId="0" fillId="2" borderId="0" xfId="0" applyFill="1" applyAlignment="1" applyProtection="1">
      <alignment horizontal="center"/>
      <protection hidden="1"/>
    </xf>
    <xf numFmtId="0" fontId="10" fillId="9" borderId="1" xfId="0" applyFont="1" applyFill="1" applyBorder="1" applyProtection="1">
      <protection locked="0" hidden="1"/>
    </xf>
    <xf numFmtId="0" fontId="0" fillId="9" borderId="0" xfId="0" applyFill="1" applyProtection="1">
      <protection hidden="1"/>
    </xf>
    <xf numFmtId="0" fontId="10" fillId="9" borderId="4" xfId="0" applyFont="1" applyFill="1" applyBorder="1" applyProtection="1">
      <protection locked="0" hidden="1"/>
    </xf>
    <xf numFmtId="0" fontId="10" fillId="9" borderId="7" xfId="0" applyFont="1" applyFill="1" applyBorder="1" applyProtection="1">
      <protection locked="0" hidden="1"/>
    </xf>
    <xf numFmtId="0" fontId="10" fillId="9" borderId="8" xfId="0" applyFont="1" applyFill="1" applyBorder="1" applyProtection="1">
      <protection locked="0" hidden="1"/>
    </xf>
    <xf numFmtId="0" fontId="10" fillId="9" borderId="0" xfId="0" applyFont="1" applyFill="1" applyAlignment="1" applyProtection="1">
      <alignment horizontal="left"/>
      <protection locked="0" hidden="1"/>
    </xf>
    <xf numFmtId="0" fontId="0" fillId="9" borderId="0" xfId="0" applyFill="1" applyProtection="1">
      <protection locked="0" hidden="1"/>
    </xf>
    <xf numFmtId="1" fontId="0" fillId="2" borderId="0" xfId="0" applyNumberFormat="1" applyFill="1" applyProtection="1">
      <protection locked="0" hidden="1"/>
    </xf>
    <xf numFmtId="0" fontId="51" fillId="2" borderId="0" xfId="0" applyFont="1" applyFill="1" applyAlignment="1" applyProtection="1">
      <alignment horizontal="right" vertical="center"/>
      <protection hidden="1"/>
    </xf>
    <xf numFmtId="0" fontId="0" fillId="2" borderId="16" xfId="0" applyFill="1" applyBorder="1" applyProtection="1">
      <protection hidden="1"/>
    </xf>
    <xf numFmtId="4" fontId="71" fillId="0" borderId="11" xfId="0" applyNumberFormat="1" applyFont="1" applyBorder="1" applyAlignment="1" applyProtection="1">
      <alignment horizontal="center" vertical="top" wrapText="1"/>
      <protection hidden="1"/>
    </xf>
    <xf numFmtId="0" fontId="71" fillId="7" borderId="6" xfId="0" applyFont="1" applyFill="1" applyBorder="1" applyAlignment="1" applyProtection="1">
      <alignment horizontal="center" vertical="top"/>
      <protection hidden="1"/>
    </xf>
    <xf numFmtId="0" fontId="70" fillId="0" borderId="17" xfId="0" applyFont="1" applyBorder="1" applyAlignment="1" applyProtection="1">
      <alignment vertical="top" wrapText="1"/>
      <protection hidden="1"/>
    </xf>
    <xf numFmtId="4" fontId="71" fillId="2" borderId="6" xfId="0" applyNumberFormat="1" applyFont="1" applyFill="1" applyBorder="1" applyAlignment="1">
      <alignment horizontal="center" wrapText="1"/>
    </xf>
    <xf numFmtId="4" fontId="75" fillId="2" borderId="0" xfId="0" applyNumberFormat="1" applyFont="1" applyFill="1" applyAlignment="1" applyProtection="1">
      <alignment horizontal="center"/>
      <protection hidden="1"/>
    </xf>
    <xf numFmtId="4" fontId="37" fillId="0" borderId="0" xfId="0" applyNumberFormat="1" applyFont="1" applyAlignment="1" applyProtection="1">
      <alignment horizontal="center"/>
      <protection hidden="1"/>
    </xf>
    <xf numFmtId="0" fontId="58" fillId="0" borderId="18" xfId="0" applyFont="1" applyBorder="1" applyAlignment="1" applyProtection="1">
      <alignment vertical="top" wrapText="1"/>
      <protection locked="0" hidden="1"/>
    </xf>
    <xf numFmtId="0" fontId="58" fillId="0" borderId="13" xfId="0" applyFont="1" applyBorder="1" applyAlignment="1" applyProtection="1">
      <alignment vertical="top" wrapText="1"/>
      <protection hidden="1"/>
    </xf>
    <xf numFmtId="0" fontId="0" fillId="0" borderId="10" xfId="0" applyBorder="1" applyAlignment="1" applyProtection="1">
      <alignment vertical="top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0" fillId="0" borderId="15" xfId="0" applyBorder="1" applyAlignment="1" applyProtection="1">
      <alignment vertical="top" wrapText="1"/>
      <protection hidden="1"/>
    </xf>
    <xf numFmtId="1" fontId="0" fillId="9" borderId="7" xfId="0" applyNumberFormat="1" applyFill="1" applyBorder="1" applyAlignment="1" applyProtection="1">
      <alignment horizontal="center"/>
      <protection locked="0" hidden="1"/>
    </xf>
    <xf numFmtId="1" fontId="0" fillId="9" borderId="23" xfId="0" applyNumberFormat="1" applyFill="1" applyBorder="1" applyAlignment="1" applyProtection="1">
      <alignment horizontal="center"/>
      <protection locked="0" hidden="1"/>
    </xf>
    <xf numFmtId="1" fontId="0" fillId="9" borderId="8" xfId="0" applyNumberFormat="1" applyFill="1" applyBorder="1" applyAlignment="1" applyProtection="1">
      <alignment horizontal="center"/>
      <protection locked="0" hidden="1"/>
    </xf>
    <xf numFmtId="0" fontId="68" fillId="0" borderId="0" xfId="1"/>
    <xf numFmtId="0" fontId="10" fillId="9" borderId="42" xfId="0" applyFont="1" applyFill="1" applyBorder="1" applyProtection="1">
      <protection locked="0" hidden="1"/>
    </xf>
    <xf numFmtId="0" fontId="7" fillId="0" borderId="0" xfId="0" applyFont="1" applyProtection="1">
      <protection hidden="1"/>
    </xf>
    <xf numFmtId="0" fontId="10" fillId="10" borderId="6" xfId="0" applyFont="1" applyFill="1" applyBorder="1" applyAlignment="1" applyProtection="1">
      <alignment horizontal="center" vertical="center" wrapText="1"/>
      <protection hidden="1"/>
    </xf>
    <xf numFmtId="14" fontId="37" fillId="2" borderId="0" xfId="0" applyNumberFormat="1" applyFont="1" applyFill="1" applyAlignment="1" applyProtection="1">
      <alignment horizontal="center"/>
      <protection hidden="1"/>
    </xf>
    <xf numFmtId="4" fontId="37" fillId="7" borderId="0" xfId="0" applyNumberFormat="1" applyFont="1" applyFill="1" applyAlignment="1" applyProtection="1">
      <alignment horizontal="center"/>
      <protection hidden="1"/>
    </xf>
    <xf numFmtId="4" fontId="9" fillId="2" borderId="10" xfId="0" applyNumberFormat="1" applyFont="1" applyFill="1" applyBorder="1" applyAlignment="1" applyProtection="1">
      <alignment horizontal="center"/>
      <protection hidden="1"/>
    </xf>
    <xf numFmtId="4" fontId="9" fillId="2" borderId="0" xfId="0" applyNumberFormat="1" applyFont="1" applyFill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10" fillId="2" borderId="11" xfId="0" applyFont="1" applyFill="1" applyBorder="1" applyAlignment="1" applyProtection="1">
      <alignment horizontal="center" vertical="center" wrapText="1"/>
      <protection hidden="1"/>
    </xf>
    <xf numFmtId="0" fontId="10" fillId="2" borderId="14" xfId="0" applyFont="1" applyFill="1" applyBorder="1" applyAlignment="1" applyProtection="1">
      <alignment horizontal="center" vertical="center" wrapText="1"/>
      <protection hidden="1"/>
    </xf>
    <xf numFmtId="0" fontId="58" fillId="0" borderId="11" xfId="0" applyFont="1" applyBorder="1" applyAlignment="1" applyProtection="1">
      <alignment horizontal="justify" vertical="top" wrapText="1"/>
      <protection locked="0"/>
    </xf>
    <xf numFmtId="0" fontId="58" fillId="0" borderId="17" xfId="0" applyFont="1" applyBorder="1" applyAlignment="1" applyProtection="1">
      <alignment horizontal="justify" vertical="top" wrapText="1"/>
      <protection locked="0"/>
    </xf>
    <xf numFmtId="0" fontId="58" fillId="0" borderId="14" xfId="0" applyFont="1" applyBorder="1" applyAlignment="1" applyProtection="1">
      <alignment horizontal="justify" vertical="top" wrapText="1"/>
      <protection locked="0"/>
    </xf>
    <xf numFmtId="0" fontId="58" fillId="0" borderId="12" xfId="0" applyFont="1" applyBorder="1" applyAlignment="1" applyProtection="1">
      <alignment horizontal="justify" vertical="top" wrapText="1"/>
      <protection locked="0"/>
    </xf>
    <xf numFmtId="0" fontId="58" fillId="0" borderId="13" xfId="0" applyFont="1" applyBorder="1" applyAlignment="1" applyProtection="1">
      <alignment horizontal="justify" vertical="top" wrapText="1"/>
      <protection locked="0"/>
    </xf>
    <xf numFmtId="0" fontId="0" fillId="0" borderId="20" xfId="0" applyBorder="1" applyAlignment="1">
      <alignment horizontal="justify" vertical="top" wrapText="1"/>
    </xf>
    <xf numFmtId="0" fontId="0" fillId="0" borderId="16" xfId="0" applyBorder="1" applyAlignment="1">
      <alignment horizontal="justify" vertical="top" wrapText="1"/>
    </xf>
    <xf numFmtId="0" fontId="58" fillId="0" borderId="11" xfId="0" applyFont="1" applyBorder="1" applyAlignment="1" applyProtection="1">
      <alignment horizontal="left" vertical="top" wrapText="1"/>
      <protection locked="0"/>
    </xf>
    <xf numFmtId="0" fontId="58" fillId="0" borderId="17" xfId="0" applyFont="1" applyBorder="1" applyAlignment="1" applyProtection="1">
      <alignment horizontal="left" vertical="top" wrapText="1"/>
      <protection locked="0"/>
    </xf>
    <xf numFmtId="0" fontId="58" fillId="0" borderId="14" xfId="0" applyFont="1" applyBorder="1" applyAlignment="1" applyProtection="1">
      <alignment horizontal="left" vertical="top" wrapText="1"/>
      <protection locked="0"/>
    </xf>
    <xf numFmtId="0" fontId="58" fillId="0" borderId="6" xfId="0" applyFont="1" applyBorder="1" applyAlignment="1" applyProtection="1">
      <alignment horizontal="justify" vertical="center" wrapText="1"/>
      <protection locked="0"/>
    </xf>
    <xf numFmtId="0" fontId="0" fillId="0" borderId="6" xfId="0" applyBorder="1"/>
    <xf numFmtId="0" fontId="0" fillId="0" borderId="14" xfId="0" applyBorder="1" applyAlignment="1">
      <alignment vertical="top"/>
    </xf>
    <xf numFmtId="0" fontId="70" fillId="0" borderId="6" xfId="0" applyFont="1" applyBorder="1" applyAlignment="1">
      <alignment vertical="top"/>
    </xf>
    <xf numFmtId="0" fontId="70" fillId="0" borderId="6" xfId="0" applyFont="1" applyBorder="1" applyAlignment="1">
      <alignment vertical="center"/>
    </xf>
    <xf numFmtId="0" fontId="70" fillId="0" borderId="6" xfId="0" applyFont="1" applyBorder="1" applyAlignment="1">
      <alignment horizontal="left" vertical="top"/>
    </xf>
    <xf numFmtId="0" fontId="70" fillId="0" borderId="16" xfId="0" applyFont="1" applyBorder="1"/>
    <xf numFmtId="0" fontId="70" fillId="0" borderId="0" xfId="0" applyFont="1" applyAlignment="1">
      <alignment horizontal="center"/>
    </xf>
    <xf numFmtId="0" fontId="58" fillId="0" borderId="20" xfId="0" applyFont="1" applyBorder="1" applyAlignment="1" applyProtection="1">
      <alignment horizontal="justify" vertical="top" wrapText="1"/>
      <protection locked="0"/>
    </xf>
    <xf numFmtId="0" fontId="58" fillId="0" borderId="16" xfId="0" applyFont="1" applyBorder="1" applyAlignment="1" applyProtection="1">
      <alignment horizontal="justify" vertical="top" wrapText="1"/>
      <protection locked="0"/>
    </xf>
    <xf numFmtId="49" fontId="71" fillId="6" borderId="0" xfId="0" applyNumberFormat="1" applyFont="1" applyFill="1" applyAlignment="1">
      <alignment horizontal="center" vertical="center"/>
    </xf>
    <xf numFmtId="0" fontId="71" fillId="6" borderId="0" xfId="0" applyFont="1" applyFill="1" applyAlignment="1">
      <alignment horizontal="center" vertical="center"/>
    </xf>
    <xf numFmtId="0" fontId="5" fillId="2" borderId="19" xfId="0" applyFont="1" applyFill="1" applyBorder="1" applyAlignment="1" applyProtection="1">
      <alignment horizontal="center"/>
      <protection hidden="1"/>
    </xf>
    <xf numFmtId="4" fontId="5" fillId="2" borderId="16" xfId="0" applyNumberFormat="1" applyFont="1" applyFill="1" applyBorder="1" applyAlignment="1" applyProtection="1">
      <alignment horizontal="center"/>
      <protection hidden="1"/>
    </xf>
    <xf numFmtId="0" fontId="36" fillId="2" borderId="0" xfId="0" applyFont="1" applyFill="1" applyAlignment="1" applyProtection="1">
      <alignment horizontal="justify" vertical="center" wrapText="1" readingOrder="1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justify" wrapText="1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72" fillId="2" borderId="6" xfId="0" applyFont="1" applyFill="1" applyBorder="1" applyAlignment="1" applyProtection="1">
      <alignment horizontal="center"/>
      <protection hidden="1"/>
    </xf>
    <xf numFmtId="3" fontId="72" fillId="2" borderId="6" xfId="0" applyNumberFormat="1" applyFont="1" applyFill="1" applyBorder="1" applyAlignment="1">
      <alignment horizontal="center" wrapText="1"/>
    </xf>
    <xf numFmtId="0" fontId="5" fillId="2" borderId="0" xfId="0" applyFont="1" applyFill="1" applyAlignment="1" applyProtection="1">
      <alignment horizontal="left" vertical="center" wrapText="1"/>
      <protection hidden="1"/>
    </xf>
    <xf numFmtId="1" fontId="0" fillId="2" borderId="7" xfId="0" applyNumberFormat="1" applyFill="1" applyBorder="1" applyAlignment="1" applyProtection="1">
      <alignment horizontal="center"/>
      <protection locked="0" hidden="1"/>
    </xf>
    <xf numFmtId="1" fontId="0" fillId="2" borderId="23" xfId="0" applyNumberFormat="1" applyFill="1" applyBorder="1" applyAlignment="1" applyProtection="1">
      <alignment horizontal="center"/>
      <protection locked="0" hidden="1"/>
    </xf>
    <xf numFmtId="1" fontId="0" fillId="2" borderId="8" xfId="0" applyNumberFormat="1" applyFill="1" applyBorder="1" applyAlignment="1" applyProtection="1">
      <alignment horizontal="center"/>
      <protection locked="0" hidden="1"/>
    </xf>
    <xf numFmtId="0" fontId="10" fillId="2" borderId="24" xfId="0" applyFont="1" applyFill="1" applyBorder="1" applyAlignment="1" applyProtection="1">
      <alignment horizontal="left"/>
      <protection hidden="1"/>
    </xf>
    <xf numFmtId="0" fontId="10" fillId="2" borderId="25" xfId="0" applyFont="1" applyFill="1" applyBorder="1" applyAlignment="1" applyProtection="1">
      <alignment horizontal="left"/>
      <protection hidden="1"/>
    </xf>
    <xf numFmtId="0" fontId="10" fillId="2" borderId="26" xfId="0" applyFont="1" applyFill="1" applyBorder="1" applyAlignment="1" applyProtection="1">
      <alignment horizontal="left"/>
      <protection hidden="1"/>
    </xf>
    <xf numFmtId="0" fontId="10" fillId="2" borderId="27" xfId="0" applyFont="1" applyFill="1" applyBorder="1" applyAlignment="1" applyProtection="1">
      <alignment horizontal="left"/>
      <protection hidden="1"/>
    </xf>
    <xf numFmtId="4" fontId="38" fillId="2" borderId="26" xfId="0" applyNumberFormat="1" applyFont="1" applyFill="1" applyBorder="1" applyAlignment="1" applyProtection="1">
      <alignment horizontal="center"/>
      <protection locked="0" hidden="1"/>
    </xf>
    <xf numFmtId="4" fontId="38" fillId="2" borderId="28" xfId="0" applyNumberFormat="1" applyFont="1" applyFill="1" applyBorder="1" applyAlignment="1" applyProtection="1">
      <alignment horizontal="center"/>
      <protection locked="0" hidden="1"/>
    </xf>
    <xf numFmtId="0" fontId="38" fillId="2" borderId="24" xfId="0" applyFont="1" applyFill="1" applyBorder="1" applyAlignment="1" applyProtection="1">
      <alignment horizontal="center"/>
      <protection locked="0" hidden="1"/>
    </xf>
    <xf numFmtId="0" fontId="38" fillId="2" borderId="14" xfId="0" applyFont="1" applyFill="1" applyBorder="1" applyAlignment="1" applyProtection="1">
      <alignment horizontal="center"/>
      <protection locked="0" hidden="1"/>
    </xf>
    <xf numFmtId="14" fontId="37" fillId="2" borderId="13" xfId="0" applyNumberFormat="1" applyFont="1" applyFill="1" applyBorder="1" applyAlignment="1" applyProtection="1">
      <alignment horizontal="center"/>
      <protection hidden="1"/>
    </xf>
    <xf numFmtId="4" fontId="37" fillId="2" borderId="13" xfId="0" applyNumberFormat="1" applyFont="1" applyFill="1" applyBorder="1" applyAlignment="1" applyProtection="1">
      <alignment horizontal="center"/>
      <protection hidden="1"/>
    </xf>
    <xf numFmtId="0" fontId="0" fillId="0" borderId="6" xfId="0" applyBorder="1" applyAlignment="1">
      <alignment vertical="top"/>
    </xf>
    <xf numFmtId="0" fontId="70" fillId="0" borderId="13" xfId="0" applyFont="1" applyBorder="1"/>
    <xf numFmtId="0" fontId="0" fillId="0" borderId="18" xfId="0" applyBorder="1"/>
    <xf numFmtId="0" fontId="58" fillId="0" borderId="10" xfId="0" applyFont="1" applyBorder="1" applyAlignment="1" applyProtection="1">
      <alignment horizontal="justify" vertical="center" wrapText="1"/>
      <protection locked="0"/>
    </xf>
    <xf numFmtId="0" fontId="58" fillId="0" borderId="0" xfId="0" applyFont="1" applyAlignment="1" applyProtection="1">
      <alignment horizontal="justify" vertical="center" wrapText="1"/>
      <protection locked="0"/>
    </xf>
    <xf numFmtId="0" fontId="0" fillId="0" borderId="15" xfId="0" applyBorder="1"/>
    <xf numFmtId="0" fontId="70" fillId="0" borderId="20" xfId="0" applyFont="1" applyBorder="1" applyAlignment="1">
      <alignment vertical="top" wrapText="1"/>
    </xf>
    <xf numFmtId="0" fontId="70" fillId="0" borderId="16" xfId="0" applyFont="1" applyBorder="1" applyAlignment="1">
      <alignment vertical="top"/>
    </xf>
    <xf numFmtId="0" fontId="0" fillId="0" borderId="30" xfId="0" applyBorder="1"/>
    <xf numFmtId="0" fontId="70" fillId="0" borderId="20" xfId="0" applyFont="1" applyBorder="1" applyAlignment="1">
      <alignment horizontal="left" vertical="center"/>
    </xf>
    <xf numFmtId="0" fontId="70" fillId="0" borderId="16" xfId="0" applyFont="1" applyBorder="1" applyAlignment="1">
      <alignment horizontal="left" vertical="center"/>
    </xf>
    <xf numFmtId="0" fontId="0" fillId="0" borderId="30" xfId="0" applyBorder="1" applyAlignment="1">
      <alignment horizontal="left"/>
    </xf>
    <xf numFmtId="0" fontId="70" fillId="0" borderId="6" xfId="0" applyFont="1" applyBorder="1" applyAlignment="1">
      <alignment horizontal="center"/>
    </xf>
    <xf numFmtId="0" fontId="70" fillId="0" borderId="21" xfId="0" applyFont="1" applyBorder="1" applyAlignment="1">
      <alignment horizontal="center" vertical="top"/>
    </xf>
    <xf numFmtId="0" fontId="70" fillId="0" borderId="22" xfId="0" applyFont="1" applyBorder="1" applyAlignment="1">
      <alignment horizontal="center" vertical="top"/>
    </xf>
    <xf numFmtId="4" fontId="10" fillId="3" borderId="11" xfId="0" applyNumberFormat="1" applyFont="1" applyFill="1" applyBorder="1" applyAlignment="1" applyProtection="1">
      <alignment horizontal="center"/>
      <protection hidden="1"/>
    </xf>
    <xf numFmtId="4" fontId="10" fillId="3" borderId="17" xfId="0" applyNumberFormat="1" applyFont="1" applyFill="1" applyBorder="1" applyAlignment="1" applyProtection="1">
      <alignment horizontal="center"/>
      <protection hidden="1"/>
    </xf>
    <xf numFmtId="4" fontId="10" fillId="3" borderId="14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left" wrapText="1"/>
      <protection hidden="1"/>
    </xf>
    <xf numFmtId="49" fontId="0" fillId="2" borderId="26" xfId="0" applyNumberFormat="1" applyFill="1" applyBorder="1" applyAlignment="1" applyProtection="1">
      <alignment horizontal="center"/>
      <protection locked="0" hidden="1"/>
    </xf>
    <xf numFmtId="49" fontId="0" fillId="2" borderId="29" xfId="0" applyNumberFormat="1" applyFill="1" applyBorder="1" applyAlignment="1" applyProtection="1">
      <alignment horizontal="center"/>
      <protection locked="0" hidden="1"/>
    </xf>
    <xf numFmtId="49" fontId="0" fillId="2" borderId="27" xfId="0" applyNumberFormat="1" applyFill="1" applyBorder="1" applyAlignment="1" applyProtection="1">
      <alignment horizontal="center"/>
      <protection locked="0" hidden="1"/>
    </xf>
    <xf numFmtId="0" fontId="8" fillId="2" borderId="0" xfId="0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0" fontId="10" fillId="2" borderId="7" xfId="0" applyFont="1" applyFill="1" applyBorder="1" applyAlignment="1" applyProtection="1">
      <alignment horizontal="left"/>
      <protection hidden="1"/>
    </xf>
    <xf numFmtId="0" fontId="10" fillId="2" borderId="8" xfId="0" applyFont="1" applyFill="1" applyBorder="1" applyAlignment="1" applyProtection="1">
      <alignment horizontal="left"/>
      <protection hidden="1"/>
    </xf>
    <xf numFmtId="0" fontId="10" fillId="2" borderId="24" xfId="0" applyFont="1" applyFill="1" applyBorder="1" applyAlignment="1" applyProtection="1">
      <alignment horizontal="left" wrapText="1"/>
      <protection hidden="1"/>
    </xf>
    <xf numFmtId="0" fontId="10" fillId="2" borderId="25" xfId="0" applyFont="1" applyFill="1" applyBorder="1" applyAlignment="1" applyProtection="1">
      <alignment horizontal="left" wrapText="1"/>
      <protection hidden="1"/>
    </xf>
    <xf numFmtId="0" fontId="10" fillId="2" borderId="12" xfId="0" applyFont="1" applyFill="1" applyBorder="1" applyAlignment="1" applyProtection="1">
      <alignment horizontal="center" vertical="center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0" fontId="10" fillId="2" borderId="20" xfId="0" applyFont="1" applyFill="1" applyBorder="1" applyAlignment="1" applyProtection="1">
      <alignment horizontal="center" vertical="center"/>
      <protection hidden="1"/>
    </xf>
    <xf numFmtId="0" fontId="10" fillId="2" borderId="30" xfId="0" applyFont="1" applyFill="1" applyBorder="1" applyAlignment="1" applyProtection="1">
      <alignment horizontal="center" vertical="center"/>
      <protection hidden="1"/>
    </xf>
    <xf numFmtId="0" fontId="10" fillId="2" borderId="19" xfId="0" applyFont="1" applyFill="1" applyBorder="1" applyAlignment="1" applyProtection="1">
      <alignment horizontal="left"/>
      <protection hidden="1"/>
    </xf>
    <xf numFmtId="0" fontId="70" fillId="0" borderId="12" xfId="0" applyFont="1" applyBorder="1" applyAlignment="1">
      <alignment vertical="top" wrapText="1"/>
    </xf>
    <xf numFmtId="0" fontId="70" fillId="0" borderId="13" xfId="0" applyFont="1" applyBorder="1" applyAlignment="1">
      <alignment vertical="top" wrapText="1"/>
    </xf>
    <xf numFmtId="0" fontId="70" fillId="0" borderId="16" xfId="0" applyFont="1" applyBorder="1" applyAlignment="1">
      <alignment vertical="top" wrapText="1"/>
    </xf>
    <xf numFmtId="1" fontId="38" fillId="2" borderId="24" xfId="0" applyNumberFormat="1" applyFont="1" applyFill="1" applyBorder="1" applyAlignment="1" applyProtection="1">
      <alignment horizontal="center"/>
      <protection locked="0" hidden="1"/>
    </xf>
    <xf numFmtId="1" fontId="38" fillId="2" borderId="14" xfId="0" applyNumberFormat="1" applyFont="1" applyFill="1" applyBorder="1" applyAlignment="1" applyProtection="1">
      <alignment horizontal="center"/>
      <protection locked="0"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25" xfId="0" applyFont="1" applyBorder="1" applyAlignment="1" applyProtection="1">
      <alignment horizontal="center" vertical="center"/>
      <protection hidden="1"/>
    </xf>
    <xf numFmtId="0" fontId="0" fillId="2" borderId="24" xfId="0" applyFill="1" applyBorder="1" applyAlignment="1" applyProtection="1">
      <alignment horizontal="center"/>
      <protection locked="0" hidden="1"/>
    </xf>
    <xf numFmtId="0" fontId="0" fillId="2" borderId="17" xfId="0" applyFill="1" applyBorder="1" applyAlignment="1" applyProtection="1">
      <alignment horizontal="center"/>
      <protection locked="0" hidden="1"/>
    </xf>
    <xf numFmtId="0" fontId="0" fillId="2" borderId="25" xfId="0" applyFill="1" applyBorder="1" applyAlignment="1" applyProtection="1">
      <alignment horizontal="center"/>
      <protection locked="0" hidden="1"/>
    </xf>
    <xf numFmtId="0" fontId="70" fillId="0" borderId="17" xfId="0" applyFont="1" applyBorder="1" applyAlignment="1">
      <alignment vertical="top"/>
    </xf>
    <xf numFmtId="0" fontId="70" fillId="0" borderId="17" xfId="0" applyFont="1" applyBorder="1"/>
    <xf numFmtId="0" fontId="0" fillId="0" borderId="14" xfId="0" applyBorder="1"/>
    <xf numFmtId="0" fontId="70" fillId="0" borderId="21" xfId="0" applyFont="1" applyBorder="1" applyAlignment="1">
      <alignment horizontal="center"/>
    </xf>
    <xf numFmtId="0" fontId="70" fillId="0" borderId="21" xfId="0" applyFont="1" applyBorder="1"/>
    <xf numFmtId="0" fontId="0" fillId="0" borderId="21" xfId="0" applyBorder="1"/>
    <xf numFmtId="0" fontId="58" fillId="0" borderId="10" xfId="0" applyFont="1" applyBorder="1" applyAlignment="1" applyProtection="1">
      <alignment horizontal="justify" vertical="center" wrapText="1" shrinkToFit="1"/>
      <protection locked="0"/>
    </xf>
    <xf numFmtId="0" fontId="58" fillId="0" borderId="0" xfId="0" applyFont="1" applyAlignment="1" applyProtection="1">
      <alignment horizontal="justify" vertical="center" wrapText="1" shrinkToFit="1"/>
      <protection locked="0"/>
    </xf>
    <xf numFmtId="0" fontId="0" fillId="0" borderId="15" xfId="0" applyBorder="1" applyAlignment="1">
      <alignment wrapText="1" shrinkToFit="1"/>
    </xf>
    <xf numFmtId="0" fontId="70" fillId="0" borderId="0" xfId="0" applyFont="1" applyAlignment="1">
      <alignment horizontal="left" vertical="center" wrapText="1"/>
    </xf>
    <xf numFmtId="0" fontId="1" fillId="2" borderId="19" xfId="0" applyFont="1" applyFill="1" applyBorder="1" applyAlignment="1" applyProtection="1">
      <alignment horizontal="center"/>
      <protection locked="0" hidden="1"/>
    </xf>
    <xf numFmtId="14" fontId="38" fillId="2" borderId="24" xfId="0" applyNumberFormat="1" applyFont="1" applyFill="1" applyBorder="1" applyAlignment="1" applyProtection="1">
      <alignment horizontal="center"/>
      <protection locked="0" hidden="1"/>
    </xf>
    <xf numFmtId="14" fontId="38" fillId="2" borderId="14" xfId="0" applyNumberFormat="1" applyFont="1" applyFill="1" applyBorder="1" applyAlignment="1" applyProtection="1">
      <alignment horizontal="center"/>
      <protection locked="0" hidden="1"/>
    </xf>
    <xf numFmtId="0" fontId="0" fillId="2" borderId="7" xfId="0" applyFill="1" applyBorder="1" applyAlignment="1" applyProtection="1">
      <alignment horizontal="center"/>
      <protection locked="0" hidden="1"/>
    </xf>
    <xf numFmtId="0" fontId="0" fillId="2" borderId="23" xfId="0" applyFill="1" applyBorder="1" applyAlignment="1" applyProtection="1">
      <alignment horizontal="center"/>
      <protection locked="0" hidden="1"/>
    </xf>
    <xf numFmtId="0" fontId="0" fillId="2" borderId="8" xfId="0" applyFill="1" applyBorder="1" applyAlignment="1" applyProtection="1">
      <alignment horizontal="center"/>
      <protection locked="0" hidden="1"/>
    </xf>
    <xf numFmtId="0" fontId="0" fillId="0" borderId="0" xfId="0"/>
    <xf numFmtId="49" fontId="71" fillId="6" borderId="0" xfId="0" applyNumberFormat="1" applyFont="1" applyFill="1" applyAlignment="1">
      <alignment horizontal="center"/>
    </xf>
    <xf numFmtId="0" fontId="71" fillId="6" borderId="0" xfId="0" applyFont="1" applyFill="1" applyAlignment="1">
      <alignment horizontal="center"/>
    </xf>
    <xf numFmtId="0" fontId="71" fillId="0" borderId="16" xfId="0" applyFont="1" applyBorder="1" applyAlignment="1">
      <alignment horizontal="center"/>
    </xf>
    <xf numFmtId="0" fontId="0" fillId="0" borderId="16" xfId="0" applyBorder="1"/>
    <xf numFmtId="0" fontId="41" fillId="0" borderId="16" xfId="0" applyFont="1" applyBorder="1" applyAlignment="1" applyProtection="1">
      <alignment horizontal="justify" vertical="center" wrapText="1"/>
      <protection locked="0"/>
    </xf>
    <xf numFmtId="0" fontId="42" fillId="0" borderId="0" xfId="0" applyFont="1" applyAlignment="1" applyProtection="1">
      <alignment horizontal="justify" vertical="center" wrapText="1"/>
      <protection locked="0"/>
    </xf>
    <xf numFmtId="0" fontId="41" fillId="0" borderId="0" xfId="0" applyFont="1" applyAlignment="1" applyProtection="1">
      <alignment horizontal="justify" vertical="center" wrapText="1"/>
      <protection locked="0"/>
    </xf>
    <xf numFmtId="49" fontId="42" fillId="0" borderId="11" xfId="0" applyNumberFormat="1" applyFont="1" applyBorder="1" applyAlignment="1" applyProtection="1">
      <alignment horizontal="left" vertical="center" wrapText="1"/>
      <protection locked="0"/>
    </xf>
    <xf numFmtId="49" fontId="42" fillId="0" borderId="17" xfId="0" applyNumberFormat="1" applyFont="1" applyBorder="1" applyAlignment="1" applyProtection="1">
      <alignment horizontal="left" vertical="center" wrapText="1"/>
      <protection locked="0"/>
    </xf>
    <xf numFmtId="49" fontId="42" fillId="0" borderId="14" xfId="0" applyNumberFormat="1" applyFont="1" applyBorder="1" applyAlignment="1" applyProtection="1">
      <alignment horizontal="left" vertical="center" wrapText="1"/>
      <protection locked="0"/>
    </xf>
    <xf numFmtId="0" fontId="42" fillId="0" borderId="11" xfId="0" applyFont="1" applyBorder="1" applyAlignment="1" applyProtection="1">
      <alignment horizontal="left" vertical="center" wrapText="1"/>
      <protection locked="0"/>
    </xf>
    <xf numFmtId="0" fontId="42" fillId="0" borderId="17" xfId="0" applyFont="1" applyBorder="1" applyAlignment="1" applyProtection="1">
      <alignment horizontal="left" vertical="center" wrapText="1"/>
      <protection locked="0"/>
    </xf>
    <xf numFmtId="0" fontId="42" fillId="0" borderId="14" xfId="0" applyFont="1" applyBorder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horizontal="left" vertical="center" wrapText="1"/>
      <protection locked="0"/>
    </xf>
    <xf numFmtId="0" fontId="43" fillId="0" borderId="0" xfId="0" applyFont="1" applyAlignment="1" applyProtection="1">
      <alignment horizontal="left" vertical="center" wrapText="1"/>
      <protection locked="0"/>
    </xf>
    <xf numFmtId="0" fontId="16" fillId="2" borderId="0" xfId="0" applyFont="1" applyFill="1" applyAlignment="1" applyProtection="1">
      <alignment horizontal="justify" vertical="center" wrapText="1" readingOrder="1"/>
      <protection hidden="1"/>
    </xf>
    <xf numFmtId="14" fontId="21" fillId="2" borderId="0" xfId="0" applyNumberFormat="1" applyFont="1" applyFill="1" applyAlignment="1" applyProtection="1">
      <alignment horizontal="center" vertical="top" wrapText="1"/>
      <protection locked="0"/>
    </xf>
    <xf numFmtId="0" fontId="21" fillId="2" borderId="0" xfId="0" applyFont="1" applyFill="1" applyAlignment="1" applyProtection="1">
      <alignment horizontal="center" vertical="top" wrapText="1"/>
      <protection locked="0"/>
    </xf>
    <xf numFmtId="0" fontId="21" fillId="2" borderId="31" xfId="0" applyFont="1" applyFill="1" applyBorder="1" applyAlignment="1" applyProtection="1">
      <alignment horizontal="center" vertical="top" wrapTex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43" fillId="0" borderId="13" xfId="0" applyFont="1" applyBorder="1" applyAlignment="1" applyProtection="1">
      <alignment horizontal="justify" vertical="center" wrapText="1"/>
      <protection locked="0"/>
    </xf>
    <xf numFmtId="0" fontId="37" fillId="2" borderId="0" xfId="0" applyFont="1" applyFill="1" applyAlignment="1" applyProtection="1">
      <alignment horizontal="center"/>
      <protection hidden="1"/>
    </xf>
    <xf numFmtId="0" fontId="1" fillId="2" borderId="23" xfId="0" applyFont="1" applyFill="1" applyBorder="1" applyAlignment="1" applyProtection="1">
      <alignment horizontal="center"/>
      <protection locked="0" hidden="1"/>
    </xf>
    <xf numFmtId="0" fontId="1" fillId="2" borderId="8" xfId="0" applyFont="1" applyFill="1" applyBorder="1" applyAlignment="1" applyProtection="1">
      <alignment horizontal="center"/>
      <protection locked="0" hidden="1"/>
    </xf>
    <xf numFmtId="4" fontId="5" fillId="2" borderId="0" xfId="0" applyNumberFormat="1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/>
      <protection hidden="1"/>
    </xf>
    <xf numFmtId="4" fontId="15" fillId="2" borderId="0" xfId="0" applyNumberFormat="1" applyFont="1" applyFill="1" applyAlignment="1">
      <alignment horizontal="center" wrapText="1"/>
    </xf>
    <xf numFmtId="0" fontId="5" fillId="2" borderId="0" xfId="0" applyFont="1" applyFill="1" applyAlignment="1" applyProtection="1">
      <alignment horizontal="left" wrapText="1"/>
      <protection hidden="1"/>
    </xf>
    <xf numFmtId="0" fontId="10" fillId="2" borderId="9" xfId="0" applyFont="1" applyFill="1" applyBorder="1" applyAlignment="1" applyProtection="1">
      <alignment horizontal="left"/>
      <protection hidden="1"/>
    </xf>
    <xf numFmtId="0" fontId="10" fillId="2" borderId="11" xfId="0" applyFont="1" applyFill="1" applyBorder="1" applyAlignment="1" applyProtection="1">
      <alignment horizontal="left"/>
      <protection hidden="1"/>
    </xf>
    <xf numFmtId="0" fontId="0" fillId="2" borderId="32" xfId="0" applyFill="1" applyBorder="1" applyAlignment="1" applyProtection="1">
      <alignment horizontal="center"/>
      <protection locked="0" hidden="1"/>
    </xf>
    <xf numFmtId="0" fontId="0" fillId="2" borderId="13" xfId="0" applyFill="1" applyBorder="1" applyAlignment="1" applyProtection="1">
      <alignment horizontal="center"/>
      <protection locked="0" hidden="1"/>
    </xf>
    <xf numFmtId="0" fontId="0" fillId="2" borderId="33" xfId="0" applyFill="1" applyBorder="1" applyAlignment="1" applyProtection="1">
      <alignment horizontal="center"/>
      <protection locked="0" hidden="1"/>
    </xf>
    <xf numFmtId="0" fontId="38" fillId="2" borderId="9" xfId="0" applyFont="1" applyFill="1" applyBorder="1" applyAlignment="1" applyProtection="1">
      <alignment horizontal="center"/>
      <protection locked="0" hidden="1"/>
    </xf>
    <xf numFmtId="0" fontId="38" fillId="2" borderId="6" xfId="0" applyFont="1" applyFill="1" applyBorder="1" applyAlignment="1" applyProtection="1">
      <alignment horizontal="center"/>
      <protection locked="0"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14" fontId="38" fillId="2" borderId="9" xfId="0" applyNumberFormat="1" applyFont="1" applyFill="1" applyBorder="1" applyAlignment="1" applyProtection="1">
      <alignment horizontal="center"/>
      <protection locked="0" hidden="1"/>
    </xf>
    <xf numFmtId="14" fontId="38" fillId="2" borderId="6" xfId="0" applyNumberFormat="1" applyFont="1" applyFill="1" applyBorder="1" applyAlignment="1" applyProtection="1">
      <alignment horizontal="center"/>
      <protection locked="0" hidden="1"/>
    </xf>
    <xf numFmtId="0" fontId="10" fillId="2" borderId="32" xfId="0" applyFont="1" applyFill="1" applyBorder="1" applyAlignment="1" applyProtection="1">
      <alignment horizontal="left"/>
      <protection hidden="1"/>
    </xf>
    <xf numFmtId="0" fontId="10" fillId="2" borderId="33" xfId="0" applyFont="1" applyFill="1" applyBorder="1" applyAlignment="1" applyProtection="1">
      <alignment horizontal="left"/>
      <protection hidden="1"/>
    </xf>
    <xf numFmtId="0" fontId="38" fillId="2" borderId="9" xfId="0" applyFont="1" applyFill="1" applyBorder="1" applyAlignment="1" applyProtection="1">
      <alignment horizontal="center"/>
      <protection hidden="1"/>
    </xf>
    <xf numFmtId="0" fontId="38" fillId="2" borderId="6" xfId="0" applyFont="1" applyFill="1" applyBorder="1" applyAlignment="1" applyProtection="1">
      <alignment horizontal="center"/>
      <protection hidden="1"/>
    </xf>
    <xf numFmtId="0" fontId="10" fillId="2" borderId="36" xfId="0" applyFont="1" applyFill="1" applyBorder="1" applyAlignment="1" applyProtection="1">
      <alignment horizontal="left"/>
      <protection hidden="1"/>
    </xf>
    <xf numFmtId="0" fontId="10" fillId="2" borderId="1" xfId="0" applyFont="1" applyFill="1" applyBorder="1" applyAlignment="1" applyProtection="1">
      <alignment horizontal="left"/>
      <protection hidden="1"/>
    </xf>
    <xf numFmtId="0" fontId="10" fillId="2" borderId="34" xfId="0" applyFont="1" applyFill="1" applyBorder="1" applyAlignment="1" applyProtection="1">
      <alignment horizontal="left"/>
      <protection hidden="1"/>
    </xf>
    <xf numFmtId="0" fontId="10" fillId="2" borderId="35" xfId="0" applyFont="1" applyFill="1" applyBorder="1" applyAlignment="1" applyProtection="1">
      <alignment horizontal="left"/>
      <protection hidden="1"/>
    </xf>
    <xf numFmtId="1" fontId="38" fillId="2" borderId="7" xfId="0" applyNumberFormat="1" applyFont="1" applyFill="1" applyBorder="1" applyAlignment="1" applyProtection="1">
      <alignment horizontal="center"/>
      <protection locked="0" hidden="1"/>
    </xf>
    <xf numFmtId="1" fontId="38" fillId="2" borderId="23" xfId="0" applyNumberFormat="1" applyFont="1" applyFill="1" applyBorder="1" applyAlignment="1" applyProtection="1">
      <alignment horizontal="center"/>
      <protection locked="0" hidden="1"/>
    </xf>
    <xf numFmtId="1" fontId="38" fillId="2" borderId="8" xfId="0" applyNumberFormat="1" applyFont="1" applyFill="1" applyBorder="1" applyAlignment="1" applyProtection="1">
      <alignment horizontal="center"/>
      <protection locked="0" hidden="1"/>
    </xf>
    <xf numFmtId="0" fontId="10" fillId="2" borderId="37" xfId="0" applyFont="1" applyFill="1" applyBorder="1" applyAlignment="1" applyProtection="1">
      <alignment horizontal="left"/>
      <protection hidden="1"/>
    </xf>
    <xf numFmtId="4" fontId="38" fillId="2" borderId="36" xfId="0" applyNumberFormat="1" applyFont="1" applyFill="1" applyBorder="1" applyAlignment="1" applyProtection="1">
      <alignment horizontal="center"/>
      <protection locked="0" hidden="1"/>
    </xf>
    <xf numFmtId="4" fontId="38" fillId="2" borderId="38" xfId="0" applyNumberFormat="1" applyFont="1" applyFill="1" applyBorder="1" applyAlignment="1" applyProtection="1">
      <alignment horizontal="center"/>
      <protection locked="0" hidden="1"/>
    </xf>
    <xf numFmtId="49" fontId="42" fillId="0" borderId="0" xfId="0" applyNumberFormat="1" applyFont="1" applyAlignment="1" applyProtection="1">
      <alignment horizontal="justify" vertical="center" wrapText="1"/>
      <protection locked="0"/>
    </xf>
    <xf numFmtId="2" fontId="37" fillId="2" borderId="0" xfId="0" applyNumberFormat="1" applyFont="1" applyFill="1" applyAlignment="1" applyProtection="1">
      <alignment horizontal="center"/>
      <protection hidden="1"/>
    </xf>
    <xf numFmtId="49" fontId="42" fillId="0" borderId="11" xfId="0" applyNumberFormat="1" applyFont="1" applyBorder="1" applyAlignment="1" applyProtection="1">
      <alignment horizontal="center" vertical="center" wrapText="1"/>
      <protection locked="0"/>
    </xf>
    <xf numFmtId="49" fontId="42" fillId="0" borderId="17" xfId="0" applyNumberFormat="1" applyFont="1" applyBorder="1" applyAlignment="1" applyProtection="1">
      <alignment horizontal="center" vertical="center" wrapText="1"/>
      <protection locked="0"/>
    </xf>
    <xf numFmtId="49" fontId="42" fillId="0" borderId="14" xfId="0" applyNumberFormat="1" applyFont="1" applyBorder="1" applyAlignment="1" applyProtection="1">
      <alignment horizontal="center" vertical="center" wrapText="1"/>
      <protection locked="0"/>
    </xf>
    <xf numFmtId="0" fontId="16" fillId="2" borderId="0" xfId="0" applyFont="1" applyFill="1" applyAlignment="1" applyProtection="1">
      <alignment horizontal="left" vertical="center" wrapText="1" readingOrder="1"/>
      <protection hidden="1"/>
    </xf>
    <xf numFmtId="164" fontId="15" fillId="2" borderId="0" xfId="0" applyNumberFormat="1" applyFont="1" applyFill="1" applyAlignment="1">
      <alignment horizontal="center" wrapText="1"/>
    </xf>
    <xf numFmtId="3" fontId="15" fillId="2" borderId="0" xfId="0" applyNumberFormat="1" applyFont="1" applyFill="1" applyAlignment="1">
      <alignment horizontal="center" wrapText="1"/>
    </xf>
    <xf numFmtId="0" fontId="41" fillId="0" borderId="0" xfId="0" applyFont="1" applyAlignment="1">
      <alignment horizontal="justify" vertical="center" wrapText="1"/>
    </xf>
    <xf numFmtId="3" fontId="37" fillId="2" borderId="0" xfId="0" applyNumberFormat="1" applyFont="1" applyFill="1" applyAlignment="1" applyProtection="1">
      <alignment horizontal="center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0" fontId="10" fillId="2" borderId="39" xfId="0" applyFont="1" applyFill="1" applyBorder="1" applyAlignment="1" applyProtection="1">
      <alignment horizontal="left"/>
      <protection hidden="1"/>
    </xf>
    <xf numFmtId="0" fontId="1" fillId="2" borderId="2" xfId="0" applyFont="1" applyFill="1" applyBorder="1" applyAlignment="1" applyProtection="1">
      <alignment horizontal="center"/>
      <protection locked="0" hidden="1"/>
    </xf>
    <xf numFmtId="0" fontId="1" fillId="2" borderId="40" xfId="0" applyFont="1" applyFill="1" applyBorder="1" applyAlignment="1" applyProtection="1">
      <alignment horizontal="center"/>
      <protection locked="0" hidden="1"/>
    </xf>
    <xf numFmtId="0" fontId="1" fillId="2" borderId="39" xfId="0" applyFont="1" applyFill="1" applyBorder="1" applyAlignment="1" applyProtection="1">
      <alignment horizontal="center"/>
      <protection locked="0" hidden="1"/>
    </xf>
    <xf numFmtId="3" fontId="38" fillId="2" borderId="36" xfId="0" applyNumberFormat="1" applyFont="1" applyFill="1" applyBorder="1" applyAlignment="1" applyProtection="1">
      <alignment horizontal="center"/>
      <protection locked="0" hidden="1"/>
    </xf>
    <xf numFmtId="3" fontId="38" fillId="2" borderId="38" xfId="0" applyNumberFormat="1" applyFont="1" applyFill="1" applyBorder="1" applyAlignment="1" applyProtection="1">
      <alignment horizontal="center"/>
      <protection locked="0" hidden="1"/>
    </xf>
    <xf numFmtId="49" fontId="38" fillId="2" borderId="29" xfId="0" applyNumberFormat="1" applyFont="1" applyFill="1" applyBorder="1" applyAlignment="1" applyProtection="1">
      <alignment horizontal="center"/>
      <protection locked="0" hidden="1"/>
    </xf>
    <xf numFmtId="49" fontId="38" fillId="2" borderId="27" xfId="0" applyNumberFormat="1" applyFont="1" applyFill="1" applyBorder="1" applyAlignment="1" applyProtection="1">
      <alignment horizontal="center"/>
      <protection locked="0" hidden="1"/>
    </xf>
    <xf numFmtId="0" fontId="24" fillId="2" borderId="0" xfId="0" applyFont="1" applyFill="1" applyAlignment="1" applyProtection="1">
      <alignment horizontal="left" wrapText="1"/>
      <protection hidden="1"/>
    </xf>
    <xf numFmtId="0" fontId="5" fillId="2" borderId="0" xfId="0" applyFont="1" applyFill="1" applyAlignment="1" applyProtection="1">
      <alignment horizontal="justify" wrapText="1"/>
      <protection hidden="1"/>
    </xf>
    <xf numFmtId="0" fontId="43" fillId="0" borderId="0" xfId="0" applyFont="1" applyAlignment="1">
      <alignment horizontal="left" vertical="center" wrapText="1"/>
    </xf>
    <xf numFmtId="0" fontId="42" fillId="0" borderId="0" xfId="0" applyFont="1" applyAlignment="1">
      <alignment horizontal="justify" vertical="center" wrapText="1"/>
    </xf>
    <xf numFmtId="0" fontId="41" fillId="0" borderId="0" xfId="0" applyFont="1" applyAlignment="1">
      <alignment horizontal="center" vertical="center" wrapText="1"/>
    </xf>
    <xf numFmtId="0" fontId="43" fillId="0" borderId="13" xfId="0" applyFont="1" applyBorder="1" applyAlignment="1">
      <alignment horizontal="justify" vertical="center" wrapText="1"/>
    </xf>
    <xf numFmtId="0" fontId="42" fillId="0" borderId="11" xfId="0" applyFont="1" applyBorder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49" fontId="42" fillId="0" borderId="11" xfId="0" applyNumberFormat="1" applyFont="1" applyBorder="1" applyAlignment="1">
      <alignment horizontal="left" vertical="center" wrapText="1"/>
    </xf>
    <xf numFmtId="49" fontId="42" fillId="0" borderId="17" xfId="0" applyNumberFormat="1" applyFont="1" applyBorder="1" applyAlignment="1">
      <alignment horizontal="left" vertical="center" wrapText="1"/>
    </xf>
    <xf numFmtId="49" fontId="42" fillId="0" borderId="14" xfId="0" applyNumberFormat="1" applyFont="1" applyBorder="1" applyAlignment="1">
      <alignment horizontal="left" vertical="center" wrapText="1"/>
    </xf>
    <xf numFmtId="14" fontId="21" fillId="2" borderId="0" xfId="0" applyNumberFormat="1" applyFont="1" applyFill="1" applyAlignment="1">
      <alignment horizontal="center" vertical="top" wrapText="1"/>
    </xf>
    <xf numFmtId="0" fontId="21" fillId="2" borderId="31" xfId="0" applyFont="1" applyFill="1" applyBorder="1" applyAlignment="1">
      <alignment horizontal="center" vertical="top" wrapText="1"/>
    </xf>
    <xf numFmtId="0" fontId="42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justify" vertical="center" wrapText="1"/>
    </xf>
    <xf numFmtId="0" fontId="36" fillId="2" borderId="0" xfId="0" applyFont="1" applyFill="1" applyAlignment="1" applyProtection="1">
      <alignment horizontal="left" vertical="center" wrapText="1" readingOrder="1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40" fillId="2" borderId="0" xfId="0" applyFont="1" applyFill="1" applyAlignment="1" applyProtection="1">
      <alignment horizontal="justify" vertical="center" wrapText="1" readingOrder="1"/>
      <protection hidden="1"/>
    </xf>
    <xf numFmtId="0" fontId="35" fillId="2" borderId="0" xfId="0" applyFont="1" applyFill="1" applyAlignment="1" applyProtection="1">
      <alignment horizontal="justify" vertical="center" wrapText="1" readingOrder="1"/>
      <protection hidden="1"/>
    </xf>
    <xf numFmtId="0" fontId="35" fillId="2" borderId="0" xfId="0" applyFont="1" applyFill="1" applyAlignment="1" applyProtection="1">
      <alignment horizontal="left" vertical="center" wrapText="1" readingOrder="1"/>
      <protection hidden="1"/>
    </xf>
    <xf numFmtId="14" fontId="15" fillId="2" borderId="0" xfId="0" applyNumberFormat="1" applyFont="1" applyFill="1" applyAlignment="1" applyProtection="1">
      <alignment horizontal="center"/>
      <protection hidden="1"/>
    </xf>
    <xf numFmtId="0" fontId="20" fillId="2" borderId="0" xfId="0" applyFont="1" applyFill="1" applyAlignment="1" applyProtection="1">
      <alignment horizontal="justify" vertical="center" wrapText="1" readingOrder="1"/>
      <protection hidden="1"/>
    </xf>
    <xf numFmtId="0" fontId="21" fillId="2" borderId="0" xfId="0" applyFont="1" applyFill="1" applyAlignment="1">
      <alignment horizontal="center" vertical="top" wrapText="1"/>
    </xf>
    <xf numFmtId="3" fontId="37" fillId="2" borderId="15" xfId="0" applyNumberFormat="1" applyFont="1" applyFill="1" applyBorder="1" applyAlignment="1" applyProtection="1">
      <alignment horizontal="center"/>
      <protection hidden="1"/>
    </xf>
    <xf numFmtId="4" fontId="10" fillId="3" borderId="20" xfId="0" applyNumberFormat="1" applyFont="1" applyFill="1" applyBorder="1" applyAlignment="1" applyProtection="1">
      <alignment horizontal="center"/>
      <protection hidden="1"/>
    </xf>
    <xf numFmtId="4" fontId="10" fillId="3" borderId="16" xfId="0" applyNumberFormat="1" applyFont="1" applyFill="1" applyBorder="1" applyAlignment="1" applyProtection="1">
      <alignment horizontal="center"/>
      <protection hidden="1"/>
    </xf>
    <xf numFmtId="4" fontId="10" fillId="3" borderId="30" xfId="0" applyNumberFormat="1" applyFont="1" applyFill="1" applyBorder="1" applyAlignment="1" applyProtection="1">
      <alignment horizontal="center"/>
      <protection hidden="1"/>
    </xf>
    <xf numFmtId="0" fontId="5" fillId="2" borderId="2" xfId="0" applyFont="1" applyFill="1" applyBorder="1" applyAlignment="1" applyProtection="1">
      <alignment horizontal="center"/>
      <protection locked="0" hidden="1"/>
    </xf>
    <xf numFmtId="0" fontId="5" fillId="2" borderId="40" xfId="0" applyFont="1" applyFill="1" applyBorder="1" applyAlignment="1" applyProtection="1">
      <alignment horizontal="center"/>
      <protection locked="0" hidden="1"/>
    </xf>
    <xf numFmtId="0" fontId="5" fillId="2" borderId="39" xfId="0" applyFont="1" applyFill="1" applyBorder="1" applyAlignment="1" applyProtection="1">
      <alignment horizontal="center"/>
      <protection locked="0" hidden="1"/>
    </xf>
    <xf numFmtId="0" fontId="10" fillId="2" borderId="0" xfId="0" applyFont="1" applyFill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left"/>
      <protection hidden="1"/>
    </xf>
    <xf numFmtId="0" fontId="10" fillId="2" borderId="10" xfId="0" applyFont="1" applyFill="1" applyBorder="1" applyAlignment="1" applyProtection="1">
      <alignment horizontal="center" vertical="center"/>
      <protection hidden="1"/>
    </xf>
    <xf numFmtId="0" fontId="10" fillId="2" borderId="15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justify" vertical="center" wrapText="1"/>
      <protection hidden="1"/>
    </xf>
    <xf numFmtId="49" fontId="42" fillId="0" borderId="0" xfId="0" applyNumberFormat="1" applyFont="1" applyAlignment="1">
      <alignment horizontal="justify" vertical="center" wrapText="1"/>
    </xf>
    <xf numFmtId="49" fontId="21" fillId="2" borderId="0" xfId="0" applyNumberFormat="1" applyFont="1" applyFill="1" applyAlignment="1" applyProtection="1">
      <alignment horizontal="left" vertical="top" wrapText="1"/>
      <protection locked="0" hidden="1"/>
    </xf>
    <xf numFmtId="2" fontId="21" fillId="2" borderId="0" xfId="0" applyNumberFormat="1" applyFont="1" applyFill="1" applyAlignment="1" applyProtection="1">
      <alignment horizontal="left" vertical="top" wrapText="1"/>
      <protection locked="0" hidden="1"/>
    </xf>
    <xf numFmtId="14" fontId="38" fillId="2" borderId="0" xfId="0" applyNumberFormat="1" applyFont="1" applyFill="1" applyAlignment="1" applyProtection="1">
      <alignment horizontal="center"/>
      <protection hidden="1"/>
    </xf>
    <xf numFmtId="4" fontId="0" fillId="2" borderId="11" xfId="0" applyNumberFormat="1" applyFill="1" applyBorder="1" applyAlignment="1" applyProtection="1">
      <alignment horizontal="center"/>
      <protection hidden="1"/>
    </xf>
    <xf numFmtId="4" fontId="0" fillId="2" borderId="17" xfId="0" applyNumberFormat="1" applyFill="1" applyBorder="1" applyAlignment="1" applyProtection="1">
      <alignment horizontal="center"/>
      <protection hidden="1"/>
    </xf>
    <xf numFmtId="4" fontId="0" fillId="2" borderId="14" xfId="0" applyNumberFormat="1" applyFill="1" applyBorder="1" applyAlignment="1" applyProtection="1">
      <alignment horizontal="center"/>
      <protection hidden="1"/>
    </xf>
    <xf numFmtId="0" fontId="0" fillId="2" borderId="21" xfId="0" applyFill="1" applyBorder="1" applyAlignment="1" applyProtection="1">
      <alignment horizontal="center" vertical="distributed"/>
      <protection hidden="1"/>
    </xf>
    <xf numFmtId="0" fontId="0" fillId="2" borderId="22" xfId="0" applyFill="1" applyBorder="1" applyAlignment="1" applyProtection="1">
      <alignment horizontal="center" vertical="distributed"/>
      <protection hidden="1"/>
    </xf>
    <xf numFmtId="14" fontId="37" fillId="5" borderId="0" xfId="0" applyNumberFormat="1" applyFont="1" applyFill="1" applyAlignment="1" applyProtection="1">
      <alignment horizontal="center"/>
      <protection hidden="1"/>
    </xf>
    <xf numFmtId="0" fontId="37" fillId="5" borderId="0" xfId="0" applyFont="1" applyFill="1" applyAlignment="1" applyProtection="1">
      <alignment horizontal="center"/>
      <protection hidden="1"/>
    </xf>
    <xf numFmtId="4" fontId="37" fillId="5" borderId="0" xfId="0" applyNumberFormat="1" applyFont="1" applyFill="1" applyAlignment="1" applyProtection="1">
      <alignment horizontal="center"/>
      <protection hidden="1"/>
    </xf>
    <xf numFmtId="0" fontId="10" fillId="2" borderId="24" xfId="0" applyFont="1" applyFill="1" applyBorder="1" applyAlignment="1" applyProtection="1">
      <alignment horizontal="left" vertical="distributed"/>
      <protection hidden="1"/>
    </xf>
    <xf numFmtId="0" fontId="10" fillId="2" borderId="25" xfId="0" applyFont="1" applyFill="1" applyBorder="1" applyAlignment="1" applyProtection="1">
      <alignment horizontal="left" vertical="distributed"/>
      <protection hidden="1"/>
    </xf>
    <xf numFmtId="0" fontId="70" fillId="0" borderId="6" xfId="0" applyFont="1" applyBorder="1" applyAlignment="1" applyProtection="1">
      <alignment horizontal="left" vertical="top"/>
      <protection hidden="1"/>
    </xf>
    <xf numFmtId="0" fontId="58" fillId="0" borderId="11" xfId="0" applyFont="1" applyBorder="1" applyAlignment="1" applyProtection="1">
      <alignment horizontal="justify" vertical="top" wrapText="1"/>
      <protection hidden="1"/>
    </xf>
    <xf numFmtId="0" fontId="58" fillId="0" borderId="17" xfId="0" applyFont="1" applyBorder="1" applyAlignment="1" applyProtection="1">
      <alignment horizontal="justify" vertical="top" wrapText="1"/>
      <protection hidden="1"/>
    </xf>
    <xf numFmtId="0" fontId="0" fillId="0" borderId="14" xfId="0" applyBorder="1" applyAlignment="1" applyProtection="1">
      <alignment horizontal="justify" vertical="top" wrapText="1"/>
      <protection hidden="1"/>
    </xf>
    <xf numFmtId="0" fontId="71" fillId="0" borderId="16" xfId="0" applyFont="1" applyBorder="1" applyAlignment="1" applyProtection="1">
      <alignment horizontal="center"/>
      <protection hidden="1"/>
    </xf>
    <xf numFmtId="0" fontId="71" fillId="0" borderId="0" xfId="0" applyFont="1" applyAlignment="1" applyProtection="1">
      <alignment horizontal="center"/>
      <protection hidden="1"/>
    </xf>
    <xf numFmtId="0" fontId="70" fillId="0" borderId="6" xfId="0" applyFont="1" applyBorder="1" applyAlignment="1" applyProtection="1">
      <alignment horizontal="center"/>
      <protection hidden="1"/>
    </xf>
    <xf numFmtId="0" fontId="0" fillId="0" borderId="17" xfId="0" applyBorder="1" applyAlignment="1" applyProtection="1">
      <alignment horizontal="justify" vertical="top" wrapText="1"/>
      <protection hidden="1"/>
    </xf>
    <xf numFmtId="0" fontId="70" fillId="0" borderId="21" xfId="0" applyFont="1" applyBorder="1" applyAlignment="1" applyProtection="1">
      <alignment horizontal="center" vertical="top"/>
      <protection hidden="1"/>
    </xf>
    <xf numFmtId="0" fontId="70" fillId="0" borderId="22" xfId="0" applyFont="1" applyBorder="1" applyAlignment="1" applyProtection="1">
      <alignment horizontal="center" vertical="top"/>
      <protection hidden="1"/>
    </xf>
    <xf numFmtId="0" fontId="58" fillId="0" borderId="12" xfId="0" applyFont="1" applyBorder="1" applyAlignment="1" applyProtection="1">
      <alignment horizontal="justify" vertical="top" wrapText="1"/>
      <protection hidden="1"/>
    </xf>
    <xf numFmtId="0" fontId="58" fillId="0" borderId="13" xfId="0" applyFont="1" applyBorder="1" applyAlignment="1" applyProtection="1">
      <alignment horizontal="justify" vertical="top" wrapText="1"/>
      <protection hidden="1"/>
    </xf>
    <xf numFmtId="0" fontId="0" fillId="0" borderId="13" xfId="0" applyBorder="1" applyAlignment="1" applyProtection="1">
      <alignment horizontal="justify" vertical="top" wrapText="1"/>
      <protection hidden="1"/>
    </xf>
    <xf numFmtId="0" fontId="0" fillId="0" borderId="20" xfId="0" applyBorder="1" applyAlignment="1" applyProtection="1">
      <alignment horizontal="justify" vertical="top" wrapText="1"/>
      <protection hidden="1"/>
    </xf>
    <xf numFmtId="0" fontId="0" fillId="0" borderId="16" xfId="0" applyBorder="1" applyAlignment="1" applyProtection="1">
      <alignment horizontal="justify" vertical="top" wrapText="1"/>
      <protection hidden="1"/>
    </xf>
    <xf numFmtId="0" fontId="0" fillId="0" borderId="18" xfId="0" applyBorder="1" applyAlignment="1" applyProtection="1">
      <alignment horizontal="justify" vertical="top" wrapText="1"/>
      <protection hidden="1"/>
    </xf>
    <xf numFmtId="0" fontId="0" fillId="0" borderId="30" xfId="0" applyBorder="1" applyAlignment="1" applyProtection="1">
      <alignment horizontal="justify" vertical="top" wrapText="1"/>
      <protection hidden="1"/>
    </xf>
    <xf numFmtId="14" fontId="38" fillId="2" borderId="17" xfId="0" applyNumberFormat="1" applyFont="1" applyFill="1" applyBorder="1" applyAlignment="1" applyProtection="1">
      <alignment horizontal="center"/>
      <protection locked="0" hidden="1"/>
    </xf>
    <xf numFmtId="1" fontId="38" fillId="8" borderId="24" xfId="0" applyNumberFormat="1" applyFont="1" applyFill="1" applyBorder="1" applyAlignment="1" applyProtection="1">
      <alignment horizontal="center"/>
      <protection locked="0" hidden="1"/>
    </xf>
    <xf numFmtId="1" fontId="38" fillId="8" borderId="17" xfId="0" applyNumberFormat="1" applyFont="1" applyFill="1" applyBorder="1" applyAlignment="1" applyProtection="1">
      <alignment horizontal="center"/>
      <protection locked="0" hidden="1"/>
    </xf>
    <xf numFmtId="1" fontId="38" fillId="8" borderId="14" xfId="0" applyNumberFormat="1" applyFont="1" applyFill="1" applyBorder="1" applyAlignment="1" applyProtection="1">
      <alignment horizontal="center"/>
      <protection locked="0" hidden="1"/>
    </xf>
    <xf numFmtId="0" fontId="58" fillId="0" borderId="20" xfId="0" applyFont="1" applyBorder="1" applyAlignment="1" applyProtection="1">
      <alignment horizontal="justify" vertical="top" wrapText="1"/>
      <protection hidden="1"/>
    </xf>
    <xf numFmtId="0" fontId="58" fillId="0" borderId="16" xfId="0" applyFont="1" applyBorder="1" applyAlignment="1" applyProtection="1">
      <alignment horizontal="justify" vertical="top" wrapText="1"/>
      <protection hidden="1"/>
    </xf>
    <xf numFmtId="0" fontId="58" fillId="0" borderId="30" xfId="0" applyFont="1" applyBorder="1" applyAlignment="1" applyProtection="1">
      <alignment horizontal="justify" vertical="top" wrapText="1"/>
      <protection hidden="1"/>
    </xf>
    <xf numFmtId="0" fontId="70" fillId="0" borderId="0" xfId="0" applyFont="1" applyAlignment="1" applyProtection="1">
      <alignment horizontal="left" vertical="top"/>
      <protection hidden="1"/>
    </xf>
    <xf numFmtId="0" fontId="70" fillId="0" borderId="15" xfId="0" applyFont="1" applyBorder="1" applyAlignment="1" applyProtection="1">
      <alignment horizontal="left" vertical="top"/>
      <protection hidden="1"/>
    </xf>
    <xf numFmtId="0" fontId="70" fillId="0" borderId="16" xfId="0" applyFont="1" applyBorder="1" applyProtection="1">
      <protection hidden="1"/>
    </xf>
    <xf numFmtId="0" fontId="38" fillId="2" borderId="17" xfId="0" applyFont="1" applyFill="1" applyBorder="1" applyAlignment="1" applyProtection="1">
      <alignment horizontal="center"/>
      <protection locked="0" hidden="1"/>
    </xf>
    <xf numFmtId="0" fontId="38" fillId="8" borderId="24" xfId="0" applyFont="1" applyFill="1" applyBorder="1" applyAlignment="1" applyProtection="1">
      <alignment horizontal="center"/>
      <protection locked="0" hidden="1"/>
    </xf>
    <xf numFmtId="0" fontId="38" fillId="8" borderId="17" xfId="0" applyFont="1" applyFill="1" applyBorder="1" applyAlignment="1" applyProtection="1">
      <alignment horizontal="center"/>
      <protection locked="0" hidden="1"/>
    </xf>
    <xf numFmtId="0" fontId="38" fillId="8" borderId="14" xfId="0" applyFont="1" applyFill="1" applyBorder="1" applyAlignment="1" applyProtection="1">
      <alignment horizontal="center"/>
      <protection locked="0" hidden="1"/>
    </xf>
    <xf numFmtId="49" fontId="0" fillId="8" borderId="26" xfId="0" applyNumberFormat="1" applyFill="1" applyBorder="1" applyAlignment="1" applyProtection="1">
      <alignment horizontal="center"/>
      <protection locked="0" hidden="1"/>
    </xf>
    <xf numFmtId="49" fontId="0" fillId="8" borderId="29" xfId="0" applyNumberFormat="1" applyFill="1" applyBorder="1" applyAlignment="1" applyProtection="1">
      <alignment horizontal="center"/>
      <protection locked="0" hidden="1"/>
    </xf>
    <xf numFmtId="49" fontId="0" fillId="8" borderId="27" xfId="0" applyNumberFormat="1" applyFill="1" applyBorder="1" applyAlignment="1" applyProtection="1">
      <alignment horizontal="center"/>
      <protection locked="0" hidden="1"/>
    </xf>
    <xf numFmtId="0" fontId="70" fillId="0" borderId="11" xfId="0" applyFont="1" applyBorder="1" applyAlignment="1" applyProtection="1">
      <alignment horizontal="left" vertical="top"/>
      <protection hidden="1"/>
    </xf>
    <xf numFmtId="0" fontId="70" fillId="0" borderId="17" xfId="0" applyFont="1" applyBorder="1" applyAlignment="1" applyProtection="1">
      <alignment horizontal="left" vertical="top"/>
      <protection hidden="1"/>
    </xf>
    <xf numFmtId="0" fontId="70" fillId="0" borderId="14" xfId="0" applyFont="1" applyBorder="1" applyAlignment="1" applyProtection="1">
      <alignment horizontal="left" vertical="top"/>
      <protection hidden="1"/>
    </xf>
    <xf numFmtId="0" fontId="58" fillId="0" borderId="6" xfId="0" applyFont="1" applyBorder="1" applyAlignment="1" applyProtection="1">
      <alignment horizontal="justify" vertical="top" wrapText="1"/>
      <protection hidden="1"/>
    </xf>
    <xf numFmtId="0" fontId="70" fillId="0" borderId="21" xfId="0" applyFont="1" applyBorder="1" applyAlignment="1" applyProtection="1">
      <alignment horizontal="center"/>
      <protection hidden="1"/>
    </xf>
    <xf numFmtId="0" fontId="70" fillId="0" borderId="13" xfId="0" applyFont="1" applyBorder="1" applyAlignment="1" applyProtection="1">
      <alignment horizontal="left" vertical="top"/>
      <protection hidden="1"/>
    </xf>
    <xf numFmtId="0" fontId="70" fillId="0" borderId="18" xfId="0" applyFont="1" applyBorder="1" applyAlignment="1" applyProtection="1">
      <alignment horizontal="left" vertical="top"/>
      <protection hidden="1"/>
    </xf>
    <xf numFmtId="0" fontId="70" fillId="0" borderId="13" xfId="0" applyFont="1" applyBorder="1" applyAlignment="1" applyProtection="1">
      <alignment vertical="top" wrapText="1"/>
      <protection hidden="1"/>
    </xf>
    <xf numFmtId="0" fontId="0" fillId="0" borderId="13" xfId="0" applyBorder="1" applyAlignment="1" applyProtection="1">
      <alignment vertical="top" wrapText="1"/>
      <protection hidden="1"/>
    </xf>
    <xf numFmtId="0" fontId="0" fillId="0" borderId="18" xfId="0" applyBorder="1" applyAlignment="1" applyProtection="1">
      <alignment vertical="top" wrapText="1"/>
      <protection hidden="1"/>
    </xf>
    <xf numFmtId="0" fontId="58" fillId="0" borderId="10" xfId="0" applyFont="1" applyBorder="1" applyAlignment="1" applyProtection="1">
      <alignment horizontal="justify" vertical="top" wrapText="1"/>
      <protection hidden="1"/>
    </xf>
    <xf numFmtId="0" fontId="58" fillId="0" borderId="0" xfId="0" applyFont="1" applyAlignment="1" applyProtection="1">
      <alignment horizontal="justify" vertical="top" wrapText="1"/>
      <protection hidden="1"/>
    </xf>
    <xf numFmtId="0" fontId="58" fillId="0" borderId="15" xfId="0" applyFont="1" applyBorder="1" applyAlignment="1" applyProtection="1">
      <alignment horizontal="justify" vertical="top" wrapText="1"/>
      <protection hidden="1"/>
    </xf>
    <xf numFmtId="0" fontId="10" fillId="0" borderId="24" xfId="0" applyFont="1" applyBorder="1" applyAlignment="1" applyProtection="1">
      <alignment horizontal="center" vertical="center"/>
      <protection locked="0" hidden="1"/>
    </xf>
    <xf numFmtId="0" fontId="10" fillId="0" borderId="17" xfId="0" applyFont="1" applyBorder="1" applyAlignment="1" applyProtection="1">
      <alignment horizontal="center" vertical="center"/>
      <protection locked="0" hidden="1"/>
    </xf>
    <xf numFmtId="0" fontId="10" fillId="0" borderId="25" xfId="0" applyFont="1" applyBorder="1" applyAlignment="1" applyProtection="1">
      <alignment horizontal="center" vertical="center"/>
      <protection locked="0" hidden="1"/>
    </xf>
    <xf numFmtId="0" fontId="76" fillId="0" borderId="0" xfId="0" applyFont="1" applyAlignment="1" applyProtection="1">
      <alignment horizontal="center"/>
      <protection hidden="1"/>
    </xf>
    <xf numFmtId="4" fontId="38" fillId="8" borderId="26" xfId="0" applyNumberFormat="1" applyFont="1" applyFill="1" applyBorder="1" applyAlignment="1" applyProtection="1">
      <alignment horizontal="center"/>
      <protection locked="0" hidden="1"/>
    </xf>
    <xf numFmtId="4" fontId="38" fillId="8" borderId="29" xfId="0" applyNumberFormat="1" applyFont="1" applyFill="1" applyBorder="1" applyAlignment="1" applyProtection="1">
      <alignment horizontal="center"/>
      <protection locked="0" hidden="1"/>
    </xf>
    <xf numFmtId="4" fontId="38" fillId="8" borderId="28" xfId="0" applyNumberFormat="1" applyFont="1" applyFill="1" applyBorder="1" applyAlignment="1" applyProtection="1">
      <alignment horizontal="center"/>
      <protection locked="0" hidden="1"/>
    </xf>
    <xf numFmtId="49" fontId="71" fillId="6" borderId="0" xfId="0" applyNumberFormat="1" applyFont="1" applyFill="1" applyAlignment="1" applyProtection="1">
      <alignment horizontal="center" vertical="center"/>
      <protection hidden="1"/>
    </xf>
    <xf numFmtId="0" fontId="71" fillId="6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/>
      <protection hidden="1"/>
    </xf>
    <xf numFmtId="49" fontId="71" fillId="6" borderId="0" xfId="0" applyNumberFormat="1" applyFont="1" applyFill="1" applyAlignment="1" applyProtection="1">
      <alignment horizontal="center"/>
      <protection hidden="1"/>
    </xf>
    <xf numFmtId="0" fontId="70" fillId="0" borderId="20" xfId="0" applyFont="1" applyBorder="1" applyAlignment="1" applyProtection="1">
      <alignment horizontal="left" vertical="top" wrapText="1"/>
      <protection hidden="1"/>
    </xf>
    <xf numFmtId="0" fontId="70" fillId="0" borderId="16" xfId="0" applyFont="1" applyBorder="1" applyAlignment="1" applyProtection="1">
      <alignment horizontal="left" vertical="top" wrapText="1"/>
      <protection hidden="1"/>
    </xf>
    <xf numFmtId="0" fontId="70" fillId="0" borderId="30" xfId="0" applyFont="1" applyBorder="1" applyAlignment="1" applyProtection="1">
      <alignment horizontal="left" vertical="top" wrapText="1"/>
      <protection hidden="1"/>
    </xf>
    <xf numFmtId="3" fontId="71" fillId="2" borderId="6" xfId="0" applyNumberFormat="1" applyFont="1" applyFill="1" applyBorder="1" applyAlignment="1" applyProtection="1">
      <alignment horizontal="center" wrapText="1"/>
      <protection hidden="1"/>
    </xf>
    <xf numFmtId="0" fontId="71" fillId="2" borderId="6" xfId="0" applyFont="1" applyFill="1" applyBorder="1" applyAlignment="1" applyProtection="1">
      <alignment horizontal="center"/>
      <protection hidden="1"/>
    </xf>
    <xf numFmtId="4" fontId="69" fillId="2" borderId="16" xfId="0" applyNumberFormat="1" applyFont="1" applyFill="1" applyBorder="1" applyAlignment="1" applyProtection="1">
      <alignment horizontal="center"/>
      <protection hidden="1"/>
    </xf>
    <xf numFmtId="4" fontId="9" fillId="2" borderId="10" xfId="0" applyNumberFormat="1" applyFont="1" applyFill="1" applyBorder="1" applyAlignment="1" applyProtection="1">
      <alignment horizontal="center" wrapText="1"/>
      <protection hidden="1"/>
    </xf>
    <xf numFmtId="4" fontId="9" fillId="2" borderId="0" xfId="0" applyNumberFormat="1" applyFont="1" applyFill="1" applyAlignment="1" applyProtection="1">
      <alignment horizontal="center" wrapText="1"/>
      <protection hidden="1"/>
    </xf>
    <xf numFmtId="0" fontId="10" fillId="2" borderId="17" xfId="0" applyFont="1" applyFill="1" applyBorder="1" applyAlignment="1" applyProtection="1">
      <alignment horizontal="center" vertical="center" wrapText="1"/>
      <protection hidden="1"/>
    </xf>
    <xf numFmtId="4" fontId="10" fillId="3" borderId="11" xfId="0" applyNumberFormat="1" applyFont="1" applyFill="1" applyBorder="1" applyAlignment="1" applyProtection="1">
      <alignment horizontal="center" vertical="center" wrapText="1"/>
      <protection hidden="1"/>
    </xf>
    <xf numFmtId="4" fontId="10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10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22" xfId="0" applyFont="1" applyBorder="1" applyAlignment="1" applyProtection="1">
      <alignment horizontal="left" vertical="top"/>
      <protection hidden="1"/>
    </xf>
    <xf numFmtId="0" fontId="70" fillId="0" borderId="13" xfId="0" applyFont="1" applyBorder="1" applyAlignment="1" applyProtection="1">
      <alignment horizontal="left" vertical="top" wrapText="1"/>
      <protection hidden="1"/>
    </xf>
    <xf numFmtId="0" fontId="70" fillId="0" borderId="18" xfId="0" applyFont="1" applyBorder="1" applyAlignment="1" applyProtection="1">
      <alignment horizontal="left" vertical="top" wrapText="1"/>
      <protection hidden="1"/>
    </xf>
    <xf numFmtId="0" fontId="58" fillId="0" borderId="10" xfId="0" applyFont="1" applyBorder="1" applyAlignment="1" applyProtection="1">
      <alignment horizontal="left" vertical="top" wrapText="1"/>
      <protection hidden="1"/>
    </xf>
    <xf numFmtId="0" fontId="58" fillId="0" borderId="0" xfId="0" applyFont="1" applyAlignment="1" applyProtection="1">
      <alignment horizontal="left" vertical="top" wrapText="1"/>
      <protection hidden="1"/>
    </xf>
    <xf numFmtId="0" fontId="58" fillId="0" borderId="15" xfId="0" applyFont="1" applyBorder="1" applyAlignment="1" applyProtection="1">
      <alignment horizontal="left" vertical="top" wrapText="1"/>
      <protection hidden="1"/>
    </xf>
    <xf numFmtId="0" fontId="70" fillId="0" borderId="12" xfId="0" applyFont="1" applyBorder="1" applyAlignment="1" applyProtection="1">
      <alignment horizontal="left" vertical="top" wrapText="1"/>
      <protection hidden="1"/>
    </xf>
    <xf numFmtId="4" fontId="10" fillId="3" borderId="11" xfId="0" applyNumberFormat="1" applyFont="1" applyFill="1" applyBorder="1" applyAlignment="1" applyProtection="1">
      <alignment horizontal="center" vertical="center"/>
      <protection hidden="1"/>
    </xf>
    <xf numFmtId="4" fontId="10" fillId="3" borderId="17" xfId="0" applyNumberFormat="1" applyFont="1" applyFill="1" applyBorder="1" applyAlignment="1" applyProtection="1">
      <alignment horizontal="center" vertical="center"/>
      <protection hidden="1"/>
    </xf>
    <xf numFmtId="4" fontId="10" fillId="3" borderId="14" xfId="0" applyNumberFormat="1" applyFont="1" applyFill="1" applyBorder="1" applyAlignment="1" applyProtection="1">
      <alignment horizontal="center" vertical="center"/>
      <protection hidden="1"/>
    </xf>
    <xf numFmtId="0" fontId="21" fillId="0" borderId="11" xfId="1" applyFont="1" applyBorder="1" applyAlignment="1" applyProtection="1">
      <alignment horizontal="justify" vertical="top" wrapText="1"/>
      <protection hidden="1"/>
    </xf>
    <xf numFmtId="0" fontId="21" fillId="0" borderId="17" xfId="1" applyFont="1" applyBorder="1" applyAlignment="1" applyProtection="1">
      <alignment horizontal="justify" vertical="top" wrapText="1"/>
      <protection hidden="1"/>
    </xf>
    <xf numFmtId="0" fontId="21" fillId="0" borderId="14" xfId="1" applyFont="1" applyBorder="1" applyAlignment="1" applyProtection="1">
      <alignment horizontal="justify" vertical="top" wrapText="1"/>
      <protection hidden="1"/>
    </xf>
    <xf numFmtId="0" fontId="21" fillId="0" borderId="11" xfId="1" applyFont="1" applyBorder="1" applyAlignment="1" applyProtection="1">
      <alignment vertical="top"/>
      <protection hidden="1"/>
    </xf>
    <xf numFmtId="0" fontId="21" fillId="0" borderId="17" xfId="1" applyFont="1" applyBorder="1" applyAlignment="1" applyProtection="1">
      <alignment vertical="top"/>
      <protection hidden="1"/>
    </xf>
    <xf numFmtId="0" fontId="21" fillId="0" borderId="14" xfId="1" applyFont="1" applyBorder="1" applyAlignment="1" applyProtection="1">
      <alignment vertical="top"/>
      <protection hidden="1"/>
    </xf>
    <xf numFmtId="0" fontId="21" fillId="0" borderId="0" xfId="1" applyFont="1" applyAlignment="1" applyProtection="1">
      <alignment horizontal="center"/>
      <protection hidden="1"/>
    </xf>
    <xf numFmtId="0" fontId="21" fillId="0" borderId="6" xfId="1" applyFont="1" applyBorder="1" applyAlignment="1" applyProtection="1">
      <alignment vertical="center"/>
      <protection hidden="1"/>
    </xf>
    <xf numFmtId="0" fontId="60" fillId="6" borderId="0" xfId="1" applyFont="1" applyFill="1" applyAlignment="1" applyProtection="1">
      <alignment horizontal="center" vertical="center"/>
      <protection hidden="1"/>
    </xf>
    <xf numFmtId="0" fontId="21" fillId="0" borderId="16" xfId="1" applyFont="1" applyBorder="1" applyProtection="1">
      <protection hidden="1"/>
    </xf>
    <xf numFmtId="0" fontId="21" fillId="0" borderId="6" xfId="1" applyFont="1" applyBorder="1" applyAlignment="1" applyProtection="1">
      <alignment horizontal="left" vertical="top"/>
      <protection hidden="1"/>
    </xf>
    <xf numFmtId="0" fontId="21" fillId="0" borderId="21" xfId="1" applyFont="1" applyBorder="1" applyAlignment="1" applyProtection="1">
      <alignment horizontal="center" vertical="top"/>
      <protection hidden="1"/>
    </xf>
    <xf numFmtId="0" fontId="21" fillId="0" borderId="22" xfId="1" applyFont="1" applyBorder="1" applyAlignment="1" applyProtection="1">
      <alignment horizontal="center" vertical="top"/>
      <protection hidden="1"/>
    </xf>
    <xf numFmtId="0" fontId="21" fillId="0" borderId="12" xfId="1" applyFont="1" applyBorder="1" applyAlignment="1" applyProtection="1">
      <alignment horizontal="justify" vertical="top" wrapText="1"/>
      <protection hidden="1"/>
    </xf>
    <xf numFmtId="0" fontId="21" fillId="0" borderId="13" xfId="1" applyFont="1" applyBorder="1" applyAlignment="1" applyProtection="1">
      <alignment horizontal="justify" vertical="top" wrapText="1"/>
      <protection hidden="1"/>
    </xf>
    <xf numFmtId="0" fontId="21" fillId="0" borderId="18" xfId="1" applyFont="1" applyBorder="1" applyAlignment="1" applyProtection="1">
      <alignment horizontal="justify" vertical="top" wrapText="1"/>
      <protection hidden="1"/>
    </xf>
    <xf numFmtId="0" fontId="77" fillId="0" borderId="20" xfId="1" applyFont="1" applyBorder="1" applyAlignment="1" applyProtection="1">
      <alignment horizontal="justify" vertical="top" wrapText="1"/>
      <protection hidden="1"/>
    </xf>
    <xf numFmtId="0" fontId="77" fillId="0" borderId="16" xfId="1" applyFont="1" applyBorder="1" applyAlignment="1" applyProtection="1">
      <alignment horizontal="justify" vertical="top" wrapText="1"/>
      <protection hidden="1"/>
    </xf>
    <xf numFmtId="0" fontId="77" fillId="0" borderId="30" xfId="1" applyFont="1" applyBorder="1" applyAlignment="1" applyProtection="1">
      <alignment horizontal="justify" vertical="top" wrapText="1"/>
      <protection hidden="1"/>
    </xf>
    <xf numFmtId="0" fontId="21" fillId="0" borderId="0" xfId="1" applyFont="1" applyProtection="1">
      <protection hidden="1"/>
    </xf>
    <xf numFmtId="0" fontId="21" fillId="0" borderId="15" xfId="1" applyFont="1" applyBorder="1" applyProtection="1">
      <protection hidden="1"/>
    </xf>
    <xf numFmtId="0" fontId="21" fillId="0" borderId="20" xfId="1" applyFont="1" applyBorder="1" applyAlignment="1" applyProtection="1">
      <alignment vertical="top" wrapText="1"/>
      <protection hidden="1"/>
    </xf>
    <xf numFmtId="0" fontId="21" fillId="0" borderId="16" xfId="1" applyFont="1" applyBorder="1" applyAlignment="1" applyProtection="1">
      <alignment vertical="top"/>
      <protection hidden="1"/>
    </xf>
    <xf numFmtId="0" fontId="21" fillId="0" borderId="30" xfId="1" applyFont="1" applyBorder="1" applyAlignment="1" applyProtection="1">
      <alignment vertical="top"/>
      <protection hidden="1"/>
    </xf>
    <xf numFmtId="0" fontId="21" fillId="0" borderId="11" xfId="1" applyFont="1" applyBorder="1" applyAlignment="1" applyProtection="1">
      <alignment horizontal="left" vertical="top"/>
      <protection hidden="1"/>
    </xf>
    <xf numFmtId="0" fontId="21" fillId="0" borderId="17" xfId="1" applyFont="1" applyBorder="1" applyAlignment="1" applyProtection="1">
      <alignment horizontal="left" vertical="top"/>
      <protection hidden="1"/>
    </xf>
    <xf numFmtId="0" fontId="21" fillId="0" borderId="14" xfId="1" applyFont="1" applyBorder="1" applyAlignment="1" applyProtection="1">
      <alignment horizontal="left" vertical="top"/>
      <protection hidden="1"/>
    </xf>
    <xf numFmtId="0" fontId="21" fillId="0" borderId="12" xfId="1" applyFont="1" applyBorder="1" applyAlignment="1" applyProtection="1">
      <alignment vertical="top" wrapText="1"/>
      <protection hidden="1"/>
    </xf>
    <xf numFmtId="0" fontId="21" fillId="0" borderId="13" xfId="1" applyFont="1" applyBorder="1" applyAlignment="1" applyProtection="1">
      <alignment vertical="top" wrapText="1"/>
      <protection hidden="1"/>
    </xf>
    <xf numFmtId="0" fontId="21" fillId="0" borderId="18" xfId="1" applyFont="1" applyBorder="1" applyAlignment="1" applyProtection="1">
      <alignment vertical="top" wrapText="1"/>
      <protection hidden="1"/>
    </xf>
    <xf numFmtId="0" fontId="21" fillId="0" borderId="16" xfId="1" applyFont="1" applyBorder="1" applyAlignment="1" applyProtection="1">
      <alignment vertical="top" wrapText="1"/>
      <protection hidden="1"/>
    </xf>
    <xf numFmtId="0" fontId="21" fillId="0" borderId="30" xfId="1" applyFont="1" applyBorder="1" applyAlignment="1" applyProtection="1">
      <alignment vertical="top" wrapText="1"/>
      <protection hidden="1"/>
    </xf>
    <xf numFmtId="0" fontId="21" fillId="0" borderId="12" xfId="1" applyFont="1" applyBorder="1" applyAlignment="1" applyProtection="1">
      <alignment horizontal="left" vertical="top" wrapText="1"/>
      <protection hidden="1"/>
    </xf>
    <xf numFmtId="0" fontId="73" fillId="0" borderId="13" xfId="1" applyFont="1" applyBorder="1" applyAlignment="1" applyProtection="1">
      <alignment vertical="top"/>
      <protection hidden="1"/>
    </xf>
    <xf numFmtId="0" fontId="73" fillId="0" borderId="18" xfId="1" applyFont="1" applyBorder="1" applyAlignment="1" applyProtection="1">
      <alignment vertical="top"/>
      <protection hidden="1"/>
    </xf>
    <xf numFmtId="0" fontId="73" fillId="0" borderId="20" xfId="1" applyFont="1" applyBorder="1" applyAlignment="1" applyProtection="1">
      <alignment vertical="top"/>
      <protection hidden="1"/>
    </xf>
    <xf numFmtId="0" fontId="73" fillId="0" borderId="16" xfId="1" applyFont="1" applyBorder="1" applyAlignment="1" applyProtection="1">
      <alignment vertical="top"/>
      <protection hidden="1"/>
    </xf>
    <xf numFmtId="0" fontId="73" fillId="0" borderId="30" xfId="1" applyFont="1" applyBorder="1" applyAlignment="1" applyProtection="1">
      <alignment vertical="top"/>
      <protection hidden="1"/>
    </xf>
    <xf numFmtId="0" fontId="21" fillId="0" borderId="13" xfId="1" applyFont="1" applyBorder="1" applyProtection="1">
      <protection hidden="1"/>
    </xf>
    <xf numFmtId="0" fontId="21" fillId="0" borderId="18" xfId="1" applyFont="1" applyBorder="1" applyProtection="1">
      <protection hidden="1"/>
    </xf>
    <xf numFmtId="0" fontId="21" fillId="0" borderId="20" xfId="1" applyFont="1" applyBorder="1" applyAlignment="1" applyProtection="1">
      <alignment horizontal="justify" vertical="top" wrapText="1"/>
      <protection hidden="1"/>
    </xf>
    <xf numFmtId="0" fontId="21" fillId="0" borderId="16" xfId="1" applyFont="1" applyBorder="1" applyAlignment="1" applyProtection="1">
      <alignment horizontal="justify" vertical="top" wrapText="1"/>
      <protection hidden="1"/>
    </xf>
    <xf numFmtId="0" fontId="21" fillId="0" borderId="30" xfId="1" applyFont="1" applyBorder="1" applyAlignment="1" applyProtection="1">
      <alignment horizontal="justify" vertical="top" wrapText="1"/>
      <protection hidden="1"/>
    </xf>
    <xf numFmtId="0" fontId="21" fillId="0" borderId="13" xfId="1" applyFont="1" applyBorder="1" applyAlignment="1" applyProtection="1">
      <alignment horizontal="center"/>
      <protection hidden="1"/>
    </xf>
    <xf numFmtId="0" fontId="60" fillId="0" borderId="16" xfId="1" applyFont="1" applyBorder="1" applyAlignment="1" applyProtection="1">
      <alignment horizontal="center"/>
      <protection hidden="1"/>
    </xf>
    <xf numFmtId="0" fontId="21" fillId="0" borderId="6" xfId="1" applyFont="1" applyBorder="1" applyAlignment="1" applyProtection="1">
      <alignment horizontal="center"/>
      <protection hidden="1"/>
    </xf>
    <xf numFmtId="0" fontId="21" fillId="0" borderId="11" xfId="1" applyFont="1" applyBorder="1" applyAlignment="1" applyProtection="1">
      <alignment horizontal="center"/>
      <protection hidden="1"/>
    </xf>
    <xf numFmtId="0" fontId="21" fillId="0" borderId="17" xfId="1" applyFont="1" applyBorder="1" applyAlignment="1" applyProtection="1">
      <alignment horizontal="center"/>
      <protection hidden="1"/>
    </xf>
    <xf numFmtId="0" fontId="21" fillId="0" borderId="14" xfId="1" applyFont="1" applyBorder="1" applyProtection="1">
      <protection hidden="1"/>
    </xf>
    <xf numFmtId="0" fontId="66" fillId="0" borderId="6" xfId="1" applyFont="1" applyBorder="1" applyAlignment="1" applyProtection="1">
      <alignment horizontal="center"/>
      <protection hidden="1"/>
    </xf>
    <xf numFmtId="0" fontId="73" fillId="0" borderId="6" xfId="1" applyFont="1" applyBorder="1" applyAlignment="1" applyProtection="1">
      <alignment horizontal="center"/>
      <protection hidden="1"/>
    </xf>
    <xf numFmtId="0" fontId="57" fillId="0" borderId="6" xfId="1" applyFont="1" applyBorder="1" applyAlignment="1" applyProtection="1">
      <alignment horizontal="center"/>
      <protection hidden="1"/>
    </xf>
    <xf numFmtId="0" fontId="65" fillId="0" borderId="11" xfId="1" applyFont="1" applyBorder="1" applyAlignment="1" applyProtection="1">
      <alignment horizontal="center" vertical="center"/>
      <protection locked="0" hidden="1"/>
    </xf>
    <xf numFmtId="0" fontId="65" fillId="0" borderId="14" xfId="1" applyFont="1" applyBorder="1" applyAlignment="1" applyProtection="1">
      <alignment horizontal="center" vertical="center"/>
      <protection locked="0" hidden="1"/>
    </xf>
    <xf numFmtId="0" fontId="60" fillId="6" borderId="16" xfId="1" applyFont="1" applyFill="1" applyBorder="1" applyAlignment="1" applyProtection="1">
      <alignment horizontal="center"/>
      <protection hidden="1"/>
    </xf>
    <xf numFmtId="0" fontId="57" fillId="2" borderId="6" xfId="1" applyFont="1" applyFill="1" applyBorder="1" applyAlignment="1" applyProtection="1">
      <alignment horizontal="center" vertical="center"/>
      <protection hidden="1"/>
    </xf>
    <xf numFmtId="14" fontId="0" fillId="2" borderId="0" xfId="0" applyNumberForma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49" fontId="0" fillId="2" borderId="0" xfId="0" applyNumberFormat="1" applyFill="1" applyAlignment="1" applyProtection="1">
      <alignment horizontal="center"/>
      <protection hidden="1"/>
    </xf>
    <xf numFmtId="4" fontId="71" fillId="2" borderId="6" xfId="0" applyNumberFormat="1" applyFont="1" applyFill="1" applyBorder="1" applyAlignment="1">
      <alignment horizontal="center" wrapText="1"/>
    </xf>
    <xf numFmtId="4" fontId="71" fillId="2" borderId="11" xfId="0" applyNumberFormat="1" applyFont="1" applyFill="1" applyBorder="1" applyAlignment="1">
      <alignment horizontal="center" wrapText="1"/>
    </xf>
    <xf numFmtId="4" fontId="71" fillId="2" borderId="14" xfId="0" applyNumberFormat="1" applyFont="1" applyFill="1" applyBorder="1" applyAlignment="1">
      <alignment horizontal="center" wrapText="1"/>
    </xf>
    <xf numFmtId="14" fontId="37" fillId="0" borderId="0" xfId="0" applyNumberFormat="1" applyFont="1" applyAlignment="1" applyProtection="1">
      <alignment horizontal="center"/>
      <protection hidden="1"/>
    </xf>
    <xf numFmtId="4" fontId="37" fillId="2" borderId="17" xfId="0" applyNumberFormat="1" applyFont="1" applyFill="1" applyBorder="1" applyAlignment="1" applyProtection="1">
      <alignment horizontal="center"/>
      <protection hidden="1"/>
    </xf>
    <xf numFmtId="14" fontId="75" fillId="2" borderId="0" xfId="0" applyNumberFormat="1" applyFont="1" applyFill="1" applyAlignment="1" applyProtection="1">
      <alignment horizontal="center"/>
      <protection hidden="1"/>
    </xf>
    <xf numFmtId="0" fontId="10" fillId="10" borderId="11" xfId="0" applyFont="1" applyFill="1" applyBorder="1" applyAlignment="1" applyProtection="1">
      <alignment horizontal="center" vertical="center" wrapText="1"/>
      <protection hidden="1"/>
    </xf>
    <xf numFmtId="0" fontId="10" fillId="10" borderId="17" xfId="0" applyFont="1" applyFill="1" applyBorder="1" applyAlignment="1" applyProtection="1">
      <alignment horizontal="center" vertical="center" wrapText="1"/>
      <protection hidden="1"/>
    </xf>
    <xf numFmtId="0" fontId="10" fillId="10" borderId="14" xfId="0" applyFont="1" applyFill="1" applyBorder="1" applyAlignment="1" applyProtection="1">
      <alignment horizontal="center" vertical="center" wrapText="1"/>
      <protection hidden="1"/>
    </xf>
    <xf numFmtId="4" fontId="0" fillId="2" borderId="16" xfId="0" applyNumberFormat="1" applyFill="1" applyBorder="1" applyAlignment="1" applyProtection="1">
      <alignment horizontal="center"/>
      <protection hidden="1"/>
    </xf>
    <xf numFmtId="0" fontId="10" fillId="10" borderId="6" xfId="0" applyFont="1" applyFill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right"/>
      <protection hidden="1"/>
    </xf>
    <xf numFmtId="0" fontId="21" fillId="2" borderId="0" xfId="0" applyFont="1" applyFill="1" applyAlignment="1" applyProtection="1">
      <alignment vertical="top" wrapText="1"/>
      <protection hidden="1"/>
    </xf>
    <xf numFmtId="0" fontId="60" fillId="2" borderId="0" xfId="0" applyFont="1" applyFill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70" fillId="0" borderId="0" xfId="0" applyFont="1" applyAlignment="1" applyProtection="1">
      <alignment horizontal="left" vertical="top" wrapText="1"/>
      <protection hidden="1"/>
    </xf>
    <xf numFmtId="0" fontId="0" fillId="0" borderId="0" xfId="0" applyAlignment="1">
      <alignment vertical="top"/>
    </xf>
    <xf numFmtId="49" fontId="0" fillId="2" borderId="0" xfId="0" applyNumberFormat="1" applyFill="1" applyProtection="1">
      <protection hidden="1"/>
    </xf>
    <xf numFmtId="0" fontId="70" fillId="0" borderId="41" xfId="0" applyFont="1" applyBorder="1" applyAlignment="1" applyProtection="1">
      <alignment horizontal="center" vertical="top"/>
      <protection hidden="1"/>
    </xf>
    <xf numFmtId="0" fontId="58" fillId="7" borderId="12" xfId="0" applyFont="1" applyFill="1" applyBorder="1" applyAlignment="1" applyProtection="1">
      <alignment horizontal="justify" vertical="top" wrapText="1"/>
      <protection hidden="1"/>
    </xf>
    <xf numFmtId="0" fontId="58" fillId="7" borderId="13" xfId="0" applyFont="1" applyFill="1" applyBorder="1" applyAlignment="1" applyProtection="1">
      <alignment horizontal="justify" vertical="top" wrapText="1"/>
      <protection hidden="1"/>
    </xf>
    <xf numFmtId="0" fontId="58" fillId="7" borderId="10" xfId="0" applyFont="1" applyFill="1" applyBorder="1" applyAlignment="1" applyProtection="1">
      <alignment horizontal="justify" vertical="top" wrapText="1"/>
      <protection hidden="1"/>
    </xf>
    <xf numFmtId="0" fontId="58" fillId="7" borderId="0" xfId="0" applyFont="1" applyFill="1" applyAlignment="1" applyProtection="1">
      <alignment horizontal="justify" vertical="top" wrapText="1"/>
      <protection hidden="1"/>
    </xf>
    <xf numFmtId="0" fontId="58" fillId="7" borderId="20" xfId="0" applyFont="1" applyFill="1" applyBorder="1" applyAlignment="1" applyProtection="1">
      <alignment horizontal="justify" vertical="top" wrapText="1"/>
      <protection hidden="1"/>
    </xf>
    <xf numFmtId="0" fontId="58" fillId="7" borderId="16" xfId="0" applyFont="1" applyFill="1" applyBorder="1" applyAlignment="1" applyProtection="1">
      <alignment horizontal="justify" vertical="top" wrapText="1"/>
      <protection hidden="1"/>
    </xf>
    <xf numFmtId="0" fontId="58" fillId="0" borderId="20" xfId="0" applyFont="1" applyBorder="1" applyAlignment="1" applyProtection="1">
      <alignment horizontal="left" vertical="top" wrapText="1"/>
      <protection hidden="1"/>
    </xf>
    <xf numFmtId="0" fontId="58" fillId="0" borderId="16" xfId="0" applyFont="1" applyBorder="1" applyAlignment="1" applyProtection="1">
      <alignment horizontal="left" vertical="top" wrapText="1"/>
      <protection hidden="1"/>
    </xf>
    <xf numFmtId="0" fontId="58" fillId="0" borderId="30" xfId="0" applyFont="1" applyBorder="1" applyAlignment="1" applyProtection="1">
      <alignment horizontal="left" vertical="top" wrapText="1"/>
      <protection hidden="1"/>
    </xf>
    <xf numFmtId="0" fontId="58" fillId="0" borderId="12" xfId="0" applyFont="1" applyBorder="1" applyAlignment="1" applyProtection="1">
      <alignment horizontal="left" vertical="top" wrapText="1"/>
      <protection hidden="1"/>
    </xf>
    <xf numFmtId="0" fontId="58" fillId="0" borderId="13" xfId="0" applyFont="1" applyBorder="1" applyAlignment="1" applyProtection="1">
      <alignment horizontal="left" vertical="top" wrapText="1"/>
      <protection hidden="1"/>
    </xf>
    <xf numFmtId="0" fontId="58" fillId="0" borderId="21" xfId="0" applyFont="1" applyBorder="1" applyAlignment="1" applyProtection="1">
      <alignment horizontal="justify" vertical="top" wrapText="1"/>
      <protection hidden="1"/>
    </xf>
    <xf numFmtId="0" fontId="70" fillId="0" borderId="11" xfId="0" applyFont="1" applyBorder="1" applyAlignment="1" applyProtection="1">
      <alignment horizontal="left" vertical="top" wrapText="1"/>
      <protection hidden="1"/>
    </xf>
    <xf numFmtId="0" fontId="70" fillId="0" borderId="17" xfId="0" applyFont="1" applyBorder="1" applyAlignment="1" applyProtection="1">
      <alignment horizontal="left" vertical="top" wrapText="1"/>
      <protection hidden="1"/>
    </xf>
    <xf numFmtId="0" fontId="70" fillId="0" borderId="14" xfId="0" applyFont="1" applyBorder="1" applyAlignment="1" applyProtection="1">
      <alignment horizontal="left" vertical="top" wrapText="1"/>
      <protection hidden="1"/>
    </xf>
    <xf numFmtId="0" fontId="21" fillId="0" borderId="20" xfId="0" applyFont="1" applyBorder="1" applyAlignment="1" applyProtection="1">
      <alignment horizontal="justify" vertical="top" wrapText="1"/>
      <protection hidden="1"/>
    </xf>
    <xf numFmtId="0" fontId="21" fillId="0" borderId="16" xfId="0" applyFont="1" applyBorder="1" applyAlignment="1" applyProtection="1">
      <alignment horizontal="justify" vertical="top" wrapText="1"/>
      <protection hidden="1"/>
    </xf>
    <xf numFmtId="0" fontId="21" fillId="0" borderId="30" xfId="0" applyFont="1" applyBorder="1" applyAlignment="1" applyProtection="1">
      <alignment horizontal="justify" vertical="top" wrapText="1"/>
      <protection hidden="1"/>
    </xf>
    <xf numFmtId="0" fontId="0" fillId="7" borderId="18" xfId="0" applyFill="1" applyBorder="1" applyAlignment="1" applyProtection="1">
      <alignment horizontal="justify" vertical="top" wrapText="1"/>
      <protection hidden="1"/>
    </xf>
    <xf numFmtId="0" fontId="0" fillId="7" borderId="15" xfId="0" applyFill="1" applyBorder="1" applyAlignment="1" applyProtection="1">
      <alignment horizontal="justify" vertical="top" wrapText="1"/>
      <protection hidden="1"/>
    </xf>
    <xf numFmtId="0" fontId="0" fillId="7" borderId="20" xfId="0" applyFill="1" applyBorder="1" applyAlignment="1" applyProtection="1">
      <alignment horizontal="justify" vertical="top" wrapText="1"/>
      <protection hidden="1"/>
    </xf>
    <xf numFmtId="0" fontId="0" fillId="7" borderId="16" xfId="0" applyFill="1" applyBorder="1" applyAlignment="1" applyProtection="1">
      <alignment horizontal="justify" vertical="top" wrapText="1"/>
      <protection hidden="1"/>
    </xf>
    <xf numFmtId="0" fontId="0" fillId="7" borderId="30" xfId="0" applyFill="1" applyBorder="1" applyAlignment="1" applyProtection="1">
      <alignment horizontal="justify" vertical="top" wrapText="1"/>
      <protection hidden="1"/>
    </xf>
    <xf numFmtId="0" fontId="21" fillId="0" borderId="20" xfId="0" applyFont="1" applyBorder="1" applyAlignment="1" applyProtection="1">
      <alignment horizontal="left" vertical="top" wrapText="1"/>
      <protection hidden="1"/>
    </xf>
    <xf numFmtId="0" fontId="21" fillId="0" borderId="16" xfId="0" applyFont="1" applyBorder="1" applyAlignment="1" applyProtection="1">
      <alignment horizontal="left" vertical="top" wrapText="1"/>
      <protection hidden="1"/>
    </xf>
    <xf numFmtId="0" fontId="21" fillId="0" borderId="30" xfId="0" applyFont="1" applyBorder="1" applyAlignment="1" applyProtection="1">
      <alignment horizontal="left" vertical="top" wrapText="1"/>
      <protection hidden="1"/>
    </xf>
    <xf numFmtId="0" fontId="21" fillId="0" borderId="17" xfId="0" applyFont="1" applyBorder="1" applyAlignment="1" applyProtection="1">
      <alignment horizontal="left" vertical="top" wrapText="1"/>
      <protection hidden="1"/>
    </xf>
    <xf numFmtId="0" fontId="21" fillId="0" borderId="14" xfId="0" applyFont="1" applyBorder="1" applyAlignment="1" applyProtection="1">
      <alignment horizontal="left" vertical="top" wrapText="1"/>
      <protection hidden="1"/>
    </xf>
    <xf numFmtId="0" fontId="58" fillId="7" borderId="12" xfId="0" applyFont="1" applyFill="1" applyBorder="1" applyAlignment="1" applyProtection="1">
      <alignment horizontal="left" vertical="top" wrapText="1"/>
      <protection hidden="1"/>
    </xf>
    <xf numFmtId="0" fontId="58" fillId="7" borderId="13" xfId="0" applyFont="1" applyFill="1" applyBorder="1" applyAlignment="1" applyProtection="1">
      <alignment horizontal="left" vertical="top" wrapText="1"/>
      <protection hidden="1"/>
    </xf>
    <xf numFmtId="0" fontId="0" fillId="7" borderId="18" xfId="0" applyFill="1" applyBorder="1" applyAlignment="1" applyProtection="1">
      <alignment horizontal="left" vertical="top" wrapText="1"/>
      <protection hidden="1"/>
    </xf>
    <xf numFmtId="0" fontId="0" fillId="7" borderId="20" xfId="0" applyFill="1" applyBorder="1" applyAlignment="1" applyProtection="1">
      <alignment horizontal="left" vertical="top" wrapText="1"/>
      <protection hidden="1"/>
    </xf>
    <xf numFmtId="0" fontId="0" fillId="7" borderId="16" xfId="0" applyFill="1" applyBorder="1" applyAlignment="1" applyProtection="1">
      <alignment horizontal="left" vertical="top" wrapText="1"/>
      <protection hidden="1"/>
    </xf>
    <xf numFmtId="0" fontId="0" fillId="7" borderId="30" xfId="0" applyFill="1" applyBorder="1" applyAlignment="1" applyProtection="1">
      <alignment horizontal="left" vertical="top" wrapText="1"/>
      <protection hidden="1"/>
    </xf>
    <xf numFmtId="0" fontId="0" fillId="9" borderId="7" xfId="0" applyFill="1" applyBorder="1" applyAlignment="1" applyProtection="1">
      <alignment horizontal="center"/>
      <protection locked="0" hidden="1"/>
    </xf>
    <xf numFmtId="0" fontId="0" fillId="9" borderId="23" xfId="0" applyFill="1" applyBorder="1" applyAlignment="1" applyProtection="1">
      <alignment horizontal="center"/>
      <protection locked="0" hidden="1"/>
    </xf>
    <xf numFmtId="0" fontId="0" fillId="9" borderId="8" xfId="0" applyFill="1" applyBorder="1" applyAlignment="1" applyProtection="1">
      <alignment horizontal="center"/>
      <protection locked="0" hidden="1"/>
    </xf>
    <xf numFmtId="0" fontId="10" fillId="9" borderId="24" xfId="0" applyFont="1" applyFill="1" applyBorder="1" applyAlignment="1" applyProtection="1">
      <alignment horizontal="left"/>
      <protection locked="0" hidden="1"/>
    </xf>
    <xf numFmtId="0" fontId="10" fillId="9" borderId="25" xfId="0" applyFont="1" applyFill="1" applyBorder="1" applyAlignment="1" applyProtection="1">
      <alignment horizontal="left"/>
      <protection locked="0" hidden="1"/>
    </xf>
    <xf numFmtId="0" fontId="38" fillId="9" borderId="24" xfId="0" applyFont="1" applyFill="1" applyBorder="1" applyAlignment="1" applyProtection="1">
      <alignment horizontal="center"/>
      <protection locked="0" hidden="1"/>
    </xf>
    <xf numFmtId="0" fontId="38" fillId="9" borderId="17" xfId="0" applyFont="1" applyFill="1" applyBorder="1" applyAlignment="1" applyProtection="1">
      <alignment horizontal="center"/>
      <protection locked="0" hidden="1"/>
    </xf>
    <xf numFmtId="0" fontId="38" fillId="9" borderId="14" xfId="0" applyFont="1" applyFill="1" applyBorder="1" applyAlignment="1" applyProtection="1">
      <alignment horizontal="center"/>
      <protection locked="0" hidden="1"/>
    </xf>
    <xf numFmtId="14" fontId="38" fillId="9" borderId="24" xfId="0" applyNumberFormat="1" applyFont="1" applyFill="1" applyBorder="1" applyAlignment="1" applyProtection="1">
      <alignment horizontal="center"/>
      <protection locked="0" hidden="1"/>
    </xf>
    <xf numFmtId="14" fontId="38" fillId="9" borderId="17" xfId="0" applyNumberFormat="1" applyFont="1" applyFill="1" applyBorder="1" applyAlignment="1" applyProtection="1">
      <alignment horizontal="center"/>
      <protection locked="0" hidden="1"/>
    </xf>
    <xf numFmtId="14" fontId="38" fillId="9" borderId="14" xfId="0" applyNumberFormat="1" applyFont="1" applyFill="1" applyBorder="1" applyAlignment="1" applyProtection="1">
      <alignment horizontal="center"/>
      <protection locked="0" hidden="1"/>
    </xf>
    <xf numFmtId="0" fontId="10" fillId="9" borderId="7" xfId="0" applyFont="1" applyFill="1" applyBorder="1" applyAlignment="1" applyProtection="1">
      <alignment horizontal="left"/>
      <protection locked="0" hidden="1"/>
    </xf>
    <xf numFmtId="0" fontId="10" fillId="9" borderId="8" xfId="0" applyFont="1" applyFill="1" applyBorder="1" applyAlignment="1" applyProtection="1">
      <alignment horizontal="left"/>
      <protection locked="0" hidden="1"/>
    </xf>
    <xf numFmtId="0" fontId="10" fillId="9" borderId="26" xfId="0" applyFont="1" applyFill="1" applyBorder="1" applyAlignment="1" applyProtection="1">
      <alignment horizontal="left"/>
      <protection locked="0" hidden="1"/>
    </xf>
    <xf numFmtId="0" fontId="10" fillId="9" borderId="27" xfId="0" applyFont="1" applyFill="1" applyBorder="1" applyAlignment="1" applyProtection="1">
      <alignment horizontal="left"/>
      <protection locked="0" hidden="1"/>
    </xf>
    <xf numFmtId="4" fontId="38" fillId="9" borderId="26" xfId="0" applyNumberFormat="1" applyFont="1" applyFill="1" applyBorder="1" applyAlignment="1" applyProtection="1">
      <alignment horizontal="center"/>
      <protection locked="0" hidden="1"/>
    </xf>
    <xf numFmtId="4" fontId="38" fillId="9" borderId="29" xfId="0" applyNumberFormat="1" applyFont="1" applyFill="1" applyBorder="1" applyAlignment="1" applyProtection="1">
      <alignment horizontal="center"/>
      <protection locked="0" hidden="1"/>
    </xf>
    <xf numFmtId="4" fontId="38" fillId="9" borderId="28" xfId="0" applyNumberFormat="1" applyFont="1" applyFill="1" applyBorder="1" applyAlignment="1" applyProtection="1">
      <alignment horizontal="center"/>
      <protection locked="0" hidden="1"/>
    </xf>
    <xf numFmtId="0" fontId="10" fillId="9" borderId="24" xfId="0" applyFont="1" applyFill="1" applyBorder="1" applyAlignment="1" applyProtection="1">
      <alignment horizontal="left" wrapText="1"/>
      <protection locked="0" hidden="1"/>
    </xf>
    <xf numFmtId="0" fontId="10" fillId="9" borderId="25" xfId="0" applyFont="1" applyFill="1" applyBorder="1" applyAlignment="1" applyProtection="1">
      <alignment horizontal="left" wrapText="1"/>
      <protection locked="0" hidden="1"/>
    </xf>
    <xf numFmtId="0" fontId="10" fillId="9" borderId="24" xfId="0" applyFont="1" applyFill="1" applyBorder="1" applyAlignment="1" applyProtection="1">
      <alignment horizontal="center" vertical="center"/>
      <protection locked="0" hidden="1"/>
    </xf>
    <xf numFmtId="0" fontId="10" fillId="9" borderId="17" xfId="0" applyFont="1" applyFill="1" applyBorder="1" applyAlignment="1" applyProtection="1">
      <alignment horizontal="center" vertical="center"/>
      <protection locked="0" hidden="1"/>
    </xf>
    <xf numFmtId="0" fontId="10" fillId="9" borderId="25" xfId="0" applyFont="1" applyFill="1" applyBorder="1" applyAlignment="1" applyProtection="1">
      <alignment horizontal="center" vertical="center"/>
      <protection locked="0" hidden="1"/>
    </xf>
    <xf numFmtId="0" fontId="0" fillId="0" borderId="1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left"/>
    </xf>
    <xf numFmtId="0" fontId="0" fillId="9" borderId="24" xfId="0" applyFill="1" applyBorder="1" applyAlignment="1" applyProtection="1">
      <alignment horizontal="center"/>
      <protection locked="0" hidden="1"/>
    </xf>
    <xf numFmtId="0" fontId="0" fillId="9" borderId="17" xfId="0" applyFill="1" applyBorder="1" applyAlignment="1" applyProtection="1">
      <alignment horizontal="center"/>
      <protection locked="0" hidden="1"/>
    </xf>
    <xf numFmtId="0" fontId="0" fillId="9" borderId="25" xfId="0" applyFill="1" applyBorder="1" applyAlignment="1" applyProtection="1">
      <alignment horizontal="center"/>
      <protection locked="0" hidden="1"/>
    </xf>
    <xf numFmtId="4" fontId="75" fillId="2" borderId="0" xfId="0" applyNumberFormat="1" applyFont="1" applyFill="1" applyAlignment="1" applyProtection="1">
      <alignment horizontal="center"/>
      <protection hidden="1"/>
    </xf>
    <xf numFmtId="0" fontId="58" fillId="0" borderId="18" xfId="0" applyFont="1" applyBorder="1" applyAlignment="1" applyProtection="1">
      <alignment horizontal="justify" vertical="top" wrapText="1"/>
      <protection hidden="1"/>
    </xf>
    <xf numFmtId="0" fontId="0" fillId="9" borderId="24" xfId="0" applyFill="1" applyBorder="1" applyAlignment="1" applyProtection="1">
      <alignment horizontal="center" wrapText="1"/>
      <protection locked="0" hidden="1"/>
    </xf>
    <xf numFmtId="0" fontId="0" fillId="9" borderId="17" xfId="0" applyFill="1" applyBorder="1" applyAlignment="1" applyProtection="1">
      <alignment horizontal="center" wrapText="1"/>
      <protection locked="0" hidden="1"/>
    </xf>
    <xf numFmtId="0" fontId="0" fillId="9" borderId="25" xfId="0" applyFill="1" applyBorder="1" applyAlignment="1" applyProtection="1">
      <alignment horizontal="center" wrapText="1"/>
      <protection locked="0" hidden="1"/>
    </xf>
    <xf numFmtId="1" fontId="38" fillId="9" borderId="24" xfId="0" applyNumberFormat="1" applyFont="1" applyFill="1" applyBorder="1" applyAlignment="1" applyProtection="1">
      <alignment horizontal="center"/>
      <protection locked="0" hidden="1"/>
    </xf>
    <xf numFmtId="1" fontId="38" fillId="9" borderId="17" xfId="0" applyNumberFormat="1" applyFont="1" applyFill="1" applyBorder="1" applyAlignment="1" applyProtection="1">
      <alignment horizontal="center"/>
      <protection locked="0" hidden="1"/>
    </xf>
    <xf numFmtId="1" fontId="38" fillId="9" borderId="14" xfId="0" applyNumberFormat="1" applyFont="1" applyFill="1" applyBorder="1" applyAlignment="1" applyProtection="1">
      <alignment horizontal="center"/>
      <protection locked="0" hidden="1"/>
    </xf>
    <xf numFmtId="49" fontId="0" fillId="9" borderId="26" xfId="0" applyNumberFormat="1" applyFill="1" applyBorder="1" applyAlignment="1" applyProtection="1">
      <alignment horizontal="center"/>
      <protection locked="0" hidden="1"/>
    </xf>
    <xf numFmtId="49" fontId="0" fillId="9" borderId="29" xfId="0" applyNumberFormat="1" applyFill="1" applyBorder="1" applyAlignment="1" applyProtection="1">
      <alignment horizontal="center"/>
      <protection locked="0" hidden="1"/>
    </xf>
    <xf numFmtId="49" fontId="0" fillId="9" borderId="27" xfId="0" applyNumberFormat="1" applyFill="1" applyBorder="1" applyAlignment="1" applyProtection="1">
      <alignment horizontal="center"/>
      <protection locked="0" hidden="1"/>
    </xf>
    <xf numFmtId="1" fontId="0" fillId="9" borderId="7" xfId="0" applyNumberFormat="1" applyFill="1" applyBorder="1" applyAlignment="1" applyProtection="1">
      <alignment horizontal="center"/>
      <protection locked="0" hidden="1"/>
    </xf>
    <xf numFmtId="1" fontId="0" fillId="9" borderId="23" xfId="0" applyNumberFormat="1" applyFill="1" applyBorder="1" applyAlignment="1" applyProtection="1">
      <alignment horizontal="center"/>
      <protection locked="0" hidden="1"/>
    </xf>
    <xf numFmtId="1" fontId="0" fillId="9" borderId="8" xfId="0" applyNumberFormat="1" applyFill="1" applyBorder="1" applyAlignment="1" applyProtection="1">
      <alignment horizontal="center"/>
      <protection locked="0" hidden="1"/>
    </xf>
  </cellXfs>
  <cellStyles count="2">
    <cellStyle name="Обычный" xfId="0" builtinId="0"/>
    <cellStyle name="Обычный 2" xfId="1" xr:uid="{00000000-0005-0000-0000-000001000000}"/>
  </cellStyles>
  <dxfs count="772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lor auto="1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condense val="0"/>
        <extend val="0"/>
        <color indexed="9"/>
      </font>
      <border>
        <left/>
        <right/>
        <top style="thin">
          <color indexed="64"/>
        </top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7</xdr:row>
      <xdr:rowOff>66675</xdr:rowOff>
    </xdr:from>
    <xdr:to>
      <xdr:col>9</xdr:col>
      <xdr:colOff>323850</xdr:colOff>
      <xdr:row>14</xdr:row>
      <xdr:rowOff>114300</xdr:rowOff>
    </xdr:to>
    <xdr:pic>
      <xdr:nvPicPr>
        <xdr:cNvPr id="10680" name="Рисунок 2">
          <a:extLst>
            <a:ext uri="{FF2B5EF4-FFF2-40B4-BE49-F238E27FC236}">
              <a16:creationId xmlns:a16="http://schemas.microsoft.com/office/drawing/2014/main" id="{00000000-0008-0000-0100-0000B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523875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6564" name="Picture 1" descr="Logo_new2">
          <a:extLst>
            <a:ext uri="{FF2B5EF4-FFF2-40B4-BE49-F238E27FC236}">
              <a16:creationId xmlns:a16="http://schemas.microsoft.com/office/drawing/2014/main" id="{00000000-0008-0000-0A00-0000A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7589" name="Picture 1" descr="Logo_new2">
          <a:extLst>
            <a:ext uri="{FF2B5EF4-FFF2-40B4-BE49-F238E27FC236}">
              <a16:creationId xmlns:a16="http://schemas.microsoft.com/office/drawing/2014/main" id="{00000000-0008-0000-0B00-0000A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7</xdr:row>
      <xdr:rowOff>57150</xdr:rowOff>
    </xdr:from>
    <xdr:to>
      <xdr:col>8</xdr:col>
      <xdr:colOff>609600</xdr:colOff>
      <xdr:row>13</xdr:row>
      <xdr:rowOff>9525</xdr:rowOff>
    </xdr:to>
    <xdr:pic>
      <xdr:nvPicPr>
        <xdr:cNvPr id="8612" name="Picture 1" descr="Logo_new2">
          <a:extLst>
            <a:ext uri="{FF2B5EF4-FFF2-40B4-BE49-F238E27FC236}">
              <a16:creationId xmlns:a16="http://schemas.microsoft.com/office/drawing/2014/main" id="{00000000-0008-0000-0C00-0000A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14350"/>
          <a:ext cx="1781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7</xdr:row>
      <xdr:rowOff>38100</xdr:rowOff>
    </xdr:from>
    <xdr:to>
      <xdr:col>8</xdr:col>
      <xdr:colOff>266700</xdr:colOff>
      <xdr:row>12</xdr:row>
      <xdr:rowOff>104775</xdr:rowOff>
    </xdr:to>
    <xdr:pic>
      <xdr:nvPicPr>
        <xdr:cNvPr id="9635" name="Picture 1" descr="Logo_new2">
          <a:extLst>
            <a:ext uri="{FF2B5EF4-FFF2-40B4-BE49-F238E27FC236}">
              <a16:creationId xmlns:a16="http://schemas.microsoft.com/office/drawing/2014/main" id="{00000000-0008-0000-0D00-0000A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95300"/>
          <a:ext cx="1362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6</xdr:row>
      <xdr:rowOff>152400</xdr:rowOff>
    </xdr:from>
    <xdr:to>
      <xdr:col>8</xdr:col>
      <xdr:colOff>866775</xdr:colOff>
      <xdr:row>13</xdr:row>
      <xdr:rowOff>85725</xdr:rowOff>
    </xdr:to>
    <xdr:pic>
      <xdr:nvPicPr>
        <xdr:cNvPr id="12707" name="Picture 1" descr="Logo_new2">
          <a:extLst>
            <a:ext uri="{FF2B5EF4-FFF2-40B4-BE49-F238E27FC236}">
              <a16:creationId xmlns:a16="http://schemas.microsoft.com/office/drawing/2014/main" id="{00000000-0008-0000-0E00-0000A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9100"/>
          <a:ext cx="2019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6</xdr:row>
      <xdr:rowOff>180975</xdr:rowOff>
    </xdr:from>
    <xdr:to>
      <xdr:col>9</xdr:col>
      <xdr:colOff>400050</xdr:colOff>
      <xdr:row>13</xdr:row>
      <xdr:rowOff>133350</xdr:rowOff>
    </xdr:to>
    <xdr:pic>
      <xdr:nvPicPr>
        <xdr:cNvPr id="1459" name="Рисунок 2">
          <a:extLst>
            <a:ext uri="{FF2B5EF4-FFF2-40B4-BE49-F238E27FC236}">
              <a16:creationId xmlns:a16="http://schemas.microsoft.com/office/drawing/2014/main" id="{00000000-0008-0000-0F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447675"/>
          <a:ext cx="23526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0</xdr:rowOff>
    </xdr:from>
    <xdr:to>
      <xdr:col>64</xdr:col>
      <xdr:colOff>180975</xdr:colOff>
      <xdr:row>10</xdr:row>
      <xdr:rowOff>9525</xdr:rowOff>
    </xdr:to>
    <xdr:pic>
      <xdr:nvPicPr>
        <xdr:cNvPr id="27782" name="Рисунок 2">
          <a:extLst>
            <a:ext uri="{FF2B5EF4-FFF2-40B4-BE49-F238E27FC236}">
              <a16:creationId xmlns:a16="http://schemas.microsoft.com/office/drawing/2014/main" id="{00000000-0008-0000-1400-000086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0"/>
          <a:ext cx="2409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19050</xdr:rowOff>
    </xdr:from>
    <xdr:to>
      <xdr:col>12</xdr:col>
      <xdr:colOff>123825</xdr:colOff>
      <xdr:row>10</xdr:row>
      <xdr:rowOff>47625</xdr:rowOff>
    </xdr:to>
    <xdr:pic>
      <xdr:nvPicPr>
        <xdr:cNvPr id="28736" name="Рисунок 2">
          <a:extLst>
            <a:ext uri="{FF2B5EF4-FFF2-40B4-BE49-F238E27FC236}">
              <a16:creationId xmlns:a16="http://schemas.microsoft.com/office/drawing/2014/main" id="{00000000-0008-0000-1500-000040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9050"/>
          <a:ext cx="2457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6</xdr:row>
      <xdr:rowOff>180975</xdr:rowOff>
    </xdr:from>
    <xdr:to>
      <xdr:col>9</xdr:col>
      <xdr:colOff>371475</xdr:colOff>
      <xdr:row>14</xdr:row>
      <xdr:rowOff>38100</xdr:rowOff>
    </xdr:to>
    <xdr:pic>
      <xdr:nvPicPr>
        <xdr:cNvPr id="11700" name="Рисунок 2">
          <a:extLst>
            <a:ext uri="{FF2B5EF4-FFF2-40B4-BE49-F238E27FC236}">
              <a16:creationId xmlns:a16="http://schemas.microsoft.com/office/drawing/2014/main" id="{00000000-0008-0000-0200-0000B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90525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6</xdr:row>
      <xdr:rowOff>95250</xdr:rowOff>
    </xdr:from>
    <xdr:to>
      <xdr:col>9</xdr:col>
      <xdr:colOff>447675</xdr:colOff>
      <xdr:row>13</xdr:row>
      <xdr:rowOff>133350</xdr:rowOff>
    </xdr:to>
    <xdr:pic>
      <xdr:nvPicPr>
        <xdr:cNvPr id="13745" name="Рисунок 2">
          <a:extLst>
            <a:ext uri="{FF2B5EF4-FFF2-40B4-BE49-F238E27FC236}">
              <a16:creationId xmlns:a16="http://schemas.microsoft.com/office/drawing/2014/main" id="{00000000-0008-0000-0300-0000B13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61950"/>
          <a:ext cx="23526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7</xdr:row>
      <xdr:rowOff>57150</xdr:rowOff>
    </xdr:from>
    <xdr:to>
      <xdr:col>8</xdr:col>
      <xdr:colOff>523875</xdr:colOff>
      <xdr:row>12</xdr:row>
      <xdr:rowOff>161925</xdr:rowOff>
    </xdr:to>
    <xdr:pic>
      <xdr:nvPicPr>
        <xdr:cNvPr id="16801" name="Picture 1" descr="Logo_new2">
          <a:extLst>
            <a:ext uri="{FF2B5EF4-FFF2-40B4-BE49-F238E27FC236}">
              <a16:creationId xmlns:a16="http://schemas.microsoft.com/office/drawing/2014/main" id="{00000000-0008-0000-0400-0000A14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514350"/>
          <a:ext cx="1619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7</xdr:row>
      <xdr:rowOff>66675</xdr:rowOff>
    </xdr:from>
    <xdr:to>
      <xdr:col>8</xdr:col>
      <xdr:colOff>533400</xdr:colOff>
      <xdr:row>12</xdr:row>
      <xdr:rowOff>152400</xdr:rowOff>
    </xdr:to>
    <xdr:pic>
      <xdr:nvPicPr>
        <xdr:cNvPr id="14754" name="Picture 1" descr="Logo_new2">
          <a:extLst>
            <a:ext uri="{FF2B5EF4-FFF2-40B4-BE49-F238E27FC236}">
              <a16:creationId xmlns:a16="http://schemas.microsoft.com/office/drawing/2014/main" id="{00000000-0008-0000-0500-0000A23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23875"/>
          <a:ext cx="1619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7</xdr:row>
      <xdr:rowOff>66675</xdr:rowOff>
    </xdr:from>
    <xdr:to>
      <xdr:col>8</xdr:col>
      <xdr:colOff>533400</xdr:colOff>
      <xdr:row>12</xdr:row>
      <xdr:rowOff>152400</xdr:rowOff>
    </xdr:to>
    <xdr:pic>
      <xdr:nvPicPr>
        <xdr:cNvPr id="15777" name="Picture 1" descr="Logo_new2">
          <a:extLst>
            <a:ext uri="{FF2B5EF4-FFF2-40B4-BE49-F238E27FC236}">
              <a16:creationId xmlns:a16="http://schemas.microsoft.com/office/drawing/2014/main" id="{00000000-0008-0000-0600-0000A1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23875"/>
          <a:ext cx="1619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3493" name="Picture 1" descr="Logo_new2">
          <a:extLst>
            <a:ext uri="{FF2B5EF4-FFF2-40B4-BE49-F238E27FC236}">
              <a16:creationId xmlns:a16="http://schemas.microsoft.com/office/drawing/2014/main" id="{00000000-0008-0000-07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4517" name="Picture 1" descr="Logo_new2">
          <a:extLst>
            <a:ext uri="{FF2B5EF4-FFF2-40B4-BE49-F238E27FC236}">
              <a16:creationId xmlns:a16="http://schemas.microsoft.com/office/drawing/2014/main" id="{00000000-0008-0000-0800-0000A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7</xdr:row>
      <xdr:rowOff>161925</xdr:rowOff>
    </xdr:from>
    <xdr:to>
      <xdr:col>8</xdr:col>
      <xdr:colOff>647700</xdr:colOff>
      <xdr:row>12</xdr:row>
      <xdr:rowOff>285750</xdr:rowOff>
    </xdr:to>
    <xdr:pic>
      <xdr:nvPicPr>
        <xdr:cNvPr id="5539" name="Picture 1" descr="Logo_new2">
          <a:extLst>
            <a:ext uri="{FF2B5EF4-FFF2-40B4-BE49-F238E27FC236}">
              <a16:creationId xmlns:a16="http://schemas.microsoft.com/office/drawing/2014/main" id="{00000000-0008-0000-0900-0000A3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19125"/>
          <a:ext cx="1628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EL156"/>
  <sheetViews>
    <sheetView zoomScale="90" zoomScaleNormal="100" workbookViewId="0">
      <selection activeCell="A11" sqref="A11"/>
    </sheetView>
  </sheetViews>
  <sheetFormatPr defaultRowHeight="12.75"/>
  <cols>
    <col min="1" max="1" width="26.42578125" style="21" customWidth="1"/>
    <col min="2" max="2" width="5.42578125" style="21" customWidth="1"/>
    <col min="3" max="3" width="19.28515625" style="21" customWidth="1"/>
    <col min="4" max="4" width="8.28515625" style="21" customWidth="1"/>
    <col min="5" max="5" width="11.5703125" style="21" customWidth="1"/>
    <col min="6" max="6" width="15" style="21" customWidth="1"/>
    <col min="7" max="7" width="16.5703125" style="21" hidden="1" customWidth="1"/>
    <col min="8" max="8" width="21.140625" style="21" customWidth="1"/>
    <col min="9" max="9" width="20.140625" style="21" customWidth="1"/>
    <col min="10" max="10" width="20.7109375" style="21" customWidth="1"/>
    <col min="11" max="11" width="16.5703125" style="21" hidden="1" customWidth="1"/>
    <col min="12" max="12" width="15.7109375" style="21" customWidth="1"/>
    <col min="13" max="57" width="15.7109375" style="2" hidden="1" customWidth="1"/>
    <col min="58" max="60" width="15.7109375" style="21" hidden="1" customWidth="1"/>
    <col min="61" max="61" width="20.7109375" style="21" hidden="1" customWidth="1"/>
    <col min="62" max="63" width="9.140625" style="21" customWidth="1"/>
    <col min="64" max="69" width="9.140625" style="21"/>
    <col min="70" max="142" width="9.140625" style="20"/>
    <col min="143" max="16384" width="9.140625" style="21"/>
  </cols>
  <sheetData>
    <row r="1" spans="2:10">
      <c r="B1" s="311" t="s">
        <v>2</v>
      </c>
      <c r="C1" s="312"/>
      <c r="D1" s="338" t="s">
        <v>295</v>
      </c>
      <c r="E1" s="339"/>
      <c r="F1" s="340"/>
    </row>
    <row r="2" spans="2:10" ht="13.5" thickBot="1">
      <c r="B2" s="343" t="str">
        <f>IF(M37=1,"№ кредитного договора:",IF(M37=2,"№ соглашения:"," "))</f>
        <v>№ соглашения:</v>
      </c>
      <c r="C2" s="344"/>
      <c r="D2" s="306">
        <v>123</v>
      </c>
      <c r="E2" s="307"/>
      <c r="F2" s="308"/>
    </row>
    <row r="3" spans="2:10" ht="13.5" thickBot="1">
      <c r="B3" s="9"/>
      <c r="C3" s="9"/>
      <c r="D3" s="2"/>
      <c r="E3" s="2"/>
      <c r="F3" s="2"/>
    </row>
    <row r="4" spans="2:10" ht="14.25">
      <c r="B4" s="311" t="str">
        <f>IF(M37=1,"Сумма кредита:",IF(M37=2,"Лимит овердрафта:"," "))</f>
        <v>Лимит овердрафта:</v>
      </c>
      <c r="C4" s="312"/>
      <c r="D4" s="313">
        <v>4000</v>
      </c>
      <c r="E4" s="314"/>
      <c r="F4" s="11" t="s">
        <v>189</v>
      </c>
    </row>
    <row r="5" spans="2:10" ht="14.25">
      <c r="B5" s="309" t="s">
        <v>8</v>
      </c>
      <c r="C5" s="310"/>
      <c r="D5" s="315">
        <v>16.100000000000001</v>
      </c>
      <c r="E5" s="316"/>
      <c r="F5" s="14" t="str">
        <f>IF(D5=0," ","% годовых")</f>
        <v>% годовых</v>
      </c>
    </row>
    <row r="6" spans="2:10" ht="14.25">
      <c r="B6" s="309" t="s">
        <v>10</v>
      </c>
      <c r="C6" s="310"/>
      <c r="D6" s="315">
        <v>0</v>
      </c>
      <c r="E6" s="316"/>
      <c r="F6" s="14" t="str">
        <f>IF(D6=0," ","% в месяц")</f>
        <v xml:space="preserve"> </v>
      </c>
    </row>
    <row r="7" spans="2:10">
      <c r="B7" s="345" t="s">
        <v>181</v>
      </c>
      <c r="C7" s="346"/>
      <c r="D7" s="357" t="s">
        <v>183</v>
      </c>
      <c r="E7" s="358"/>
      <c r="F7" s="359"/>
    </row>
    <row r="8" spans="2:10" ht="14.25">
      <c r="B8" s="309" t="s">
        <v>13</v>
      </c>
      <c r="C8" s="310"/>
      <c r="D8" s="315">
        <v>60</v>
      </c>
      <c r="E8" s="316"/>
      <c r="F8" s="14" t="str">
        <f>IF(D8=0," ","месяцев")</f>
        <v>месяцев</v>
      </c>
    </row>
    <row r="9" spans="2:10" ht="14.25">
      <c r="B9" s="309" t="s">
        <v>139</v>
      </c>
      <c r="C9" s="310"/>
      <c r="D9" s="355">
        <v>12</v>
      </c>
      <c r="E9" s="356"/>
      <c r="F9" s="14" t="str">
        <f>IF(D9&gt;4,"месяцев",IF(D9&gt;1,"месяца",IF(D9=1,"месяц","месяцев")))</f>
        <v>месяцев</v>
      </c>
    </row>
    <row r="10" spans="2:10" ht="14.25">
      <c r="B10" s="309" t="s">
        <v>14</v>
      </c>
      <c r="C10" s="310"/>
      <c r="D10" s="374">
        <f ca="1">TODAY()</f>
        <v>45294</v>
      </c>
      <c r="E10" s="375"/>
      <c r="F10" s="14" t="s">
        <v>15</v>
      </c>
    </row>
    <row r="11" spans="2:10">
      <c r="B11" s="309" t="s">
        <v>16</v>
      </c>
      <c r="C11" s="310"/>
      <c r="D11" s="360" t="s">
        <v>79</v>
      </c>
      <c r="E11" s="361"/>
      <c r="F11" s="362"/>
    </row>
    <row r="12" spans="2:10" ht="13.5" thickBot="1">
      <c r="B12" s="125" t="s">
        <v>214</v>
      </c>
      <c r="C12" s="126"/>
      <c r="D12" s="376" t="s">
        <v>215</v>
      </c>
      <c r="E12" s="377"/>
      <c r="F12" s="378"/>
    </row>
    <row r="13" spans="2:10">
      <c r="B13" s="351" t="s">
        <v>18</v>
      </c>
      <c r="C13" s="351"/>
      <c r="D13" s="373" t="s">
        <v>19</v>
      </c>
      <c r="E13" s="373"/>
      <c r="F13" s="373"/>
    </row>
    <row r="14" spans="2:10" ht="15.75">
      <c r="B14" s="292" t="s">
        <v>223</v>
      </c>
      <c r="C14" s="292"/>
      <c r="D14" s="292"/>
      <c r="E14" s="292"/>
      <c r="F14" s="292"/>
      <c r="G14" s="292"/>
      <c r="H14" s="292"/>
      <c r="I14" s="292"/>
      <c r="J14" s="379"/>
    </row>
    <row r="15" spans="2:10" ht="15.75">
      <c r="B15" s="380" t="str">
        <f>D1</f>
        <v>Иванов Иван Иванович</v>
      </c>
      <c r="C15" s="381"/>
      <c r="D15" s="381"/>
      <c r="E15" s="381"/>
      <c r="F15" s="381"/>
      <c r="G15" s="381"/>
      <c r="H15" s="381"/>
      <c r="I15" s="381"/>
      <c r="J15" s="379"/>
    </row>
    <row r="16" spans="2:10" ht="15.75">
      <c r="B16" s="292" t="s">
        <v>224</v>
      </c>
      <c r="C16" s="292"/>
      <c r="D16" s="292"/>
      <c r="E16" s="292"/>
      <c r="F16" s="292"/>
      <c r="G16" s="292"/>
      <c r="H16" s="292"/>
      <c r="I16" s="292"/>
      <c r="J16" s="379"/>
    </row>
    <row r="17" spans="2:10" ht="15.75">
      <c r="B17" s="382" t="s">
        <v>225</v>
      </c>
      <c r="C17" s="382"/>
      <c r="D17" s="382"/>
      <c r="E17" s="382"/>
      <c r="F17" s="382"/>
      <c r="G17" s="382"/>
      <c r="H17" s="382"/>
      <c r="I17" s="382"/>
      <c r="J17" s="383"/>
    </row>
    <row r="18" spans="2:10" ht="15.75">
      <c r="B18" s="165" t="s">
        <v>226</v>
      </c>
      <c r="C18" s="331" t="s">
        <v>227</v>
      </c>
      <c r="D18" s="331"/>
      <c r="E18" s="331"/>
      <c r="F18" s="366" t="s">
        <v>228</v>
      </c>
      <c r="G18" s="366"/>
      <c r="H18" s="366"/>
      <c r="I18" s="367"/>
      <c r="J18" s="368"/>
    </row>
    <row r="19" spans="2:10" ht="66.75" customHeight="1">
      <c r="B19" s="166" t="s">
        <v>229</v>
      </c>
      <c r="C19" s="275" t="s">
        <v>230</v>
      </c>
      <c r="D19" s="276"/>
      <c r="E19" s="276"/>
      <c r="F19" s="173">
        <f>D4</f>
        <v>4000</v>
      </c>
      <c r="G19" s="363" t="s">
        <v>231</v>
      </c>
      <c r="H19" s="363"/>
      <c r="I19" s="364"/>
      <c r="J19" s="365"/>
    </row>
    <row r="20" spans="2:10" ht="15.75">
      <c r="B20" s="332" t="s">
        <v>232</v>
      </c>
      <c r="C20" s="352" t="s">
        <v>233</v>
      </c>
      <c r="D20" s="353"/>
      <c r="E20" s="353"/>
      <c r="F20" s="172">
        <f>D9</f>
        <v>12</v>
      </c>
      <c r="G20" s="372" t="s">
        <v>234</v>
      </c>
      <c r="H20" s="372"/>
      <c r="I20" s="372"/>
      <c r="J20" s="324"/>
    </row>
    <row r="21" spans="2:10" ht="36" customHeight="1">
      <c r="B21" s="333"/>
      <c r="C21" s="325"/>
      <c r="D21" s="354"/>
      <c r="E21" s="354"/>
      <c r="F21" s="369" t="s">
        <v>235</v>
      </c>
      <c r="G21" s="370"/>
      <c r="H21" s="370"/>
      <c r="I21" s="370"/>
      <c r="J21" s="371"/>
    </row>
    <row r="22" spans="2:10" ht="15.75">
      <c r="B22" s="332" t="s">
        <v>236</v>
      </c>
      <c r="C22" s="278" t="s">
        <v>237</v>
      </c>
      <c r="D22" s="279"/>
      <c r="E22" s="279"/>
      <c r="F22" s="174">
        <f>D8</f>
        <v>60</v>
      </c>
      <c r="G22" s="320" t="s">
        <v>238</v>
      </c>
      <c r="H22" s="320"/>
      <c r="I22" s="320"/>
      <c r="J22" s="321"/>
    </row>
    <row r="23" spans="2:10" ht="96.75" customHeight="1">
      <c r="B23" s="333"/>
      <c r="C23" s="280"/>
      <c r="D23" s="281"/>
      <c r="E23" s="281"/>
      <c r="F23" s="322" t="s">
        <v>239</v>
      </c>
      <c r="G23" s="323"/>
      <c r="H23" s="323"/>
      <c r="I23" s="323"/>
      <c r="J23" s="324"/>
    </row>
    <row r="24" spans="2:10" ht="15.75">
      <c r="B24" s="332" t="s">
        <v>240</v>
      </c>
      <c r="C24" s="278" t="s">
        <v>241</v>
      </c>
      <c r="D24" s="279"/>
      <c r="E24" s="279"/>
      <c r="F24" s="174">
        <f>D5</f>
        <v>16.100000000000001</v>
      </c>
      <c r="G24" s="320" t="s">
        <v>242</v>
      </c>
      <c r="H24" s="320"/>
      <c r="I24" s="320"/>
      <c r="J24" s="321"/>
    </row>
    <row r="25" spans="2:10" ht="66.75" customHeight="1">
      <c r="B25" s="333"/>
      <c r="C25" s="280"/>
      <c r="D25" s="281"/>
      <c r="E25" s="281"/>
      <c r="F25" s="325" t="s">
        <v>243</v>
      </c>
      <c r="G25" s="326"/>
      <c r="H25" s="326"/>
      <c r="I25" s="326"/>
      <c r="J25" s="327"/>
    </row>
    <row r="26" spans="2:10" ht="32.25" customHeight="1">
      <c r="B26" s="166" t="s">
        <v>244</v>
      </c>
      <c r="C26" s="275" t="s">
        <v>245</v>
      </c>
      <c r="D26" s="276"/>
      <c r="E26" s="277"/>
      <c r="F26" s="328" t="s">
        <v>246</v>
      </c>
      <c r="G26" s="329"/>
      <c r="H26" s="329"/>
      <c r="I26" s="329"/>
      <c r="J26" s="330"/>
    </row>
    <row r="27" spans="2:10" ht="83.25" customHeight="1">
      <c r="B27" s="166" t="s">
        <v>247</v>
      </c>
      <c r="C27" s="275" t="s">
        <v>248</v>
      </c>
      <c r="D27" s="276"/>
      <c r="E27" s="277"/>
      <c r="F27" s="275" t="s">
        <v>249</v>
      </c>
      <c r="G27" s="276"/>
      <c r="H27" s="276"/>
      <c r="I27" s="276"/>
      <c r="J27" s="287"/>
    </row>
    <row r="28" spans="2:10" ht="51" customHeight="1">
      <c r="B28" s="166" t="s">
        <v>250</v>
      </c>
      <c r="C28" s="275" t="s">
        <v>251</v>
      </c>
      <c r="D28" s="276"/>
      <c r="E28" s="277"/>
      <c r="F28" s="290" t="s">
        <v>252</v>
      </c>
      <c r="G28" s="290"/>
      <c r="H28" s="290"/>
      <c r="I28" s="290"/>
      <c r="J28" s="286"/>
    </row>
    <row r="29" spans="2:10" ht="67.5" customHeight="1">
      <c r="B29" s="166" t="s">
        <v>253</v>
      </c>
      <c r="C29" s="275" t="s">
        <v>254</v>
      </c>
      <c r="D29" s="276"/>
      <c r="E29" s="277"/>
      <c r="F29" s="289" t="s">
        <v>79</v>
      </c>
      <c r="G29" s="289"/>
      <c r="H29" s="289"/>
      <c r="I29" s="289"/>
      <c r="J29" s="286"/>
    </row>
    <row r="30" spans="2:10" ht="34.5" customHeight="1">
      <c r="B30" s="166" t="s">
        <v>255</v>
      </c>
      <c r="C30" s="282" t="s">
        <v>256</v>
      </c>
      <c r="D30" s="283"/>
      <c r="E30" s="284"/>
      <c r="F30" s="288" t="s">
        <v>257</v>
      </c>
      <c r="G30" s="288"/>
      <c r="H30" s="288"/>
      <c r="I30" s="288"/>
      <c r="J30" s="286"/>
    </row>
    <row r="31" spans="2:10" ht="147" customHeight="1">
      <c r="B31" s="166" t="s">
        <v>258</v>
      </c>
      <c r="C31" s="275" t="s">
        <v>259</v>
      </c>
      <c r="D31" s="276"/>
      <c r="E31" s="277"/>
      <c r="F31" s="275" t="s">
        <v>260</v>
      </c>
      <c r="G31" s="276"/>
      <c r="H31" s="276"/>
      <c r="I31" s="276"/>
      <c r="J31" s="287"/>
    </row>
    <row r="32" spans="2:10" ht="206.25" customHeight="1">
      <c r="B32" s="166" t="s">
        <v>261</v>
      </c>
      <c r="C32" s="275" t="s">
        <v>262</v>
      </c>
      <c r="D32" s="276"/>
      <c r="E32" s="277"/>
      <c r="F32" s="285" t="s">
        <v>263</v>
      </c>
      <c r="G32" s="285"/>
      <c r="H32" s="285"/>
      <c r="I32" s="285"/>
      <c r="J32" s="286"/>
    </row>
    <row r="33" spans="1:31" ht="50.25" customHeight="1">
      <c r="B33" s="166" t="s">
        <v>264</v>
      </c>
      <c r="C33" s="293" t="s">
        <v>265</v>
      </c>
      <c r="D33" s="294"/>
      <c r="E33" s="294"/>
      <c r="F33" s="288" t="s">
        <v>266</v>
      </c>
      <c r="G33" s="288"/>
      <c r="H33" s="288"/>
      <c r="I33" s="288"/>
      <c r="J33" s="319"/>
    </row>
    <row r="34" spans="1:31" ht="15.75">
      <c r="B34" s="167"/>
      <c r="C34" s="168"/>
      <c r="D34" s="168"/>
      <c r="E34" s="168"/>
      <c r="F34" s="168"/>
      <c r="G34" s="168"/>
      <c r="H34" s="168"/>
      <c r="I34" s="168"/>
    </row>
    <row r="35" spans="1:31" ht="15.75">
      <c r="B35" s="295" t="str">
        <f>D1</f>
        <v>Иванов Иван Иванович</v>
      </c>
      <c r="C35" s="296"/>
      <c r="D35" s="296"/>
      <c r="E35" s="296"/>
      <c r="F35" s="291"/>
      <c r="G35" s="291"/>
      <c r="H35" s="169">
        <f ca="1">TODAY()</f>
        <v>45294</v>
      </c>
      <c r="I35" s="168"/>
    </row>
    <row r="36" spans="1:31" ht="15.75">
      <c r="B36" s="292" t="s">
        <v>267</v>
      </c>
      <c r="C36" s="292"/>
      <c r="D36" s="292"/>
      <c r="E36" s="292"/>
      <c r="F36" s="292" t="s">
        <v>268</v>
      </c>
      <c r="G36" s="292"/>
      <c r="H36" s="168"/>
      <c r="I36" s="168"/>
    </row>
    <row r="37" spans="1:31" ht="27.75" customHeight="1">
      <c r="A37" s="1">
        <v>1</v>
      </c>
      <c r="B37" s="2"/>
      <c r="C37" s="2"/>
      <c r="D37" s="2"/>
      <c r="E37" s="2"/>
      <c r="F37" s="342"/>
      <c r="G37" s="342"/>
      <c r="H37" s="342"/>
      <c r="I37" s="77"/>
      <c r="J37" s="77"/>
      <c r="K37" s="77"/>
      <c r="L37" s="77"/>
      <c r="M37" s="127">
        <f>IF(H44=1,1,IF(M44=1,2,IF(N44=1,1,0)))</f>
        <v>2</v>
      </c>
      <c r="N37" s="337" t="s">
        <v>0</v>
      </c>
      <c r="O37" s="337"/>
      <c r="P37" s="337"/>
      <c r="Q37" s="337"/>
    </row>
    <row r="38" spans="1:31" ht="3" hidden="1" customHeight="1">
      <c r="A38" s="4"/>
      <c r="B38" s="2"/>
      <c r="C38" s="2"/>
      <c r="D38" s="2"/>
      <c r="E38" s="2"/>
      <c r="F38" s="342"/>
      <c r="G38" s="342"/>
      <c r="H38" s="342"/>
      <c r="I38" s="77"/>
      <c r="J38" s="77"/>
      <c r="K38" s="77"/>
      <c r="L38" s="77"/>
      <c r="M38" s="129"/>
    </row>
    <row r="39" spans="1:31" ht="9.75" hidden="1" customHeight="1">
      <c r="A39" s="4"/>
      <c r="B39" s="2"/>
      <c r="C39" s="2"/>
      <c r="D39" s="2"/>
      <c r="E39" s="2"/>
      <c r="F39" s="342"/>
      <c r="G39" s="342"/>
      <c r="H39" s="342"/>
      <c r="I39" s="77"/>
      <c r="J39" s="77"/>
      <c r="K39" s="77"/>
      <c r="L39" s="77"/>
      <c r="M39" s="129"/>
    </row>
    <row r="40" spans="1:31" ht="2.25" hidden="1" customHeight="1">
      <c r="A40" s="4"/>
      <c r="B40" s="2"/>
      <c r="C40" s="2"/>
      <c r="D40" s="2"/>
      <c r="E40" s="2"/>
      <c r="F40" s="342"/>
      <c r="G40" s="342"/>
      <c r="H40" s="342"/>
      <c r="I40" s="77"/>
      <c r="J40" s="77"/>
      <c r="K40" s="77"/>
      <c r="L40" s="77"/>
      <c r="M40" s="129"/>
    </row>
    <row r="41" spans="1:31" ht="14.25" customHeight="1">
      <c r="A41" s="6" t="str">
        <f>IF(H44=1,"СП - КП",IF(M44=1,"Экспресс",IF(N44=1,"Спецпроцедура"," ")))</f>
        <v>Экспресс</v>
      </c>
      <c r="B41" s="341" t="s">
        <v>1</v>
      </c>
      <c r="C41" s="341"/>
      <c r="D41" s="341"/>
      <c r="E41" s="341"/>
      <c r="F41" s="341"/>
      <c r="G41" s="341"/>
      <c r="H41" s="341"/>
      <c r="I41" s="341"/>
      <c r="J41" s="78"/>
      <c r="K41" s="78"/>
      <c r="L41" s="78"/>
      <c r="M41" s="2">
        <f>IF(M37=0,1,0)</f>
        <v>0</v>
      </c>
    </row>
    <row r="42" spans="1:31" ht="2.25" customHeight="1">
      <c r="A42" s="4"/>
      <c r="B42" s="2"/>
      <c r="C42" s="2"/>
      <c r="D42" s="2"/>
      <c r="E42" s="2"/>
      <c r="F42" s="2"/>
      <c r="G42" s="2"/>
      <c r="H42" s="4"/>
      <c r="I42" s="4"/>
      <c r="J42" s="4"/>
      <c r="K42" s="4"/>
      <c r="L42" s="4"/>
    </row>
    <row r="43" spans="1:31" ht="15" hidden="1" customHeight="1">
      <c r="A43" s="7"/>
      <c r="G43" s="4"/>
      <c r="H43" s="4" t="s">
        <v>4</v>
      </c>
      <c r="I43" s="4"/>
      <c r="J43" s="4"/>
      <c r="K43" s="4"/>
      <c r="L43" s="4"/>
      <c r="M43" s="2" t="s">
        <v>5</v>
      </c>
      <c r="N43" s="2" t="s">
        <v>6</v>
      </c>
    </row>
    <row r="44" spans="1:31" ht="15" hidden="1" customHeight="1">
      <c r="A44" s="7"/>
      <c r="G44" s="4"/>
      <c r="H44" s="4">
        <f>IF(D2&gt;288450000000,IF(D2&lt;288499999999,1,IF(D2&gt;288997000000,IF(D2&lt;288997999999,1,0),0)),0)</f>
        <v>0</v>
      </c>
      <c r="I44" s="4"/>
      <c r="J44" s="4"/>
      <c r="K44" s="4"/>
      <c r="L44" s="4"/>
      <c r="M44" s="2">
        <v>1</v>
      </c>
      <c r="N44" s="2">
        <v>0</v>
      </c>
      <c r="O44" s="2">
        <v>0</v>
      </c>
    </row>
    <row r="45" spans="1:31" ht="6.75" hidden="1" customHeight="1" thickBot="1">
      <c r="A45" s="8"/>
      <c r="G45" s="10"/>
      <c r="H45" s="10"/>
      <c r="I45" s="10"/>
      <c r="J45" s="10"/>
      <c r="K45" s="10"/>
      <c r="L45" s="10"/>
      <c r="O45" s="130"/>
      <c r="AE45" s="2">
        <v>0</v>
      </c>
    </row>
    <row r="46" spans="1:31" ht="15" hidden="1" customHeight="1" thickBot="1">
      <c r="A46" s="7"/>
      <c r="G46" s="12" t="s">
        <v>7</v>
      </c>
      <c r="H46" s="13">
        <f ca="1">F59+G59+A129+D4</f>
        <v>6499.9453039166647</v>
      </c>
      <c r="I46" s="40"/>
      <c r="J46" s="40"/>
      <c r="K46" s="40"/>
      <c r="L46" s="40"/>
      <c r="AD46" s="2">
        <v>6</v>
      </c>
      <c r="AE46" s="2">
        <v>1</v>
      </c>
    </row>
    <row r="47" spans="1:31" ht="15.75" hidden="1" customHeight="1">
      <c r="A47" s="7"/>
      <c r="G47" s="4"/>
      <c r="H47" s="4"/>
      <c r="I47" s="4"/>
      <c r="J47" s="4"/>
      <c r="K47" s="4"/>
      <c r="L47" s="4"/>
      <c r="M47" s="337" t="s">
        <v>9</v>
      </c>
      <c r="N47" s="337"/>
      <c r="O47" s="337"/>
      <c r="P47" s="337"/>
      <c r="Q47" s="131">
        <f ca="1">R47-Q48-1</f>
        <v>27</v>
      </c>
      <c r="R47" s="2">
        <f ca="1">IF(DAY(D10)=31,31,30)</f>
        <v>30</v>
      </c>
      <c r="AD47" s="2">
        <v>12</v>
      </c>
      <c r="AE47" s="2">
        <v>3</v>
      </c>
    </row>
    <row r="48" spans="1:31" ht="14.25" hidden="1" customHeight="1">
      <c r="A48" s="7"/>
      <c r="G48" s="4">
        <f>D6*12</f>
        <v>0</v>
      </c>
      <c r="H48" s="4"/>
      <c r="I48" s="4"/>
      <c r="J48" s="4"/>
      <c r="K48" s="4"/>
      <c r="L48" s="4"/>
      <c r="M48" s="337" t="s">
        <v>11</v>
      </c>
      <c r="N48" s="337"/>
      <c r="O48" s="337"/>
      <c r="P48" s="337"/>
      <c r="Q48" s="131">
        <f ca="1">DATE(YEAR(0),MONTH(0),DAY(D10)-1)</f>
        <v>2</v>
      </c>
      <c r="AD48" s="2">
        <v>18</v>
      </c>
      <c r="AE48" s="2">
        <v>6</v>
      </c>
    </row>
    <row r="49" spans="1:142" ht="28.5" hidden="1" customHeight="1">
      <c r="A49" s="16" t="s">
        <v>12</v>
      </c>
      <c r="G49" s="4"/>
      <c r="H49" s="4"/>
      <c r="I49" s="4"/>
      <c r="J49" s="4"/>
      <c r="K49" s="4"/>
      <c r="L49" s="4"/>
      <c r="M49" s="128"/>
      <c r="N49" s="128"/>
      <c r="O49" s="128"/>
      <c r="P49" s="128"/>
      <c r="Q49" s="131"/>
      <c r="AD49" s="2">
        <v>12</v>
      </c>
      <c r="AE49" s="2">
        <v>3</v>
      </c>
    </row>
    <row r="50" spans="1:142" ht="15" hidden="1" customHeight="1">
      <c r="A50" s="17">
        <f ca="1">IF(DAY(D10)&lt;=21,D8,D8+1)</f>
        <v>60</v>
      </c>
      <c r="G50" s="4"/>
      <c r="H50" s="4"/>
      <c r="I50" s="4"/>
      <c r="J50" s="4"/>
      <c r="K50" s="4"/>
      <c r="L50" s="4"/>
      <c r="M50" s="2">
        <f ca="1">IF(M37=1,IF(F4="USD",0,A50),IF(M37=2,A50," "))</f>
        <v>60</v>
      </c>
      <c r="AD50" s="2">
        <v>24</v>
      </c>
      <c r="AE50" s="2">
        <v>6</v>
      </c>
    </row>
    <row r="51" spans="1:142" ht="15" hidden="1" customHeight="1">
      <c r="A51" s="82"/>
      <c r="G51" s="4"/>
      <c r="H51" s="4"/>
      <c r="I51" s="4"/>
      <c r="J51" s="4"/>
      <c r="K51" s="4"/>
      <c r="L51" s="4"/>
      <c r="AD51" s="2">
        <v>36</v>
      </c>
      <c r="AE51" s="2">
        <v>12</v>
      </c>
    </row>
    <row r="52" spans="1:142" ht="15" hidden="1" customHeight="1">
      <c r="A52" s="7"/>
      <c r="G52" s="10"/>
      <c r="H52" s="10"/>
      <c r="I52" s="10"/>
      <c r="J52" s="10"/>
      <c r="K52" s="10"/>
      <c r="L52" s="10"/>
      <c r="M52" s="132">
        <f ca="1">A50-D9</f>
        <v>48</v>
      </c>
      <c r="AD52" s="2">
        <v>48</v>
      </c>
    </row>
    <row r="53" spans="1:142" ht="15.75" hidden="1" customHeight="1">
      <c r="A53" s="4">
        <f ca="1">IF(A50&gt;61,1,0)</f>
        <v>0</v>
      </c>
      <c r="G53" s="10"/>
      <c r="H53" s="18"/>
      <c r="I53" s="18"/>
      <c r="J53" s="18"/>
      <c r="K53" s="18"/>
      <c r="L53" s="18"/>
      <c r="AD53" s="2">
        <v>60</v>
      </c>
    </row>
    <row r="54" spans="1:142" ht="15.75" hidden="1" customHeight="1">
      <c r="A54" s="4"/>
      <c r="G54" s="10"/>
      <c r="H54" s="18"/>
      <c r="I54" s="18"/>
      <c r="J54" s="18"/>
      <c r="K54" s="18"/>
      <c r="L54" s="18"/>
    </row>
    <row r="55" spans="1:142" ht="15.75" hidden="1" customHeight="1">
      <c r="A55" s="4"/>
      <c r="G55" s="4"/>
      <c r="H55" s="4"/>
      <c r="I55" s="4"/>
      <c r="J55" s="4"/>
      <c r="K55" s="4"/>
      <c r="L55" s="4"/>
    </row>
    <row r="56" spans="1:142" ht="12.75" hidden="1" customHeight="1">
      <c r="A56" s="4"/>
      <c r="B56" s="4"/>
      <c r="C56" s="4"/>
      <c r="D56" s="297" t="s">
        <v>79</v>
      </c>
      <c r="E56" s="297"/>
      <c r="F56" s="297"/>
      <c r="G56" s="4"/>
      <c r="H56" s="4"/>
      <c r="I56" s="4"/>
      <c r="J56" s="4"/>
      <c r="K56" s="4"/>
      <c r="L56" s="4"/>
    </row>
    <row r="57" spans="1:142" ht="12.75" hidden="1" customHeight="1">
      <c r="A57" s="4"/>
      <c r="B57" s="4"/>
      <c r="C57" s="4"/>
      <c r="D57" s="272" t="s">
        <v>79</v>
      </c>
      <c r="E57" s="272"/>
      <c r="F57" s="272"/>
      <c r="G57" s="4"/>
      <c r="H57" s="4"/>
      <c r="I57" s="4"/>
      <c r="J57" s="4"/>
      <c r="K57" s="4"/>
      <c r="L57" s="4"/>
    </row>
    <row r="58" spans="1:142" ht="12.75" hidden="1" customHeight="1">
      <c r="A58" s="4"/>
      <c r="B58" s="4"/>
      <c r="C58" s="4"/>
      <c r="D58" s="272" t="s">
        <v>79</v>
      </c>
      <c r="E58" s="272"/>
      <c r="F58" s="272"/>
      <c r="G58" s="4"/>
      <c r="H58" s="4"/>
      <c r="I58" s="4"/>
      <c r="J58" s="4"/>
      <c r="K58" s="4"/>
      <c r="L58" s="4"/>
    </row>
    <row r="59" spans="1:142" ht="12.75" hidden="1" customHeight="1">
      <c r="A59" s="4"/>
      <c r="B59" s="4"/>
      <c r="C59" s="4"/>
      <c r="D59" s="298">
        <f ca="1">SUM(D62:E122)</f>
        <v>8000.0000000000055</v>
      </c>
      <c r="E59" s="298"/>
      <c r="F59" s="22">
        <f ca="1">SUM(F62:F123)/2</f>
        <v>2499.9453039166647</v>
      </c>
      <c r="G59" s="22">
        <v>0</v>
      </c>
      <c r="H59" s="22">
        <f ca="1">SUM(H62:H109)</f>
        <v>4789.8368805555529</v>
      </c>
      <c r="I59" s="22"/>
      <c r="J59" s="22"/>
      <c r="K59" s="22"/>
      <c r="L59" s="22"/>
    </row>
    <row r="60" spans="1:142" ht="17.25" customHeight="1">
      <c r="A60" s="4"/>
      <c r="B60" s="347" t="s">
        <v>21</v>
      </c>
      <c r="C60" s="348"/>
      <c r="D60" s="334" t="s">
        <v>140</v>
      </c>
      <c r="E60" s="335"/>
      <c r="F60" s="335"/>
      <c r="G60" s="335"/>
      <c r="H60" s="336"/>
      <c r="I60" s="270" t="s">
        <v>141</v>
      </c>
      <c r="J60" s="271"/>
      <c r="K60" s="271"/>
      <c r="L60" s="271"/>
    </row>
    <row r="61" spans="1:142" ht="44.25" customHeight="1">
      <c r="A61" s="4">
        <f ca="1">IF(ABS(A50-D8)&gt;(D9),1,0)</f>
        <v>0</v>
      </c>
      <c r="B61" s="349"/>
      <c r="C61" s="350"/>
      <c r="D61" s="273" t="s">
        <v>22</v>
      </c>
      <c r="E61" s="274"/>
      <c r="F61" s="88" t="s">
        <v>23</v>
      </c>
      <c r="G61" s="88" t="s">
        <v>24</v>
      </c>
      <c r="H61" s="89" t="s">
        <v>25</v>
      </c>
      <c r="I61" s="76" t="s">
        <v>22</v>
      </c>
      <c r="J61" s="76" t="s">
        <v>23</v>
      </c>
      <c r="K61" s="76" t="s">
        <v>24</v>
      </c>
      <c r="L61" s="76" t="s">
        <v>25</v>
      </c>
      <c r="N61" s="133" t="s">
        <v>26</v>
      </c>
      <c r="O61" s="133" t="s">
        <v>27</v>
      </c>
      <c r="P61" s="133" t="s">
        <v>28</v>
      </c>
      <c r="Q61" s="133" t="s">
        <v>29</v>
      </c>
      <c r="R61" s="133" t="s">
        <v>30</v>
      </c>
      <c r="S61" s="133">
        <v>2</v>
      </c>
      <c r="T61" s="133"/>
      <c r="U61" s="133" t="s">
        <v>31</v>
      </c>
      <c r="V61" s="133" t="s">
        <v>32</v>
      </c>
      <c r="W61" s="133" t="s">
        <v>142</v>
      </c>
      <c r="X61" s="133" t="s">
        <v>142</v>
      </c>
      <c r="Y61" s="133"/>
      <c r="Z61" s="133"/>
      <c r="AA61" s="133"/>
      <c r="AB61" s="133" t="s">
        <v>33</v>
      </c>
      <c r="AC61" s="133" t="s">
        <v>186</v>
      </c>
      <c r="AD61" s="133" t="s">
        <v>28</v>
      </c>
      <c r="AE61" s="133" t="s">
        <v>29</v>
      </c>
      <c r="AF61" s="133" t="s">
        <v>143</v>
      </c>
      <c r="AG61" s="133" t="s">
        <v>143</v>
      </c>
      <c r="AH61" s="133"/>
      <c r="AI61" s="133"/>
      <c r="AJ61" s="133" t="s">
        <v>30</v>
      </c>
      <c r="AK61" s="133" t="s">
        <v>31</v>
      </c>
      <c r="AL61" s="133" t="s">
        <v>32</v>
      </c>
    </row>
    <row r="62" spans="1:142" s="24" customFormat="1" ht="15" customHeight="1">
      <c r="A62" s="4">
        <v>1</v>
      </c>
      <c r="B62" s="317">
        <f ca="1">IF(N62=0,IF(N61=1,"ИТОГО"," "),DATE(YEAR(D10),MONTH(D10)+1,O62))</f>
        <v>45342</v>
      </c>
      <c r="C62" s="317"/>
      <c r="D62" s="318">
        <f ca="1">IF(N62=0,0,IF(F4="USD",ROUND(D4/M50,0),IF(F4="бел. рублей",IF(AX62&lt;=5,AV62,AV62)," ")))</f>
        <v>66.67</v>
      </c>
      <c r="E62" s="318"/>
      <c r="F62" s="87">
        <f ca="1">IF(M37=1,P62,IF(M37=2,Q62," "))</f>
        <v>48.300000000000004</v>
      </c>
      <c r="G62" s="87">
        <v>0</v>
      </c>
      <c r="H62" s="87">
        <f ca="1">SUM(D62:G62)+A124</f>
        <v>114.97</v>
      </c>
      <c r="I62" s="87">
        <f ca="1">T62</f>
        <v>66.67</v>
      </c>
      <c r="J62" s="87">
        <f t="shared" ref="J62:J93" ca="1" si="0">AA62</f>
        <v>48.300000000000004</v>
      </c>
      <c r="K62" s="87">
        <v>0</v>
      </c>
      <c r="L62" s="87">
        <f ca="1">SUM(I62:K62)+A124</f>
        <v>114.97</v>
      </c>
      <c r="M62" s="2">
        <v>1</v>
      </c>
      <c r="N62" s="2">
        <f ca="1">IF(M37=1,IF(M50&gt;0,1,0),IF(M37=2,IF(M50&gt;0,1,0),0))</f>
        <v>1</v>
      </c>
      <c r="O62" s="2">
        <f t="shared" ref="O62:O93" ca="1" si="1">IF(D$8+1=A$50,IF(M62=A$50,IF(DATE(YEAR(0),MONTH(0),DAY(D$10)-1)&gt;AS62,DATE(YEAR(0),MONTH(0),DAY(D$10)-1),AS62),AS62),IF(M62=A$50,IF(DATE(YEAR(0),MONTH(0),DAY(D$10)-1)&lt;AS62,DATE(YEAR(0),MONTH(0),DAY(D$10)-1),AS62),AS62))</f>
        <v>20</v>
      </c>
      <c r="P62" s="134">
        <f ca="1">U62</f>
        <v>48.300000000000004</v>
      </c>
      <c r="Q62" s="134">
        <f ca="1">V62</f>
        <v>48.300000000000004</v>
      </c>
      <c r="R62" s="134">
        <f>D4</f>
        <v>4000</v>
      </c>
      <c r="S62" s="134">
        <f>IF(M63&lt;=D$9,D$4/(D$8-M62),D63)</f>
        <v>67.79661016949153</v>
      </c>
      <c r="T62" s="134">
        <f ca="1">AV62</f>
        <v>66.67</v>
      </c>
      <c r="U62" s="134">
        <f ca="1">R62*Q47*D5/36000</f>
        <v>48.300000000000004</v>
      </c>
      <c r="V62" s="134">
        <f ca="1">R62*Q47*D5/36000</f>
        <v>48.300000000000004</v>
      </c>
      <c r="W62" s="134">
        <f ca="1">IF(D4*Q47*D5/36000&lt;&gt;0,IF(VALUE(RIGHT(ROUND(D4*Q47*D5/36000,0)))&lt;=5,ROUND(D4*Q47*D5/36000,0)-VALUE(RIGHT(ROUND(D4*Q47*D5/36000,0))),ROUND(D4*Q47*D5/36000,0)+10-VALUE(RIGHT(ROUND(D4*Q47*D5/36000,0)))),0)</f>
        <v>50</v>
      </c>
      <c r="X62" s="134">
        <f ca="1">IF(D4*Q47*D5/36000&lt;&gt;0,IF(VALUE(RIGHT(ROUND(D4*Q47*D5/36000,0)))&lt;=5,ROUND(D4*Q47*D5/36000,0)-VALUE(RIGHT(ROUND(D4*Q47*D5/36000,0))),ROUND(D4*Q47*D5/36000,0)+10-VALUE(RIGHT(ROUND(D4*Q47*D5/36000,0)))),0)</f>
        <v>50</v>
      </c>
      <c r="Y62" s="134">
        <f t="shared" ref="Y62:Y93" si="2">IF(M62&lt;=(D$9+1),D$4,Y61-I61)</f>
        <v>4000</v>
      </c>
      <c r="Z62" s="134">
        <f ca="1">Y62*Q47*D5/36000</f>
        <v>48.300000000000004</v>
      </c>
      <c r="AA62" s="134">
        <f ca="1">Z62</f>
        <v>48.300000000000004</v>
      </c>
      <c r="AB62" s="134">
        <f ca="1">R62*Q47</f>
        <v>108000</v>
      </c>
      <c r="AC62" s="134">
        <f ca="1">Y62*Q47</f>
        <v>108000</v>
      </c>
      <c r="AD62" s="134">
        <f t="shared" ref="AD62:AD93" ca="1" si="3">IF(AK62&lt;&gt;0,IF(VALUE(RIGHT(ROUND(AK62,0)))&lt;=5,ROUND(AK62,0)-VALUE(RIGHT(ROUND(AK62,0))),ROUND(AK62,0)+10-VALUE(RIGHT(ROUND(AK62,0)))),0)</f>
        <v>0</v>
      </c>
      <c r="AE62" s="134">
        <f t="shared" ref="AE62:AE93" ca="1" si="4">IF(AL62&lt;&gt;0,IF(VALUE(RIGHT(ROUND(AL62,0)))&lt;=5,ROUND(AL62,0)-VALUE(RIGHT(ROUND(AL62,0))),ROUND(AL62,0)+10-VALUE(RIGHT(ROUND(AL62,0)))),0)</f>
        <v>0</v>
      </c>
      <c r="AF62" s="134">
        <f ca="1">AJ62*Q47*G48/36000</f>
        <v>0</v>
      </c>
      <c r="AG62" s="134">
        <f t="shared" ref="AG62:AG93" ca="1" si="5">IF(AF62&lt;&gt;0,IF(VALUE(RIGHT(ROUND(AF62,0)))&lt;=5,ROUND(AF62,0)-VALUE(RIGHT(ROUND(AF62,0))),ROUND(AF62,0)+10-VALUE(RIGHT(ROUND(AF62,0)))),0)</f>
        <v>0</v>
      </c>
      <c r="AH62" s="134">
        <f ca="1">Y62*Q47*G48/36000</f>
        <v>0</v>
      </c>
      <c r="AI62" s="134">
        <f ca="1">IF(AH62&lt;&gt;0,IF(VALUE(RIGHT(ROUND(AH62,0)))&lt;=5,ROUND(AH62,0)-VALUE(RIGHT(ROUND(AH62,0))),ROUND(AH62,0)+10-VALUE(RIGHT(ROUND(AH62,0)))),0)</f>
        <v>0</v>
      </c>
      <c r="AJ62" s="134">
        <f t="shared" ref="AJ62:AJ93" si="6">R62</f>
        <v>4000</v>
      </c>
      <c r="AK62" s="134">
        <f ca="1">AJ62*Q47*G48/36000</f>
        <v>0</v>
      </c>
      <c r="AL62" s="134">
        <f ca="1">AJ62*Q47*G48/36000</f>
        <v>0</v>
      </c>
      <c r="AM62" s="132">
        <f ca="1">IF(N62=0,0,MONTH(D10)+1)</f>
        <v>2</v>
      </c>
      <c r="AN62" s="132">
        <f t="shared" ref="AN62:AN93" ca="1" si="7">IF(AM62=13,1,AM62)</f>
        <v>2</v>
      </c>
      <c r="AO62" s="2">
        <f ca="1">IF(N62=0,0,YEAR(D10))</f>
        <v>2024</v>
      </c>
      <c r="AP62" s="2">
        <f t="shared" ref="AP62:AP93" ca="1" si="8">IF(AN62=1,AO62+1,AO62)</f>
        <v>2024</v>
      </c>
      <c r="AQ62" s="2">
        <f t="shared" ref="AQ62:AQ93" ca="1" si="9">IF((AO62/2012)=1,1,IF((AO62/2016)=1,1,IF((AO62/2020)=1,1,IF((AO62/2024)=1,1,IF((AO62/2028)=1,1,IF((AO62/2032)=1,1,0))))))</f>
        <v>1</v>
      </c>
      <c r="AR62" s="2">
        <f t="shared" ref="AR62:AR93" ca="1" si="10">IF(AN62=2,IF(AQ62=1,29,28),30)</f>
        <v>29</v>
      </c>
      <c r="AS62" s="2">
        <f t="shared" ref="AS62:AS93" si="11">IF(C$61=30,AR62,20)</f>
        <v>20</v>
      </c>
      <c r="AT62" s="2"/>
      <c r="AU62" s="2"/>
      <c r="AV62" s="142">
        <f ca="1">ROUND(IF(N62=0,0,IF(F4="USD",ROUND(D4/M50,2),IF(F4="бел. рублей",D4/M50," "))),2)</f>
        <v>66.67</v>
      </c>
      <c r="AW62" s="132" t="str">
        <f ca="1">RIGHT(AV62)</f>
        <v>7</v>
      </c>
      <c r="AX62" s="2">
        <f ca="1">VALUE(AW62)</f>
        <v>7</v>
      </c>
      <c r="AY62" s="2">
        <f ca="1">10-AX62</f>
        <v>3</v>
      </c>
      <c r="AZ62" s="2">
        <f t="shared" ref="AZ62:AZ93" ca="1" si="12">IF(D$9=0,0,IF(N62=1,1,0))</f>
        <v>1</v>
      </c>
      <c r="BA62" s="2"/>
      <c r="BB62" s="2"/>
      <c r="BC62" s="2"/>
      <c r="BD62" s="2"/>
      <c r="BE62" s="2"/>
      <c r="BF62" s="21"/>
      <c r="BG62" s="143">
        <f ca="1">ROUND((D4-D62*(M50-1)),2)</f>
        <v>66.47</v>
      </c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</row>
    <row r="63" spans="1:142" s="24" customFormat="1" ht="15" customHeight="1">
      <c r="A63" s="4">
        <f t="shared" ref="A63:A85" si="13">A62+1</f>
        <v>2</v>
      </c>
      <c r="B63" s="268">
        <f t="shared" ref="B63:B94" ca="1" si="14">IF(N63=0,IF(N62=1,"ИТОГО"," "),IF(A$50=D$8+1,IF(M63=A$50,IF(MONTH(B62)=2,IF(DAY(D$10)&gt;29,DATE(YEAR(B62),MONTH(B62),AT63),DATE(YEAR(B62),MONTH(B62),O63)),DATE(YEAR(B62),MONTH(B62),O63)),DATE(YEAR(B62),MONTH(B62)+1,O63)),DATE(YEAR(B62),MONTH(B62)+1,O63)))</f>
        <v>45371</v>
      </c>
      <c r="C63" s="268"/>
      <c r="D63" s="269">
        <f ca="1">IF(N63=0,IF(N62=1,D62," "),IF(N63=0,0,IF(N64=1,D62,IF(N64=0,ROUNDUP(D4-D62*(M50-1),2)," "))))</f>
        <v>66.67</v>
      </c>
      <c r="E63" s="269"/>
      <c r="F63" s="87">
        <f ca="1">IF(N63=0,IF(N62=1,F62," "),IF(M37=1,P63,IF(M37=2,Q63," ")))</f>
        <v>53.368503611111123</v>
      </c>
      <c r="G63" s="87">
        <v>0</v>
      </c>
      <c r="H63" s="87">
        <f t="shared" ref="H63:H94" ca="1" si="15">IF(SUM(D63:G63)=0," ",SUM(D63:G63))</f>
        <v>120.03850361111112</v>
      </c>
      <c r="I63" s="87">
        <f t="shared" ref="I63:I94" ca="1" si="16">IF(N63=1,IF(N64=1,IF(M63&lt;=D$9,T63,AW$63),D$4-AW$63*M$52+AW$63),0)</f>
        <v>67.79661016949153</v>
      </c>
      <c r="J63" s="87">
        <f t="shared" ca="1" si="0"/>
        <v>53.666666666666679</v>
      </c>
      <c r="K63" s="87">
        <v>0</v>
      </c>
      <c r="L63" s="87">
        <f t="shared" ref="L63:L94" ca="1" si="17">IF(SUM(I63:K63)=0," ",SUM(I63:K63))</f>
        <v>121.4632768361582</v>
      </c>
      <c r="M63" s="2">
        <f t="shared" ref="M63:M85" si="18">M62+1</f>
        <v>2</v>
      </c>
      <c r="N63" s="2">
        <f ca="1">IF(M37=1,IF(M50&gt;1,1,0),IF(M37=2,IF(M50&gt;1,1,0),0))</f>
        <v>1</v>
      </c>
      <c r="O63" s="2">
        <f t="shared" ca="1" si="1"/>
        <v>20</v>
      </c>
      <c r="P63" s="134">
        <f t="shared" ref="P63:P122" ca="1" si="19">U63</f>
        <v>53.368503611111123</v>
      </c>
      <c r="Q63" s="134">
        <f t="shared" ref="Q63:Q122" ca="1" si="20">V63</f>
        <v>53.368503611111123</v>
      </c>
      <c r="R63" s="134">
        <f t="shared" ref="R63:R94" ca="1" si="21">IF(N63=0,0,R62-D62)</f>
        <v>3933.33</v>
      </c>
      <c r="S63" s="134">
        <f t="shared" ref="S63:S94" si="22">IF(M63&lt;=D$9,D$4/(D$8-M62),D63)</f>
        <v>67.79661016949153</v>
      </c>
      <c r="T63" s="134">
        <f>S63</f>
        <v>67.79661016949153</v>
      </c>
      <c r="U63" s="134">
        <f ca="1">IF(N64=1,R62*D5*20/36000+R63*D5*10/36000,IF(N64=0,IF(N63=0,0,R63*D5*Q48/36000+R62*D5*20/36000+R63*D5*10/36000)))</f>
        <v>53.368503611111123</v>
      </c>
      <c r="V63" s="134">
        <f ca="1">IF(N64=1,R62*D5*20/36000+R63*D5*10/36000,IF(N64=0,IF(N63=0,0,R63*D5*Q48/36000+R62*D5*20/36000+R63*D5*10/36000)))</f>
        <v>53.368503611111123</v>
      </c>
      <c r="W63" s="134">
        <f t="shared" ref="W63:W94" ca="1" si="23">IF(N64=1,$D$4*$D$5*20/36000+$D$4*$D$5*10/36000,IF(N64=0,IF(N63=0,0,$D$4*$D$5*$Q$48/36000+$D$4*$D$5*20/36000+$D$4*$D$5*10/36000)))</f>
        <v>53.666666666666679</v>
      </c>
      <c r="X63" s="134">
        <f t="shared" ref="X63:X94" ca="1" si="24">IF(W63&lt;&gt;0,IF(VALUE(RIGHT(ROUND(W63,0)))&lt;=5,ROUND(W63,0)-VALUE(RIGHT(ROUND(W63,0))),ROUND(W63,0)+10-VALUE(RIGHT(ROUND(W63,0)))),0)</f>
        <v>50</v>
      </c>
      <c r="Y63" s="134">
        <f t="shared" si="2"/>
        <v>4000</v>
      </c>
      <c r="Z63" s="134">
        <f ca="1">IF(N64=1,Y62*D$5*20/36000+Y63*D$5*10/36000,IF(N64=0,IF(N63=0,0,Y63*D$5*Q$48/36000+Y62*D$5*20/36000+Y63*D$5*10/36000)))</f>
        <v>53.666666666666679</v>
      </c>
      <c r="AA63" s="134">
        <f t="shared" ref="AA63:AA122" ca="1" si="25">Z63</f>
        <v>53.666666666666679</v>
      </c>
      <c r="AB63" s="134">
        <f ca="1">IF(R64=0,R63*Q48,(R62*20+R63*10))</f>
        <v>119333.3</v>
      </c>
      <c r="AC63" s="134">
        <f t="shared" ref="AC63:AC68" si="26">IF(Y64=0,Y63*Q48,(Y62*20+Y63*10))</f>
        <v>120000</v>
      </c>
      <c r="AD63" s="134">
        <f t="shared" ca="1" si="3"/>
        <v>0</v>
      </c>
      <c r="AE63" s="134">
        <f t="shared" ca="1" si="4"/>
        <v>0</v>
      </c>
      <c r="AF63" s="134">
        <f t="shared" ref="AF63:AF94" ca="1" si="27">IF(N64=1,D$4*G$48*20/36000+D$4*G$48*10/36000,IF(N64=0,IF(N63=0,0,D$4*G$48*Q$48/36000+D$4*G$48*20/36000+D$4*G$48*10/36000)))</f>
        <v>0</v>
      </c>
      <c r="AG63" s="134">
        <f t="shared" ca="1" si="5"/>
        <v>0</v>
      </c>
      <c r="AH63" s="134">
        <f t="shared" ref="AH63:AH94" ca="1" si="28">IF(N64=1,Y62*G$48*20/36000+Y63*G$48*10/36000,IF(N64=0,IF(N63=0,0,Y63*G$48*Q$48/36000+Y62*G$48*20/36000+Y63*G$48*10/36000)))</f>
        <v>0</v>
      </c>
      <c r="AI63" s="134">
        <f t="shared" ref="AI63:AI122" ca="1" si="29">IF(AH63&lt;&gt;0,IF(VALUE(RIGHT(ROUND(AH63,0)))&lt;=5,ROUND(AH63,0)-VALUE(RIGHT(ROUND(AH63,0))),ROUND(AH63,0)+10-VALUE(RIGHT(ROUND(AH63,0)))),0)</f>
        <v>0</v>
      </c>
      <c r="AJ63" s="134">
        <f t="shared" ca="1" si="6"/>
        <v>3933.33</v>
      </c>
      <c r="AK63" s="134">
        <f ca="1">IF(N64=1,AJ62*G48*20/36000+AJ63*G48*10/36000,IF(N64=0,IF(N63=0,0,AJ63*G48*Q48/36000+AJ62*G48*20/36000+AJ63*G48*10/36000)))</f>
        <v>0</v>
      </c>
      <c r="AL63" s="134">
        <f ca="1">IF(N64=1,AJ62*G48*20/36000+AJ63*G48*10/36000,IF(N64=0,IF(N63=0,0,AJ63*G48*Q48/36000+AJ62*G48*20/36000+AJ63*G48*10/36000)))</f>
        <v>0</v>
      </c>
      <c r="AM63" s="132">
        <f t="shared" ref="AM63:AM94" ca="1" si="30">IF(N63=0,0,MONTH(B62)+1)</f>
        <v>3</v>
      </c>
      <c r="AN63" s="132">
        <f t="shared" ca="1" si="7"/>
        <v>3</v>
      </c>
      <c r="AO63" s="2">
        <f t="shared" ref="AO63:AO94" ca="1" si="31">IF(N63=0,0,YEAR(B62))</f>
        <v>2024</v>
      </c>
      <c r="AP63" s="2">
        <f t="shared" ca="1" si="8"/>
        <v>2024</v>
      </c>
      <c r="AQ63" s="2">
        <f t="shared" ca="1" si="9"/>
        <v>1</v>
      </c>
      <c r="AR63" s="2">
        <f t="shared" ca="1" si="10"/>
        <v>30</v>
      </c>
      <c r="AS63" s="2">
        <f t="shared" si="11"/>
        <v>20</v>
      </c>
      <c r="AT63" s="2">
        <f t="shared" ref="AT63:AT94" ca="1" si="32">AR62</f>
        <v>29</v>
      </c>
      <c r="AU63" s="2"/>
      <c r="AV63" s="142">
        <f ca="1">D$4/(A$50-D$9)</f>
        <v>83.333333333333329</v>
      </c>
      <c r="AW63" s="144">
        <f ca="1">ROUNDUP(AV63,2)</f>
        <v>83.34</v>
      </c>
      <c r="AX63" s="2"/>
      <c r="AY63" s="2"/>
      <c r="AZ63" s="2">
        <f t="shared" ca="1" si="12"/>
        <v>1</v>
      </c>
      <c r="BA63" s="2"/>
      <c r="BB63" s="2"/>
      <c r="BC63" s="2"/>
      <c r="BD63" s="2"/>
      <c r="BE63" s="2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</row>
    <row r="64" spans="1:142" s="24" customFormat="1" ht="15" customHeight="1">
      <c r="A64" s="4">
        <f t="shared" si="13"/>
        <v>3</v>
      </c>
      <c r="B64" s="268">
        <f t="shared" ca="1" si="14"/>
        <v>45402</v>
      </c>
      <c r="C64" s="268"/>
      <c r="D64" s="269">
        <f ca="1">IF(N64=0,IF(N63=1,D62+D63," "),IF(N64=0,0,IF(N65=1,D62,IF(N65=0,D4-D62*(M50-1)," "))))</f>
        <v>66.67</v>
      </c>
      <c r="E64" s="269"/>
      <c r="F64" s="87">
        <f ca="1">IF(N64=0,IF(N63=1,F62+F63," "),IF(M37=1,P64,IF(M37=2,Q64," ")))</f>
        <v>52.47401444444445</v>
      </c>
      <c r="G64" s="87">
        <v>0</v>
      </c>
      <c r="H64" s="87">
        <f t="shared" ca="1" si="15"/>
        <v>119.14401444444445</v>
      </c>
      <c r="I64" s="87">
        <f t="shared" ca="1" si="16"/>
        <v>68.965517241379317</v>
      </c>
      <c r="J64" s="87">
        <f t="shared" ca="1" si="0"/>
        <v>53.666666666666679</v>
      </c>
      <c r="K64" s="87">
        <v>0</v>
      </c>
      <c r="L64" s="87">
        <f t="shared" ca="1" si="17"/>
        <v>122.63218390804599</v>
      </c>
      <c r="M64" s="2">
        <f t="shared" si="18"/>
        <v>3</v>
      </c>
      <c r="N64" s="2">
        <f ca="1">IF(M37=1,IF(M50&gt;2,1,0),IF(M37=2,IF(M50&gt;2,1,0),0))</f>
        <v>1</v>
      </c>
      <c r="O64" s="2">
        <f t="shared" ca="1" si="1"/>
        <v>20</v>
      </c>
      <c r="P64" s="134">
        <f t="shared" ca="1" si="19"/>
        <v>52.47401444444445</v>
      </c>
      <c r="Q64" s="134">
        <f t="shared" ca="1" si="20"/>
        <v>52.47401444444445</v>
      </c>
      <c r="R64" s="134">
        <f t="shared" ca="1" si="21"/>
        <v>3866.66</v>
      </c>
      <c r="S64" s="134">
        <f t="shared" si="22"/>
        <v>68.965517241379317</v>
      </c>
      <c r="T64" s="134">
        <f>S64</f>
        <v>68.965517241379317</v>
      </c>
      <c r="U64" s="134">
        <f ca="1">IF(N65=1,R63*D5*20/36000+R64*D5*10/36000,IF(N65=0,IF(N64=0,0,R64*D5*Q48/36000+R63*D5*20/36000+R64*D5*10/36000)))</f>
        <v>52.47401444444445</v>
      </c>
      <c r="V64" s="134">
        <f ca="1">IF(N65=1,R63*D5*20/36000+R64*D5*10/36000,IF(N65=0,IF(N64=0,0,R64*D5*Q48/36000+R63*D5*20/36000+R64*D5*10/36000)))</f>
        <v>52.47401444444445</v>
      </c>
      <c r="W64" s="134">
        <f t="shared" ca="1" si="23"/>
        <v>53.666666666666679</v>
      </c>
      <c r="X64" s="134">
        <f t="shared" ca="1" si="24"/>
        <v>50</v>
      </c>
      <c r="Y64" s="134">
        <f t="shared" si="2"/>
        <v>4000</v>
      </c>
      <c r="Z64" s="134">
        <f ca="1">IF(N65=1,Y63*D$5*20/36000+Y64*D$5*10/36000,IF(N65=0,IF(N64=0,0,Y64*D$5*Q$48/36000+Y63*D$5*20/36000+Y64*D$5*10/36000)))</f>
        <v>53.666666666666679</v>
      </c>
      <c r="AA64" s="134">
        <f t="shared" ca="1" si="25"/>
        <v>53.666666666666679</v>
      </c>
      <c r="AB64" s="134">
        <f ca="1">IF(R65=0,R64*Q48,(R63*20+R64*10))</f>
        <v>117333.20000000001</v>
      </c>
      <c r="AC64" s="134">
        <f t="shared" si="26"/>
        <v>120000</v>
      </c>
      <c r="AD64" s="134">
        <f t="shared" ca="1" si="3"/>
        <v>0</v>
      </c>
      <c r="AE64" s="134">
        <f t="shared" ca="1" si="4"/>
        <v>0</v>
      </c>
      <c r="AF64" s="134">
        <f t="shared" ca="1" si="27"/>
        <v>0</v>
      </c>
      <c r="AG64" s="134">
        <f t="shared" ca="1" si="5"/>
        <v>0</v>
      </c>
      <c r="AH64" s="134">
        <f t="shared" ca="1" si="28"/>
        <v>0</v>
      </c>
      <c r="AI64" s="134">
        <f t="shared" ca="1" si="29"/>
        <v>0</v>
      </c>
      <c r="AJ64" s="134">
        <f t="shared" ca="1" si="6"/>
        <v>3866.66</v>
      </c>
      <c r="AK64" s="134">
        <f ca="1">IF(N65=1,AJ63*G48*20/36000+AJ64*G48*10/36000,IF(N65=0,IF(N64=0,0,AJ64*G48*Q48/36000+AJ63*G48*20/36000+AJ64*G48*10/36000)))</f>
        <v>0</v>
      </c>
      <c r="AL64" s="134">
        <f ca="1">IF(N65=1,AJ63*G48*20/36000+AJ64*G48*10/36000,IF(N65=0,IF(N64=0,0,AJ64*G48*Q48/36000+AJ63*G48*20/36000+AJ64*G48*10/36000)))</f>
        <v>0</v>
      </c>
      <c r="AM64" s="132">
        <f t="shared" ca="1" si="30"/>
        <v>4</v>
      </c>
      <c r="AN64" s="132">
        <f t="shared" ca="1" si="7"/>
        <v>4</v>
      </c>
      <c r="AO64" s="2">
        <f t="shared" ca="1" si="31"/>
        <v>2024</v>
      </c>
      <c r="AP64" s="2">
        <f t="shared" ca="1" si="8"/>
        <v>2024</v>
      </c>
      <c r="AQ64" s="2">
        <f t="shared" ca="1" si="9"/>
        <v>1</v>
      </c>
      <c r="AR64" s="2">
        <f t="shared" ca="1" si="10"/>
        <v>30</v>
      </c>
      <c r="AS64" s="2">
        <f t="shared" si="11"/>
        <v>20</v>
      </c>
      <c r="AT64" s="2">
        <f t="shared" ca="1" si="32"/>
        <v>30</v>
      </c>
      <c r="AU64" s="2"/>
      <c r="AV64" s="2"/>
      <c r="AW64" s="2"/>
      <c r="AX64" s="2"/>
      <c r="AY64" s="2"/>
      <c r="AZ64" s="2">
        <f t="shared" ca="1" si="12"/>
        <v>1</v>
      </c>
      <c r="BA64" s="2"/>
      <c r="BB64" s="2"/>
      <c r="BC64" s="2"/>
      <c r="BD64" s="2"/>
      <c r="BE64" s="2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</row>
    <row r="65" spans="1:142" s="24" customFormat="1" ht="15" customHeight="1">
      <c r="A65" s="4">
        <f t="shared" si="13"/>
        <v>4</v>
      </c>
      <c r="B65" s="268">
        <f t="shared" ca="1" si="14"/>
        <v>45432</v>
      </c>
      <c r="C65" s="268"/>
      <c r="D65" s="269">
        <f ca="1">IF(N65=0,IF(N64=1,D62+D63+D64," "),IF(N65=0,0,IF(N66=1,D62,IF(N66=0,D4-D62*(M50-1)," "))))</f>
        <v>66.67</v>
      </c>
      <c r="E65" s="269"/>
      <c r="F65" s="87">
        <f ca="1">IF(N65=0,IF(N64=1,F62+F63+F64," "),IF(M37=1,P65,IF(M37=2,Q65," ")))</f>
        <v>51.579525277777776</v>
      </c>
      <c r="G65" s="87">
        <v>0</v>
      </c>
      <c r="H65" s="87">
        <f t="shared" ca="1" si="15"/>
        <v>118.24952527777778</v>
      </c>
      <c r="I65" s="87">
        <f t="shared" ca="1" si="16"/>
        <v>70.175438596491233</v>
      </c>
      <c r="J65" s="87">
        <f t="shared" ca="1" si="0"/>
        <v>53.666666666666679</v>
      </c>
      <c r="K65" s="87">
        <v>0</v>
      </c>
      <c r="L65" s="87">
        <f t="shared" ca="1" si="17"/>
        <v>123.84210526315792</v>
      </c>
      <c r="M65" s="2">
        <f t="shared" si="18"/>
        <v>4</v>
      </c>
      <c r="N65" s="2">
        <f ca="1">IF(M37=1,IF(M50&gt;3,1,0),IF(M37=2,IF(M50&gt;3,1,0),0))</f>
        <v>1</v>
      </c>
      <c r="O65" s="2">
        <f t="shared" ca="1" si="1"/>
        <v>20</v>
      </c>
      <c r="P65" s="134">
        <f t="shared" ca="1" si="19"/>
        <v>51.579525277777776</v>
      </c>
      <c r="Q65" s="134">
        <f t="shared" ca="1" si="20"/>
        <v>51.579525277777776</v>
      </c>
      <c r="R65" s="134">
        <f t="shared" ca="1" si="21"/>
        <v>3799.99</v>
      </c>
      <c r="S65" s="134">
        <f t="shared" si="22"/>
        <v>70.175438596491233</v>
      </c>
      <c r="T65" s="134">
        <f t="shared" ref="T65:T122" si="33">S65</f>
        <v>70.175438596491233</v>
      </c>
      <c r="U65" s="134">
        <f ca="1">IF(N66=1,R64*D5*20/36000+R65*D5*10/36000,IF(N66=0,IF(N65=0,0,R65*D5*Q48/36000+R64*D5*20/36000+R65*D5*10/36000)))</f>
        <v>51.579525277777776</v>
      </c>
      <c r="V65" s="134">
        <f ca="1">IF(N66=1,R64*D5*20/36000+R65*D5*10/36000,IF(N66=0,IF(N65=0,0,R65*D5*Q48/36000+R64*D5*20/36000+R65*D5*10/36000)))</f>
        <v>51.579525277777776</v>
      </c>
      <c r="W65" s="134">
        <f t="shared" ca="1" si="23"/>
        <v>53.666666666666679</v>
      </c>
      <c r="X65" s="134">
        <f t="shared" ca="1" si="24"/>
        <v>50</v>
      </c>
      <c r="Y65" s="134">
        <f t="shared" si="2"/>
        <v>4000</v>
      </c>
      <c r="Z65" s="134">
        <f ca="1">IF(N66=1,Y64*D$5*20/36000+Y65*D$5*10/36000,IF(N66=0,IF(N65=0,0,Y65*D$5*Q$48/36000+Y64*D$5*20/36000+Y65*D$5*10/36000)))</f>
        <v>53.666666666666679</v>
      </c>
      <c r="AA65" s="134">
        <f t="shared" ca="1" si="25"/>
        <v>53.666666666666679</v>
      </c>
      <c r="AB65" s="134">
        <f ca="1">IF(R66=0,R65*Q48,(R64*20+R65*10))</f>
        <v>115333.09999999999</v>
      </c>
      <c r="AC65" s="134">
        <f t="shared" si="26"/>
        <v>120000</v>
      </c>
      <c r="AD65" s="134">
        <f t="shared" ca="1" si="3"/>
        <v>0</v>
      </c>
      <c r="AE65" s="134">
        <f t="shared" ca="1" si="4"/>
        <v>0</v>
      </c>
      <c r="AF65" s="134">
        <f t="shared" ca="1" si="27"/>
        <v>0</v>
      </c>
      <c r="AG65" s="134">
        <f t="shared" ca="1" si="5"/>
        <v>0</v>
      </c>
      <c r="AH65" s="134">
        <f t="shared" ca="1" si="28"/>
        <v>0</v>
      </c>
      <c r="AI65" s="134">
        <f t="shared" ca="1" si="29"/>
        <v>0</v>
      </c>
      <c r="AJ65" s="134">
        <f t="shared" ca="1" si="6"/>
        <v>3799.99</v>
      </c>
      <c r="AK65" s="134">
        <f ca="1">IF(N66=1,AJ64*G48*20/36000+AJ65*G48*10/36000,IF(N66=0,IF(N65=0,0,AJ65*G48*Q48/36000+AJ64*G48*20/36000+AJ65*G48*10/36000)))</f>
        <v>0</v>
      </c>
      <c r="AL65" s="134">
        <f ca="1">IF(N66=1,AJ64*G48*20/36000+AJ65*G48*10/36000,IF(N66=0,IF(N65=0,0,AJ65*G48*Q48/36000+AJ64*G48*20/36000+AJ65*G48*10/36000)))</f>
        <v>0</v>
      </c>
      <c r="AM65" s="132">
        <f t="shared" ca="1" si="30"/>
        <v>5</v>
      </c>
      <c r="AN65" s="132">
        <f t="shared" ca="1" si="7"/>
        <v>5</v>
      </c>
      <c r="AO65" s="2">
        <f t="shared" ca="1" si="31"/>
        <v>2024</v>
      </c>
      <c r="AP65" s="2">
        <f t="shared" ca="1" si="8"/>
        <v>2024</v>
      </c>
      <c r="AQ65" s="2">
        <f t="shared" ca="1" si="9"/>
        <v>1</v>
      </c>
      <c r="AR65" s="2">
        <f t="shared" ca="1" si="10"/>
        <v>30</v>
      </c>
      <c r="AS65" s="2">
        <f t="shared" si="11"/>
        <v>20</v>
      </c>
      <c r="AT65" s="2">
        <f t="shared" ca="1" si="32"/>
        <v>30</v>
      </c>
      <c r="AU65" s="2"/>
      <c r="AV65" s="2"/>
      <c r="AW65" s="2"/>
      <c r="AX65" s="2"/>
      <c r="AY65" s="2"/>
      <c r="AZ65" s="2">
        <f t="shared" ca="1" si="12"/>
        <v>1</v>
      </c>
      <c r="BA65" s="2"/>
      <c r="BB65" s="2"/>
      <c r="BC65" s="2"/>
      <c r="BD65" s="2"/>
      <c r="BE65" s="2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</row>
    <row r="66" spans="1:142" s="24" customFormat="1" ht="15" customHeight="1">
      <c r="A66" s="4">
        <f t="shared" si="13"/>
        <v>5</v>
      </c>
      <c r="B66" s="268">
        <f t="shared" ca="1" si="14"/>
        <v>45463</v>
      </c>
      <c r="C66" s="268"/>
      <c r="D66" s="269">
        <f ca="1">IF(N66=0,IF(N65=1,D62+D63+D64+D65," "),IF(N66=0,0,IF(N67=1,D62,IF(N67=0,D4-D62*(M50-1)," "))))</f>
        <v>66.67</v>
      </c>
      <c r="E66" s="269"/>
      <c r="F66" s="87">
        <f ca="1">IF(N66=0,IF(N65=1,F62+F63+F64+F65," "),IF(M37=1,P66,IF(M37=2,Q66," ")))</f>
        <v>50.685036111111117</v>
      </c>
      <c r="G66" s="87">
        <v>0</v>
      </c>
      <c r="H66" s="87">
        <f t="shared" ca="1" si="15"/>
        <v>117.35503611111112</v>
      </c>
      <c r="I66" s="87">
        <f t="shared" ca="1" si="16"/>
        <v>71.428571428571431</v>
      </c>
      <c r="J66" s="87">
        <f t="shared" ca="1" si="0"/>
        <v>53.666666666666679</v>
      </c>
      <c r="K66" s="87">
        <v>0</v>
      </c>
      <c r="L66" s="87">
        <f t="shared" ca="1" si="17"/>
        <v>125.0952380952381</v>
      </c>
      <c r="M66" s="2">
        <f t="shared" si="18"/>
        <v>5</v>
      </c>
      <c r="N66" s="2">
        <f ca="1">IF(M37=1,IF(M50&gt;4,1,0),IF(M37=2,IF(M50&gt;4,1,0),0))</f>
        <v>1</v>
      </c>
      <c r="O66" s="2">
        <f t="shared" ca="1" si="1"/>
        <v>20</v>
      </c>
      <c r="P66" s="134">
        <f t="shared" ca="1" si="19"/>
        <v>50.685036111111117</v>
      </c>
      <c r="Q66" s="134">
        <f t="shared" ca="1" si="20"/>
        <v>50.685036111111117</v>
      </c>
      <c r="R66" s="134">
        <f t="shared" ca="1" si="21"/>
        <v>3733.3199999999997</v>
      </c>
      <c r="S66" s="134">
        <f t="shared" si="22"/>
        <v>71.428571428571431</v>
      </c>
      <c r="T66" s="134">
        <f t="shared" si="33"/>
        <v>71.428571428571431</v>
      </c>
      <c r="U66" s="134">
        <f ca="1">IF(N67=1,R65*D5*20/36000+R66*D5*10/36000,IF(N67=0,IF(N66=0,0,R66*D5*Q48/36000+R65*D5*20/36000+R66*D5*10/36000)))</f>
        <v>50.685036111111117</v>
      </c>
      <c r="V66" s="134">
        <f ca="1">IF(N67=1,R65*D5*20/36000+R66*D5*10/36000,IF(N67=0,IF(N66=0,0,R66*D5*Q48/36000+R65*D5*20/36000+R66*D5*10/36000)))</f>
        <v>50.685036111111117</v>
      </c>
      <c r="W66" s="134">
        <f t="shared" ca="1" si="23"/>
        <v>53.666666666666679</v>
      </c>
      <c r="X66" s="134">
        <f t="shared" ca="1" si="24"/>
        <v>50</v>
      </c>
      <c r="Y66" s="134">
        <f t="shared" si="2"/>
        <v>4000</v>
      </c>
      <c r="Z66" s="134">
        <f ca="1">IF(N67=1,Y65*D$5*20/36000+Y66*D$5*10/36000,IF(N67=0,IF(N66=0,0,Y66*D$5*Q$48/36000+Y65*D$5*20/36000+Y66*D$5*10/36000)))</f>
        <v>53.666666666666679</v>
      </c>
      <c r="AA66" s="134">
        <f t="shared" ca="1" si="25"/>
        <v>53.666666666666679</v>
      </c>
      <c r="AB66" s="134">
        <f ca="1">IF(R67=0,R66*Q48,(R65*20+R66*10))</f>
        <v>113332.99999999999</v>
      </c>
      <c r="AC66" s="134">
        <f t="shared" si="26"/>
        <v>120000</v>
      </c>
      <c r="AD66" s="134">
        <f t="shared" ca="1" si="3"/>
        <v>0</v>
      </c>
      <c r="AE66" s="134">
        <f t="shared" ca="1" si="4"/>
        <v>0</v>
      </c>
      <c r="AF66" s="134">
        <f t="shared" ca="1" si="27"/>
        <v>0</v>
      </c>
      <c r="AG66" s="134">
        <f t="shared" ca="1" si="5"/>
        <v>0</v>
      </c>
      <c r="AH66" s="134">
        <f t="shared" ca="1" si="28"/>
        <v>0</v>
      </c>
      <c r="AI66" s="134">
        <f t="shared" ca="1" si="29"/>
        <v>0</v>
      </c>
      <c r="AJ66" s="134">
        <f t="shared" ca="1" si="6"/>
        <v>3733.3199999999997</v>
      </c>
      <c r="AK66" s="134">
        <f ca="1">IF(N67=1,AJ65*G48*20/36000+AJ66*G48*10/36000,IF(N67=0,IF(N66=0,0,AJ66*G48*Q48/36000+AJ65*G48*20/36000+AJ66*G48*10/36000)))</f>
        <v>0</v>
      </c>
      <c r="AL66" s="134">
        <f ca="1">IF(N67=1,AJ65*G48*20/36000+AJ66*G48*10/36000,IF(N67=0,IF(N66=0,0,AJ66*G48*Q48/36000+AJ65*G48*20/36000+AJ66*G48*10/36000)))</f>
        <v>0</v>
      </c>
      <c r="AM66" s="132">
        <f t="shared" ca="1" si="30"/>
        <v>6</v>
      </c>
      <c r="AN66" s="132">
        <f t="shared" ca="1" si="7"/>
        <v>6</v>
      </c>
      <c r="AO66" s="2">
        <f t="shared" ca="1" si="31"/>
        <v>2024</v>
      </c>
      <c r="AP66" s="2">
        <f t="shared" ca="1" si="8"/>
        <v>2024</v>
      </c>
      <c r="AQ66" s="2">
        <f t="shared" ca="1" si="9"/>
        <v>1</v>
      </c>
      <c r="AR66" s="2">
        <f t="shared" ca="1" si="10"/>
        <v>30</v>
      </c>
      <c r="AS66" s="2">
        <f t="shared" si="11"/>
        <v>20</v>
      </c>
      <c r="AT66" s="2">
        <f t="shared" ca="1" si="32"/>
        <v>30</v>
      </c>
      <c r="AU66" s="2"/>
      <c r="AV66" s="2"/>
      <c r="AW66" s="2"/>
      <c r="AX66" s="2"/>
      <c r="AY66" s="2"/>
      <c r="AZ66" s="2">
        <f t="shared" ca="1" si="12"/>
        <v>1</v>
      </c>
      <c r="BA66" s="2"/>
      <c r="BB66" s="2"/>
      <c r="BC66" s="2"/>
      <c r="BD66" s="2"/>
      <c r="BE66" s="2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</row>
    <row r="67" spans="1:142" s="24" customFormat="1" ht="15" customHeight="1">
      <c r="A67" s="4">
        <f t="shared" si="13"/>
        <v>6</v>
      </c>
      <c r="B67" s="268">
        <f t="shared" ca="1" si="14"/>
        <v>45493</v>
      </c>
      <c r="C67" s="268"/>
      <c r="D67" s="269">
        <f ca="1">IF(N67=0,IF(N66=1,D62+D63+D64+D65+D66," "),IF(N67=0,0,IF(N68=1,D62,IF(N68=0,ROUNDUP((D4-D62*(M50-1)),2)," "))))</f>
        <v>66.67</v>
      </c>
      <c r="E67" s="269"/>
      <c r="F67" s="87">
        <f ca="1">IF(N67=0,IF(N66=1,F62+F63+F64+F65+F66," "),IF(M37=1,P67,IF(M37=2,Q67," ")))</f>
        <v>49.790546944444444</v>
      </c>
      <c r="G67" s="87">
        <v>0</v>
      </c>
      <c r="H67" s="87">
        <f t="shared" ca="1" si="15"/>
        <v>116.46054694444445</v>
      </c>
      <c r="I67" s="87">
        <f t="shared" ca="1" si="16"/>
        <v>72.727272727272734</v>
      </c>
      <c r="J67" s="87">
        <f t="shared" ca="1" si="0"/>
        <v>53.666666666666679</v>
      </c>
      <c r="K67" s="87">
        <v>0</v>
      </c>
      <c r="L67" s="87">
        <f t="shared" ca="1" si="17"/>
        <v>126.39393939393941</v>
      </c>
      <c r="M67" s="2">
        <f t="shared" si="18"/>
        <v>6</v>
      </c>
      <c r="N67" s="2">
        <f ca="1">IF(M37=1,IF(M50&gt;5,1,0),IF(M37=2,IF(M50&gt;5,1,0),0))</f>
        <v>1</v>
      </c>
      <c r="O67" s="2">
        <f t="shared" ca="1" si="1"/>
        <v>20</v>
      </c>
      <c r="P67" s="134">
        <f t="shared" ca="1" si="19"/>
        <v>49.790546944444444</v>
      </c>
      <c r="Q67" s="134">
        <f t="shared" ca="1" si="20"/>
        <v>49.790546944444444</v>
      </c>
      <c r="R67" s="134">
        <f t="shared" ca="1" si="21"/>
        <v>3666.6499999999996</v>
      </c>
      <c r="S67" s="134">
        <f t="shared" si="22"/>
        <v>72.727272727272734</v>
      </c>
      <c r="T67" s="134">
        <f t="shared" si="33"/>
        <v>72.727272727272734</v>
      </c>
      <c r="U67" s="134">
        <f ca="1">IF(N68=1,R66*D5*20/36000+R67*D5*10/36000,IF(N68=0,IF(N67=0,0,R67*D5*Q48/36000+R66*D5*20/36000+R67*D5*10/36000)))</f>
        <v>49.790546944444444</v>
      </c>
      <c r="V67" s="134">
        <f ca="1">IF(N68=1,R66*D5*20/36000+R67*D5*10/36000,IF(N68=0,IF(N67=0,0,R67*D5*Q48/36000+R66*D5*20/36000+R67*D5*10/36000)))</f>
        <v>49.790546944444444</v>
      </c>
      <c r="W67" s="134">
        <f t="shared" ca="1" si="23"/>
        <v>53.666666666666679</v>
      </c>
      <c r="X67" s="134">
        <f t="shared" ca="1" si="24"/>
        <v>50</v>
      </c>
      <c r="Y67" s="134">
        <f t="shared" si="2"/>
        <v>4000</v>
      </c>
      <c r="Z67" s="134">
        <f ca="1">IF(N68=1,Y66*D$5*20/36000+Y67*D$5*10/36000,IF(N68=0,IF(N67=0,0,Y67*D$5*Q$48/36000+Y66*D$5*20/36000+Y67*D$5*10/36000)))</f>
        <v>53.666666666666679</v>
      </c>
      <c r="AA67" s="134">
        <f t="shared" ca="1" si="25"/>
        <v>53.666666666666679</v>
      </c>
      <c r="AB67" s="134">
        <f ca="1">IF(R68=0,R67*Q48,(R66*20+R67*10))</f>
        <v>111332.9</v>
      </c>
      <c r="AC67" s="134">
        <f t="shared" si="26"/>
        <v>120000</v>
      </c>
      <c r="AD67" s="134">
        <f t="shared" ca="1" si="3"/>
        <v>0</v>
      </c>
      <c r="AE67" s="134">
        <f t="shared" ca="1" si="4"/>
        <v>0</v>
      </c>
      <c r="AF67" s="134">
        <f t="shared" ca="1" si="27"/>
        <v>0</v>
      </c>
      <c r="AG67" s="134">
        <f t="shared" ca="1" si="5"/>
        <v>0</v>
      </c>
      <c r="AH67" s="134">
        <f t="shared" ca="1" si="28"/>
        <v>0</v>
      </c>
      <c r="AI67" s="134">
        <f t="shared" ca="1" si="29"/>
        <v>0</v>
      </c>
      <c r="AJ67" s="134">
        <f t="shared" ca="1" si="6"/>
        <v>3666.6499999999996</v>
      </c>
      <c r="AK67" s="134">
        <f ca="1">IF(N68=1,AJ66*G48*20/36000+AJ67*G48*10/36000,IF(N68=0,IF(N67=0,0,AJ67*G48*Q48/36000+AJ66*G48*20/36000+AJ67*G48*10/36000)))</f>
        <v>0</v>
      </c>
      <c r="AL67" s="134">
        <f ca="1">IF(N68=1,AJ66*G48*20/36000+AJ67*G48*10/36000,IF(N68=0,IF(N67=0,0,AJ67*G48*Q48/36000+AJ66*G48*20/36000+AJ67*G48*10/36000)))</f>
        <v>0</v>
      </c>
      <c r="AM67" s="132">
        <f t="shared" ca="1" si="30"/>
        <v>7</v>
      </c>
      <c r="AN67" s="132">
        <f t="shared" ca="1" si="7"/>
        <v>7</v>
      </c>
      <c r="AO67" s="2">
        <f t="shared" ca="1" si="31"/>
        <v>2024</v>
      </c>
      <c r="AP67" s="2">
        <f t="shared" ca="1" si="8"/>
        <v>2024</v>
      </c>
      <c r="AQ67" s="2">
        <f t="shared" ca="1" si="9"/>
        <v>1</v>
      </c>
      <c r="AR67" s="2">
        <f t="shared" ca="1" si="10"/>
        <v>30</v>
      </c>
      <c r="AS67" s="2">
        <f t="shared" si="11"/>
        <v>20</v>
      </c>
      <c r="AT67" s="2">
        <f t="shared" ca="1" si="32"/>
        <v>30</v>
      </c>
      <c r="AU67" s="2"/>
      <c r="AV67" s="2"/>
      <c r="AW67" s="2"/>
      <c r="AX67" s="2"/>
      <c r="AY67" s="2"/>
      <c r="AZ67" s="2">
        <f t="shared" ca="1" si="12"/>
        <v>1</v>
      </c>
      <c r="BA67" s="2"/>
      <c r="BB67" s="2"/>
      <c r="BC67" s="2"/>
      <c r="BD67" s="2"/>
      <c r="BE67" s="2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</row>
    <row r="68" spans="1:142" s="24" customFormat="1" ht="15" customHeight="1">
      <c r="A68" s="19">
        <f t="shared" si="13"/>
        <v>7</v>
      </c>
      <c r="B68" s="268">
        <f t="shared" ca="1" si="14"/>
        <v>45524</v>
      </c>
      <c r="C68" s="268"/>
      <c r="D68" s="269">
        <f ca="1">IF(N68=0,IF(N67=1,D62+D63+D64+D65+D66+D67," "),IF(N68=0," ",IF(N69=1,D62,IF(N69=0,ROUNDUP((D4-D62*(M50-1)),2)," "))))</f>
        <v>66.67</v>
      </c>
      <c r="E68" s="269"/>
      <c r="F68" s="87">
        <f ca="1">IF(N68=0,IF(N67=1,F62+F63+F64+F65+F66+F67," "),IF(M37=1,P68,IF(M37=2,Q68," ")))</f>
        <v>48.896057777777784</v>
      </c>
      <c r="G68" s="87">
        <v>0</v>
      </c>
      <c r="H68" s="87">
        <f t="shared" ca="1" si="15"/>
        <v>115.56605777777779</v>
      </c>
      <c r="I68" s="87">
        <f t="shared" ca="1" si="16"/>
        <v>74.074074074074076</v>
      </c>
      <c r="J68" s="87">
        <f t="shared" ca="1" si="0"/>
        <v>53.666666666666679</v>
      </c>
      <c r="K68" s="87">
        <v>0</v>
      </c>
      <c r="L68" s="87">
        <f t="shared" ca="1" si="17"/>
        <v>127.74074074074076</v>
      </c>
      <c r="M68" s="2">
        <f t="shared" si="18"/>
        <v>7</v>
      </c>
      <c r="N68" s="2">
        <f ca="1">IF(M37=1,IF(M50&gt;6,1,0),IF(M37=2,IF(M50&gt;6,1,0),0))</f>
        <v>1</v>
      </c>
      <c r="O68" s="2">
        <f t="shared" ca="1" si="1"/>
        <v>20</v>
      </c>
      <c r="P68" s="134">
        <f t="shared" ca="1" si="19"/>
        <v>48.896057777777784</v>
      </c>
      <c r="Q68" s="134">
        <f t="shared" ca="1" si="20"/>
        <v>48.896057777777784</v>
      </c>
      <c r="R68" s="134">
        <f t="shared" ca="1" si="21"/>
        <v>3599.9799999999996</v>
      </c>
      <c r="S68" s="134">
        <f t="shared" si="22"/>
        <v>74.074074074074076</v>
      </c>
      <c r="T68" s="134">
        <f t="shared" si="33"/>
        <v>74.074074074074076</v>
      </c>
      <c r="U68" s="134">
        <f ca="1">IF(N69=1,R67*D$5*20/36000+R68*D$5*10/36000,IF(N69=0,IF(N68=0,0,IF(D$10&gt;20,R67*D$5*20/36000+R68*D$5*(Q$48-20)/36000,R68*D$5*Q$48/36000))))</f>
        <v>48.896057777777784</v>
      </c>
      <c r="V68" s="134">
        <f ca="1">IF(N69=1,R67*D5*20/36000+R68*D5*10/36000,IF(N69=0,IF(N68=0,0,IF(D10&gt;20,R67*D$5*20/36000+R68*D$5*(Q$48-20)/36000,R68*D$5*Q$48/36000))))</f>
        <v>48.896057777777784</v>
      </c>
      <c r="W68" s="134">
        <f t="shared" ca="1" si="23"/>
        <v>53.666666666666679</v>
      </c>
      <c r="X68" s="134">
        <f t="shared" ca="1" si="24"/>
        <v>50</v>
      </c>
      <c r="Y68" s="134">
        <f t="shared" si="2"/>
        <v>4000</v>
      </c>
      <c r="Z68" s="134">
        <f ca="1">IF(N69=1,Y67*D$5*20/36000+Y68*D$5*10/36000,IF(N69=0,IF(N68=0,0,IF(D$10&gt;20,Y67*D$5*20/36000+Y68*D$5*(Q$48-20)/36000,Y68*D$5*Q$48/36000))))</f>
        <v>53.666666666666679</v>
      </c>
      <c r="AA68" s="134">
        <f t="shared" ca="1" si="25"/>
        <v>53.666666666666679</v>
      </c>
      <c r="AB68" s="134">
        <f ca="1">IF(R69=0,R68*Q48,(R67*20+R68*10))</f>
        <v>109332.79999999999</v>
      </c>
      <c r="AC68" s="134">
        <f t="shared" si="26"/>
        <v>120000</v>
      </c>
      <c r="AD68" s="134">
        <f t="shared" ca="1" si="3"/>
        <v>0</v>
      </c>
      <c r="AE68" s="134">
        <f t="shared" ca="1" si="4"/>
        <v>0</v>
      </c>
      <c r="AF68" s="134">
        <f t="shared" ca="1" si="27"/>
        <v>0</v>
      </c>
      <c r="AG68" s="134">
        <f t="shared" ca="1" si="5"/>
        <v>0</v>
      </c>
      <c r="AH68" s="134">
        <f t="shared" ca="1" si="28"/>
        <v>0</v>
      </c>
      <c r="AI68" s="134">
        <f t="shared" ca="1" si="29"/>
        <v>0</v>
      </c>
      <c r="AJ68" s="134">
        <f t="shared" ca="1" si="6"/>
        <v>3599.9799999999996</v>
      </c>
      <c r="AK68" s="134">
        <f ca="1">IF(N69=1,AJ67*G$48*20/36000+AJ68*G$48*10/36000,IF(N69=0,IF(N68=0,0,AJ68*G$48*Q$48/36000)))</f>
        <v>0</v>
      </c>
      <c r="AL68" s="134">
        <f ca="1">IF(N69=1,AJ67*G$48*20/36000+AJ68*G$48*10/36000,IF(N69=0,IF(N68=0,0,AJ68*G$48*Q$48/36000)))</f>
        <v>0</v>
      </c>
      <c r="AM68" s="132">
        <f t="shared" ca="1" si="30"/>
        <v>8</v>
      </c>
      <c r="AN68" s="132">
        <f t="shared" ca="1" si="7"/>
        <v>8</v>
      </c>
      <c r="AO68" s="2">
        <f t="shared" ca="1" si="31"/>
        <v>2024</v>
      </c>
      <c r="AP68" s="2">
        <f t="shared" ca="1" si="8"/>
        <v>2024</v>
      </c>
      <c r="AQ68" s="2">
        <f t="shared" ca="1" si="9"/>
        <v>1</v>
      </c>
      <c r="AR68" s="2">
        <f t="shared" ca="1" si="10"/>
        <v>30</v>
      </c>
      <c r="AS68" s="2">
        <f t="shared" si="11"/>
        <v>20</v>
      </c>
      <c r="AT68" s="2">
        <f t="shared" ca="1" si="32"/>
        <v>30</v>
      </c>
      <c r="AU68" s="2"/>
      <c r="AV68" s="2"/>
      <c r="AW68" s="2"/>
      <c r="AX68" s="2"/>
      <c r="AY68" s="2"/>
      <c r="AZ68" s="2">
        <f t="shared" ca="1" si="12"/>
        <v>1</v>
      </c>
      <c r="BA68" s="2"/>
      <c r="BB68" s="2"/>
      <c r="BC68" s="2"/>
      <c r="BD68" s="2"/>
      <c r="BE68" s="2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</row>
    <row r="69" spans="1:142" s="24" customFormat="1" ht="15" customHeight="1">
      <c r="A69" s="4">
        <f t="shared" si="13"/>
        <v>8</v>
      </c>
      <c r="B69" s="268">
        <f t="shared" ca="1" si="14"/>
        <v>45555</v>
      </c>
      <c r="C69" s="268"/>
      <c r="D69" s="269">
        <f ca="1">IF(N69=0,IF(N68=1,D62+D63+D64+D65+D66+D67+D68," "),IF(N69=0," ",IF(N70=1,D62,IF(N70=0,ROUNDUP((D4-D62*(M50-1)),2)," "))))</f>
        <v>66.67</v>
      </c>
      <c r="E69" s="269"/>
      <c r="F69" s="87">
        <f ca="1">IF(N69=0,IF(N68=1,F62+F63+F64+F65+F66+F67+F68," "),IF(M37=1,P69,IF(M37=2,Q69," ")))</f>
        <v>48.001568611111111</v>
      </c>
      <c r="G69" s="87">
        <v>0</v>
      </c>
      <c r="H69" s="87">
        <f t="shared" ca="1" si="15"/>
        <v>114.67156861111111</v>
      </c>
      <c r="I69" s="87">
        <f t="shared" ca="1" si="16"/>
        <v>75.471698113207552</v>
      </c>
      <c r="J69" s="87">
        <f t="shared" ca="1" si="0"/>
        <v>53.666666666666679</v>
      </c>
      <c r="K69" s="87">
        <v>0</v>
      </c>
      <c r="L69" s="87">
        <f t="shared" ca="1" si="17"/>
        <v>129.13836477987422</v>
      </c>
      <c r="M69" s="2">
        <f t="shared" si="18"/>
        <v>8</v>
      </c>
      <c r="N69" s="2">
        <f ca="1">IF(M37=1,IF(M50&gt;7,1,0),IF(M37=2,IF(M50&gt;7,1,0),0))</f>
        <v>1</v>
      </c>
      <c r="O69" s="2">
        <f t="shared" ca="1" si="1"/>
        <v>20</v>
      </c>
      <c r="P69" s="134">
        <f t="shared" ca="1" si="19"/>
        <v>48.001568611111111</v>
      </c>
      <c r="Q69" s="134">
        <f t="shared" ca="1" si="20"/>
        <v>48.001568611111111</v>
      </c>
      <c r="R69" s="134">
        <f t="shared" ca="1" si="21"/>
        <v>3533.3099999999995</v>
      </c>
      <c r="S69" s="134">
        <f t="shared" si="22"/>
        <v>75.471698113207552</v>
      </c>
      <c r="T69" s="134">
        <f t="shared" si="33"/>
        <v>75.471698113207552</v>
      </c>
      <c r="U69" s="134">
        <f ca="1">IF(N70=1,R68*D5*20/36000+R69*D5*10/36000,IF(N70=0,IF(N69=0,0,R69*D5*Q48/36000+R68*D5*20/36000+R69*D5*10/36000)))</f>
        <v>48.001568611111111</v>
      </c>
      <c r="V69" s="134">
        <f ca="1">IF(N70=1,R68*D5*20/36000+R69*D5*10/36000,IF(N70=0,IF(N69=0,0,R69*D5*Q48/36000+R68*D5*20/36000+R69*D5*10/36000)))</f>
        <v>48.001568611111111</v>
      </c>
      <c r="W69" s="134">
        <f t="shared" ca="1" si="23"/>
        <v>53.666666666666679</v>
      </c>
      <c r="X69" s="134">
        <f t="shared" ca="1" si="24"/>
        <v>50</v>
      </c>
      <c r="Y69" s="134">
        <f t="shared" si="2"/>
        <v>4000</v>
      </c>
      <c r="Z69" s="134">
        <f ca="1">IF(N70=1,Y68*D$5*20/36000+Y69*D$5*10/36000,IF(N70=0,IF(N69=0,0,Y69*D$5*Q$48/36000+Y68*D$5*20/36000+Y69*D$5*10/36000)))</f>
        <v>53.666666666666679</v>
      </c>
      <c r="AA69" s="134">
        <f t="shared" ca="1" si="25"/>
        <v>53.666666666666679</v>
      </c>
      <c r="AB69" s="134">
        <f ca="1">IF(R70=0,R69*Q48,(R68*20+R69*10))</f>
        <v>107332.69999999998</v>
      </c>
      <c r="AC69" s="134">
        <f>IF(Y70=0,Y69*Q55,(Y68*20+Y69*10))</f>
        <v>120000</v>
      </c>
      <c r="AD69" s="134">
        <f t="shared" ca="1" si="3"/>
        <v>0</v>
      </c>
      <c r="AE69" s="134">
        <f t="shared" ca="1" si="4"/>
        <v>0</v>
      </c>
      <c r="AF69" s="134">
        <f t="shared" ca="1" si="27"/>
        <v>0</v>
      </c>
      <c r="AG69" s="134">
        <f t="shared" ca="1" si="5"/>
        <v>0</v>
      </c>
      <c r="AH69" s="134">
        <f t="shared" ca="1" si="28"/>
        <v>0</v>
      </c>
      <c r="AI69" s="134">
        <f t="shared" ca="1" si="29"/>
        <v>0</v>
      </c>
      <c r="AJ69" s="134">
        <f t="shared" ca="1" si="6"/>
        <v>3533.3099999999995</v>
      </c>
      <c r="AK69" s="134">
        <f ca="1">IF(N70=1,AJ68*G48*20/36000+AJ69*G48*10/36000,IF(N70=0,IF(N69=0,0,AJ69*G48*Q48/36000+AJ68*G48*20/36000+AJ69*G48*10/36000)))</f>
        <v>0</v>
      </c>
      <c r="AL69" s="134">
        <f ca="1">IF(N70=1,AJ68*G48*20/36000+AJ69*G48*10/36000,IF(N70=0,IF(N69=0,0,AJ69*G48*Q48/36000+AJ68*G48*20/36000+AJ69*G48*10/36000)))</f>
        <v>0</v>
      </c>
      <c r="AM69" s="132">
        <f t="shared" ca="1" si="30"/>
        <v>9</v>
      </c>
      <c r="AN69" s="132">
        <f t="shared" ca="1" si="7"/>
        <v>9</v>
      </c>
      <c r="AO69" s="2">
        <f t="shared" ca="1" si="31"/>
        <v>2024</v>
      </c>
      <c r="AP69" s="2">
        <f t="shared" ca="1" si="8"/>
        <v>2024</v>
      </c>
      <c r="AQ69" s="2">
        <f t="shared" ca="1" si="9"/>
        <v>1</v>
      </c>
      <c r="AR69" s="2">
        <f t="shared" ca="1" si="10"/>
        <v>30</v>
      </c>
      <c r="AS69" s="2">
        <f t="shared" si="11"/>
        <v>20</v>
      </c>
      <c r="AT69" s="2">
        <f t="shared" ca="1" si="32"/>
        <v>30</v>
      </c>
      <c r="AU69" s="2"/>
      <c r="AV69" s="2"/>
      <c r="AW69" s="2"/>
      <c r="AX69" s="2"/>
      <c r="AY69" s="2"/>
      <c r="AZ69" s="2">
        <f t="shared" ca="1" si="12"/>
        <v>1</v>
      </c>
      <c r="BA69" s="2"/>
      <c r="BB69" s="2"/>
      <c r="BC69" s="2"/>
      <c r="BD69" s="2"/>
      <c r="BE69" s="2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</row>
    <row r="70" spans="1:142" s="24" customFormat="1" ht="15" customHeight="1">
      <c r="A70" s="4">
        <f t="shared" si="13"/>
        <v>9</v>
      </c>
      <c r="B70" s="268">
        <f t="shared" ca="1" si="14"/>
        <v>45585</v>
      </c>
      <c r="C70" s="268"/>
      <c r="D70" s="269">
        <f ca="1">IF(N70=0,IF(N69=1,D62+D63+D64+D65+D66+D67+D68+D69," "),IF(N70=0," ",IF(N71=1,D62,IF(N71=0,D4-D62*(M50-1)," "))))</f>
        <v>66.67</v>
      </c>
      <c r="E70" s="269"/>
      <c r="F70" s="87">
        <f ca="1">IF(N70=0,IF(N69=1,F62+F63+F64+F65+F66+F67+F68+F69," "),IF(M37=1,P70,IF(M37=2,Q70," ")))</f>
        <v>47.107079444444437</v>
      </c>
      <c r="G70" s="87">
        <v>0</v>
      </c>
      <c r="H70" s="87">
        <f t="shared" ca="1" si="15"/>
        <v>113.77707944444444</v>
      </c>
      <c r="I70" s="87">
        <f t="shared" ca="1" si="16"/>
        <v>76.92307692307692</v>
      </c>
      <c r="J70" s="87">
        <f t="shared" ca="1" si="0"/>
        <v>53.666666666666679</v>
      </c>
      <c r="K70" s="87">
        <v>0</v>
      </c>
      <c r="L70" s="87">
        <f t="shared" ca="1" si="17"/>
        <v>130.58974358974359</v>
      </c>
      <c r="M70" s="2">
        <f t="shared" si="18"/>
        <v>9</v>
      </c>
      <c r="N70" s="2">
        <f ca="1">IF(M37=1,IF(M50&gt;8,1,0),IF(M37=2,IF(M50&gt;8,1,0),0))</f>
        <v>1</v>
      </c>
      <c r="O70" s="2">
        <f t="shared" ca="1" si="1"/>
        <v>20</v>
      </c>
      <c r="P70" s="134">
        <f t="shared" ca="1" si="19"/>
        <v>47.107079444444437</v>
      </c>
      <c r="Q70" s="134">
        <f t="shared" ca="1" si="20"/>
        <v>47.107079444444437</v>
      </c>
      <c r="R70" s="134">
        <f t="shared" ca="1" si="21"/>
        <v>3466.6399999999994</v>
      </c>
      <c r="S70" s="134">
        <f t="shared" si="22"/>
        <v>76.92307692307692</v>
      </c>
      <c r="T70" s="134">
        <f t="shared" si="33"/>
        <v>76.92307692307692</v>
      </c>
      <c r="U70" s="134">
        <f ca="1">IF(N71=1,R69*D5*20/36000+R70*D5*10/36000,IF(N71=0,IF(N70=0,0,R70*D5*Q48/36000+R69*D5*20/36000+R70*D5*10/36000)))</f>
        <v>47.107079444444437</v>
      </c>
      <c r="V70" s="134">
        <f ca="1">IF(N71=1,R69*D5*20/36000+R70*D5*10/36000,IF(N71=0,IF(N70=0,0,R70*D5*Q48/36000+R69*D5*20/36000+R70*D5*10/36000)))</f>
        <v>47.107079444444437</v>
      </c>
      <c r="W70" s="134">
        <f t="shared" ca="1" si="23"/>
        <v>53.666666666666679</v>
      </c>
      <c r="X70" s="134">
        <f t="shared" ca="1" si="24"/>
        <v>50</v>
      </c>
      <c r="Y70" s="134">
        <f t="shared" si="2"/>
        <v>4000</v>
      </c>
      <c r="Z70" s="134">
        <f ca="1">IF(N71=1,Y69*D$5*20/36000+Y70*D$5*10/36000,IF(N71=0,IF(N70=0,0,Y70*D$5*Q$48/36000+Y69*D$5*20/36000+Y70*D$5*10/36000)))</f>
        <v>53.666666666666679</v>
      </c>
      <c r="AA70" s="134">
        <f t="shared" ca="1" si="25"/>
        <v>53.666666666666679</v>
      </c>
      <c r="AB70" s="134">
        <f ca="1">IF(R71=0,R70*Q48,(R69*20+R70*10))</f>
        <v>105332.59999999998</v>
      </c>
      <c r="AC70" s="134">
        <f>IF(Y71=0,Y70*Q56,(Y69*20+Y70*10))</f>
        <v>120000</v>
      </c>
      <c r="AD70" s="134">
        <f t="shared" ca="1" si="3"/>
        <v>0</v>
      </c>
      <c r="AE70" s="134">
        <f t="shared" ca="1" si="4"/>
        <v>0</v>
      </c>
      <c r="AF70" s="134">
        <f t="shared" ca="1" si="27"/>
        <v>0</v>
      </c>
      <c r="AG70" s="134">
        <f t="shared" ca="1" si="5"/>
        <v>0</v>
      </c>
      <c r="AH70" s="134">
        <f t="shared" ca="1" si="28"/>
        <v>0</v>
      </c>
      <c r="AI70" s="134">
        <f t="shared" ca="1" si="29"/>
        <v>0</v>
      </c>
      <c r="AJ70" s="134">
        <f t="shared" ca="1" si="6"/>
        <v>3466.6399999999994</v>
      </c>
      <c r="AK70" s="134">
        <f ca="1">IF(N71=1,AJ69*G48*20/36000+AJ70*G48*10/36000,IF(N71=0,IF(N70=0,0,AJ70*G48*Q48/36000+AJ69*G48*20/36000+AJ70*G48*10/36000)))</f>
        <v>0</v>
      </c>
      <c r="AL70" s="134">
        <f ca="1">IF(N71=1,AJ69*G48*20/36000+AJ70*G48*10/36000,IF(N71=0,IF(N70=0,0,AJ70*G48*Q48/36000+AJ69*G48*20/36000+AJ70*G48*10/36000)))</f>
        <v>0</v>
      </c>
      <c r="AM70" s="132">
        <f t="shared" ca="1" si="30"/>
        <v>10</v>
      </c>
      <c r="AN70" s="132">
        <f t="shared" ca="1" si="7"/>
        <v>10</v>
      </c>
      <c r="AO70" s="2">
        <f t="shared" ca="1" si="31"/>
        <v>2024</v>
      </c>
      <c r="AP70" s="2">
        <f t="shared" ca="1" si="8"/>
        <v>2024</v>
      </c>
      <c r="AQ70" s="2">
        <f t="shared" ca="1" si="9"/>
        <v>1</v>
      </c>
      <c r="AR70" s="2">
        <f t="shared" ca="1" si="10"/>
        <v>30</v>
      </c>
      <c r="AS70" s="2">
        <f t="shared" si="11"/>
        <v>20</v>
      </c>
      <c r="AT70" s="2">
        <f t="shared" ca="1" si="32"/>
        <v>30</v>
      </c>
      <c r="AU70" s="2"/>
      <c r="AV70" s="2"/>
      <c r="AW70" s="2"/>
      <c r="AX70" s="2"/>
      <c r="AY70" s="2"/>
      <c r="AZ70" s="2">
        <f t="shared" ca="1" si="12"/>
        <v>1</v>
      </c>
      <c r="BA70" s="2"/>
      <c r="BB70" s="2"/>
      <c r="BC70" s="2"/>
      <c r="BD70" s="2"/>
      <c r="BE70" s="2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</row>
    <row r="71" spans="1:142" s="24" customFormat="1" ht="15" customHeight="1">
      <c r="A71" s="4">
        <f t="shared" si="13"/>
        <v>10</v>
      </c>
      <c r="B71" s="268">
        <f t="shared" ca="1" si="14"/>
        <v>45616</v>
      </c>
      <c r="C71" s="268"/>
      <c r="D71" s="269">
        <f ca="1">IF(N71=0,IF(N70=1,D62+D63+D64+D65+D66+D67+D68+D69+D70," "),IF(N71=0," ",IF(N72=1,D62,IF(N72=0,D4-D62*(M50-1)," "))))</f>
        <v>66.67</v>
      </c>
      <c r="E71" s="269"/>
      <c r="F71" s="87">
        <f ca="1">IF(N71=0,IF(N70=1,F62+F63+F64+F65+F66+F67+F68+F69+F70," "),IF(M37=1,P71,IF(M37=2,Q71," ")))</f>
        <v>46.212590277777771</v>
      </c>
      <c r="G71" s="87">
        <v>0</v>
      </c>
      <c r="H71" s="87">
        <f t="shared" ca="1" si="15"/>
        <v>112.88259027777778</v>
      </c>
      <c r="I71" s="87">
        <f t="shared" ca="1" si="16"/>
        <v>78.431372549019613</v>
      </c>
      <c r="J71" s="87">
        <f t="shared" ca="1" si="0"/>
        <v>53.666666666666679</v>
      </c>
      <c r="K71" s="87">
        <v>0</v>
      </c>
      <c r="L71" s="87">
        <f t="shared" ca="1" si="17"/>
        <v>132.0980392156863</v>
      </c>
      <c r="M71" s="2">
        <f t="shared" si="18"/>
        <v>10</v>
      </c>
      <c r="N71" s="2">
        <f ca="1">IF(M37=1,IF(M50&gt;9,1,0),IF(M37=2,IF(M50&gt;9,1,0),0))</f>
        <v>1</v>
      </c>
      <c r="O71" s="2">
        <f t="shared" ca="1" si="1"/>
        <v>20</v>
      </c>
      <c r="P71" s="134">
        <f t="shared" ca="1" si="19"/>
        <v>46.212590277777771</v>
      </c>
      <c r="Q71" s="134">
        <f t="shared" ca="1" si="20"/>
        <v>46.212590277777771</v>
      </c>
      <c r="R71" s="134">
        <f t="shared" ca="1" si="21"/>
        <v>3399.9699999999993</v>
      </c>
      <c r="S71" s="134">
        <f t="shared" si="22"/>
        <v>78.431372549019613</v>
      </c>
      <c r="T71" s="134">
        <f t="shared" si="33"/>
        <v>78.431372549019613</v>
      </c>
      <c r="U71" s="134">
        <f ca="1">IF(N72=1,R70*D5*20/36000+R71*D5*10/36000,IF(N72=0,IF(N71=0,0,R71*D5*Q48/36000+29*D5*20/36000+R71*D5*10/36000)))</f>
        <v>46.212590277777771</v>
      </c>
      <c r="V71" s="134">
        <f ca="1">IF(N72=1,R70*D5*20/36000+R71*D5*10/36000,IF(N72=0,IF(N71=0,0,R71*D5*Q48/36000+29*D5*20/36000+R71*D5*10/36000)))</f>
        <v>46.212590277777771</v>
      </c>
      <c r="W71" s="134">
        <f t="shared" ca="1" si="23"/>
        <v>53.666666666666679</v>
      </c>
      <c r="X71" s="134">
        <f t="shared" ca="1" si="24"/>
        <v>50</v>
      </c>
      <c r="Y71" s="134">
        <f t="shared" si="2"/>
        <v>4000</v>
      </c>
      <c r="Z71" s="134">
        <f ca="1">IF(N72=1,Y70*D$5*20/36000+Y71*D$5*10/36000,IF(N72=0,IF(N71=0,0,Y71*D$5*Q$48/36000+Y70*D$5*20/36000+Y71*D$5*10/36000)))</f>
        <v>53.666666666666679</v>
      </c>
      <c r="AA71" s="134">
        <f t="shared" ca="1" si="25"/>
        <v>53.666666666666679</v>
      </c>
      <c r="AB71" s="134">
        <f ca="1">IF(R72=0,R71*Q48,(R70*20+R71*10))</f>
        <v>103332.49999999999</v>
      </c>
      <c r="AC71" s="134">
        <f>IF(Y72=0,Y71*Q57,(Y70*20+Y71*10))</f>
        <v>120000</v>
      </c>
      <c r="AD71" s="134">
        <f t="shared" ca="1" si="3"/>
        <v>0</v>
      </c>
      <c r="AE71" s="134">
        <f t="shared" ca="1" si="4"/>
        <v>0</v>
      </c>
      <c r="AF71" s="134">
        <f t="shared" ca="1" si="27"/>
        <v>0</v>
      </c>
      <c r="AG71" s="134">
        <f t="shared" ca="1" si="5"/>
        <v>0</v>
      </c>
      <c r="AH71" s="134">
        <f t="shared" ca="1" si="28"/>
        <v>0</v>
      </c>
      <c r="AI71" s="134">
        <f t="shared" ca="1" si="29"/>
        <v>0</v>
      </c>
      <c r="AJ71" s="134">
        <f t="shared" ca="1" si="6"/>
        <v>3399.9699999999993</v>
      </c>
      <c r="AK71" s="134">
        <f ca="1">IF(N72=1,AJ70*G48*20/36000+AJ71*G48*10/36000,IF(N72=0,IF(N71=0,0,AJ71*G48*Q48/36000+29*G48*20/36000+AJ71*G48*10/36000)))</f>
        <v>0</v>
      </c>
      <c r="AL71" s="134">
        <f ca="1">IF(N72=1,AJ70*G48*20/36000+AJ71*G48*10/36000,IF(N72=0,IF(N71=0,0,AJ71*G48*Q48/36000+29*G48*20/36000+AJ71*G48*10/36000)))</f>
        <v>0</v>
      </c>
      <c r="AM71" s="132">
        <f t="shared" ca="1" si="30"/>
        <v>11</v>
      </c>
      <c r="AN71" s="132">
        <f t="shared" ca="1" si="7"/>
        <v>11</v>
      </c>
      <c r="AO71" s="2">
        <f t="shared" ca="1" si="31"/>
        <v>2024</v>
      </c>
      <c r="AP71" s="2">
        <f t="shared" ca="1" si="8"/>
        <v>2024</v>
      </c>
      <c r="AQ71" s="2">
        <f t="shared" ca="1" si="9"/>
        <v>1</v>
      </c>
      <c r="AR71" s="2">
        <f t="shared" ca="1" si="10"/>
        <v>30</v>
      </c>
      <c r="AS71" s="2">
        <f t="shared" si="11"/>
        <v>20</v>
      </c>
      <c r="AT71" s="2">
        <f t="shared" ca="1" si="32"/>
        <v>30</v>
      </c>
      <c r="AU71" s="2"/>
      <c r="AV71" s="2"/>
      <c r="AW71" s="2"/>
      <c r="AX71" s="2"/>
      <c r="AY71" s="2"/>
      <c r="AZ71" s="2">
        <f t="shared" ca="1" si="12"/>
        <v>1</v>
      </c>
      <c r="BA71" s="2"/>
      <c r="BB71" s="2"/>
      <c r="BC71" s="2"/>
      <c r="BD71" s="2"/>
      <c r="BE71" s="2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</row>
    <row r="72" spans="1:142" s="24" customFormat="1" ht="15" customHeight="1">
      <c r="A72" s="4">
        <f t="shared" si="13"/>
        <v>11</v>
      </c>
      <c r="B72" s="268">
        <f t="shared" ca="1" si="14"/>
        <v>45646</v>
      </c>
      <c r="C72" s="268"/>
      <c r="D72" s="269">
        <f ca="1">IF(N72=0,IF(N71=1,D62+D63+D64+D65+D66+D67+D68+D69+D70+D71," "),IF(N72=0," ",IF(N73=1,D62,IF(N73=0,D4-D62*(M50-1)," "))))</f>
        <v>66.67</v>
      </c>
      <c r="E72" s="269"/>
      <c r="F72" s="87">
        <f ca="1">IF(N72=0,IF(N71=1,F62+F63+F64+F65+F66+F67+F68+F69+F70+F71," "),IF(M37=1,P72,IF(M37=2,Q72," ")))</f>
        <v>45.318101111111105</v>
      </c>
      <c r="G72" s="87">
        <v>0</v>
      </c>
      <c r="H72" s="87">
        <f t="shared" ca="1" si="15"/>
        <v>111.98810111111111</v>
      </c>
      <c r="I72" s="87">
        <f t="shared" ca="1" si="16"/>
        <v>80</v>
      </c>
      <c r="J72" s="87">
        <f t="shared" ca="1" si="0"/>
        <v>53.666666666666679</v>
      </c>
      <c r="K72" s="87">
        <v>0</v>
      </c>
      <c r="L72" s="87">
        <f t="shared" ca="1" si="17"/>
        <v>133.66666666666669</v>
      </c>
      <c r="M72" s="2">
        <f t="shared" si="18"/>
        <v>11</v>
      </c>
      <c r="N72" s="2">
        <f ca="1">IF(M37=1,IF(M50&gt;10,1,0),IF(M37=2,IF(M50&gt;10,1,0),0))</f>
        <v>1</v>
      </c>
      <c r="O72" s="2">
        <f t="shared" ca="1" si="1"/>
        <v>20</v>
      </c>
      <c r="P72" s="134">
        <f t="shared" ca="1" si="19"/>
        <v>45.318101111111105</v>
      </c>
      <c r="Q72" s="134">
        <f t="shared" ca="1" si="20"/>
        <v>45.318101111111105</v>
      </c>
      <c r="R72" s="134">
        <f t="shared" ca="1" si="21"/>
        <v>3333.2999999999993</v>
      </c>
      <c r="S72" s="134">
        <f t="shared" si="22"/>
        <v>80</v>
      </c>
      <c r="T72" s="134">
        <f t="shared" si="33"/>
        <v>80</v>
      </c>
      <c r="U72" s="134">
        <f ca="1">IF(N73=1,R71*D5*20/36000+R72*D5*10/36000,IF(N73=0,IF(N72=0,0,R72*D5*Q48/36000+R71*D5*20/36000+R72*D5*10/36000)))</f>
        <v>45.318101111111105</v>
      </c>
      <c r="V72" s="134">
        <f ca="1">IF(N73=1,R71*D5*20/36000+R72*D5*10/36000,IF(N73=0,IF(N72=0,0,R72*D5*Q48/36000+R71*D5*20/36000+R72*D5*10/36000)))</f>
        <v>45.318101111111105</v>
      </c>
      <c r="W72" s="134">
        <f t="shared" ca="1" si="23"/>
        <v>53.666666666666679</v>
      </c>
      <c r="X72" s="134">
        <f t="shared" ca="1" si="24"/>
        <v>50</v>
      </c>
      <c r="Y72" s="134">
        <f t="shared" si="2"/>
        <v>4000</v>
      </c>
      <c r="Z72" s="134">
        <f ca="1">IF(N73=1,Y71*D$5*20/36000+Y72*D$5*10/36000,IF(N73=0,IF(N72=0,0,Y72*D$5*Q$48/36000+Y71*D$5*20/36000+Y72*D$5*10/36000)))</f>
        <v>53.666666666666679</v>
      </c>
      <c r="AA72" s="134">
        <f t="shared" ca="1" si="25"/>
        <v>53.666666666666679</v>
      </c>
      <c r="AB72" s="134">
        <f ca="1">IF(R73=0,R72*Q48,(R71*20+R72*10))</f>
        <v>101332.4</v>
      </c>
      <c r="AC72" s="134"/>
      <c r="AD72" s="134">
        <f t="shared" ca="1" si="3"/>
        <v>0</v>
      </c>
      <c r="AE72" s="134">
        <f t="shared" ca="1" si="4"/>
        <v>0</v>
      </c>
      <c r="AF72" s="134">
        <f t="shared" ca="1" si="27"/>
        <v>0</v>
      </c>
      <c r="AG72" s="134">
        <f t="shared" ca="1" si="5"/>
        <v>0</v>
      </c>
      <c r="AH72" s="134">
        <f t="shared" ca="1" si="28"/>
        <v>0</v>
      </c>
      <c r="AI72" s="134">
        <f t="shared" ca="1" si="29"/>
        <v>0</v>
      </c>
      <c r="AJ72" s="134">
        <f t="shared" ca="1" si="6"/>
        <v>3333.2999999999993</v>
      </c>
      <c r="AK72" s="134">
        <f ca="1">IF(N73=1,AJ71*G48*20/36000+AJ72*G48*10/36000,IF(N73=0,IF(N72=0,0,AJ72*G48*Q48/36000+AJ71*G48*20/36000+AJ72*G48*10/36000)))</f>
        <v>0</v>
      </c>
      <c r="AL72" s="134">
        <f ca="1">IF(N73=1,AJ71*G48*20/36000+AJ72*G48*10/36000,IF(N73=0,IF(N72=0,0,AJ72*G48*Q48/36000+AJ71*G48*20/36000+AJ72*G48*10/36000)))</f>
        <v>0</v>
      </c>
      <c r="AM72" s="132">
        <f t="shared" ca="1" si="30"/>
        <v>12</v>
      </c>
      <c r="AN72" s="132">
        <f t="shared" ca="1" si="7"/>
        <v>12</v>
      </c>
      <c r="AO72" s="2">
        <f t="shared" ca="1" si="31"/>
        <v>2024</v>
      </c>
      <c r="AP72" s="2">
        <f t="shared" ca="1" si="8"/>
        <v>2024</v>
      </c>
      <c r="AQ72" s="2">
        <f t="shared" ca="1" si="9"/>
        <v>1</v>
      </c>
      <c r="AR72" s="2">
        <f t="shared" ca="1" si="10"/>
        <v>30</v>
      </c>
      <c r="AS72" s="2">
        <f t="shared" si="11"/>
        <v>20</v>
      </c>
      <c r="AT72" s="2">
        <f t="shared" ca="1" si="32"/>
        <v>30</v>
      </c>
      <c r="AU72" s="2"/>
      <c r="AV72" s="2"/>
      <c r="AW72" s="2"/>
      <c r="AX72" s="2"/>
      <c r="AY72" s="2"/>
      <c r="AZ72" s="2">
        <f t="shared" ca="1" si="12"/>
        <v>1</v>
      </c>
      <c r="BA72" s="2"/>
      <c r="BB72" s="2"/>
      <c r="BC72" s="2"/>
      <c r="BD72" s="2"/>
      <c r="BE72" s="2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</row>
    <row r="73" spans="1:142" s="24" customFormat="1" ht="15" customHeight="1">
      <c r="A73" s="4">
        <f t="shared" si="13"/>
        <v>12</v>
      </c>
      <c r="B73" s="268">
        <f t="shared" ca="1" si="14"/>
        <v>45677</v>
      </c>
      <c r="C73" s="268"/>
      <c r="D73" s="269">
        <f ca="1">IF(N73=0,IF(N72=1,D62+D63+D64+D65+D66+D67+D68+D69+D70+D71+D72," "),IF(N73=0," ",IF(N74=1,D62,IF(N74=0,D4-D62*(M50-1)," "))))</f>
        <v>66.67</v>
      </c>
      <c r="E73" s="269"/>
      <c r="F73" s="87">
        <f ca="1">IF(N73=0,IF(N72=1,F62+F63+F64+F65+F66+F67+F68+F69+F70+F71+F72," "),IF(M37=1,P73,IF(M37=2,Q73," ")))</f>
        <v>44.423611944444438</v>
      </c>
      <c r="G73" s="87">
        <v>0</v>
      </c>
      <c r="H73" s="87">
        <f t="shared" ca="1" si="15"/>
        <v>111.09361194444443</v>
      </c>
      <c r="I73" s="87">
        <f t="shared" ca="1" si="16"/>
        <v>81.632653061224488</v>
      </c>
      <c r="J73" s="87">
        <f t="shared" ca="1" si="0"/>
        <v>53.666666666666679</v>
      </c>
      <c r="K73" s="87">
        <v>0</v>
      </c>
      <c r="L73" s="87">
        <f t="shared" ca="1" si="17"/>
        <v>135.29931972789117</v>
      </c>
      <c r="M73" s="2">
        <f t="shared" si="18"/>
        <v>12</v>
      </c>
      <c r="N73" s="2">
        <f ca="1">IF(M37=1,IF(M50&gt;11,1,0),IF(M37=2,IF(M50&gt;11,1,0),0))</f>
        <v>1</v>
      </c>
      <c r="O73" s="2">
        <f t="shared" ca="1" si="1"/>
        <v>20</v>
      </c>
      <c r="P73" s="134">
        <f t="shared" ca="1" si="19"/>
        <v>44.423611944444438</v>
      </c>
      <c r="Q73" s="134">
        <f t="shared" ca="1" si="20"/>
        <v>44.423611944444438</v>
      </c>
      <c r="R73" s="134">
        <f t="shared" ca="1" si="21"/>
        <v>3266.6299999999992</v>
      </c>
      <c r="S73" s="134">
        <f t="shared" si="22"/>
        <v>81.632653061224488</v>
      </c>
      <c r="T73" s="134">
        <f t="shared" si="33"/>
        <v>81.632653061224488</v>
      </c>
      <c r="U73" s="134">
        <f ca="1">IF(N74=1,R72*D5*20/36000+R73*D5*10/36000,IF(N74=0,IF(N73=0,0,R73*D5*Q48/36000+R72*D5*20/36000+R73*D5*10/36000)))</f>
        <v>44.423611944444438</v>
      </c>
      <c r="V73" s="134">
        <f ca="1">IF(N74=1,R72*D5*20/36000+R73*D5*10/36000,IF(N74=0,IF(N73=0,0,R73*D5*Q48/36000+R72*D5*20/36000+R73*D5*10/36000)))</f>
        <v>44.423611944444438</v>
      </c>
      <c r="W73" s="134">
        <f t="shared" ca="1" si="23"/>
        <v>53.666666666666679</v>
      </c>
      <c r="X73" s="134">
        <f t="shared" ca="1" si="24"/>
        <v>50</v>
      </c>
      <c r="Y73" s="134">
        <f t="shared" si="2"/>
        <v>4000</v>
      </c>
      <c r="Z73" s="134">
        <f ca="1">IF(N74=1,Y72*D$5*20/36000+Y73*D$5*10/36000,IF(N74=0,IF(N73=0,0,Y73*D$5*Q$48/36000+Y72*D$5*20/36000+Y73*D$5*10/36000)))</f>
        <v>53.666666666666679</v>
      </c>
      <c r="AA73" s="134">
        <f t="shared" ca="1" si="25"/>
        <v>53.666666666666679</v>
      </c>
      <c r="AB73" s="134">
        <f ca="1">IF(R74=0,R73*Q48,(R72*20+R73*10))</f>
        <v>99332.299999999974</v>
      </c>
      <c r="AC73" s="134"/>
      <c r="AD73" s="134">
        <f t="shared" ca="1" si="3"/>
        <v>0</v>
      </c>
      <c r="AE73" s="134">
        <f t="shared" ca="1" si="4"/>
        <v>0</v>
      </c>
      <c r="AF73" s="134">
        <f t="shared" ca="1" si="27"/>
        <v>0</v>
      </c>
      <c r="AG73" s="134">
        <f t="shared" ca="1" si="5"/>
        <v>0</v>
      </c>
      <c r="AH73" s="134">
        <f t="shared" ca="1" si="28"/>
        <v>0</v>
      </c>
      <c r="AI73" s="134">
        <f t="shared" ca="1" si="29"/>
        <v>0</v>
      </c>
      <c r="AJ73" s="134">
        <f t="shared" ca="1" si="6"/>
        <v>3266.6299999999992</v>
      </c>
      <c r="AK73" s="134">
        <f ca="1">IF(N74=1,AJ72*G48*20/36000+AJ73*G48*10/36000,IF(N74=0,IF(N73=0,0,AJ73*G48*Q48/36000+AJ72*G48*20/36000+AJ73*G48*10/36000)))</f>
        <v>0</v>
      </c>
      <c r="AL73" s="134">
        <f ca="1">IF(N74=1,AJ72*G48*20/36000+AJ73*G48*10/36000,IF(N74=0,IF(N73=0,0,AJ73*G48*Q48/36000+AJ72*G48*20/36000+AJ73*G48*10/36000)))</f>
        <v>0</v>
      </c>
      <c r="AM73" s="132">
        <f t="shared" ca="1" si="30"/>
        <v>13</v>
      </c>
      <c r="AN73" s="132">
        <f t="shared" ca="1" si="7"/>
        <v>1</v>
      </c>
      <c r="AO73" s="2">
        <f t="shared" ca="1" si="31"/>
        <v>2024</v>
      </c>
      <c r="AP73" s="2">
        <f t="shared" ca="1" si="8"/>
        <v>2025</v>
      </c>
      <c r="AQ73" s="2">
        <f t="shared" ca="1" si="9"/>
        <v>1</v>
      </c>
      <c r="AR73" s="2">
        <f t="shared" ca="1" si="10"/>
        <v>30</v>
      </c>
      <c r="AS73" s="2">
        <f t="shared" si="11"/>
        <v>20</v>
      </c>
      <c r="AT73" s="2">
        <f t="shared" ca="1" si="32"/>
        <v>30</v>
      </c>
      <c r="AU73" s="2"/>
      <c r="AV73" s="2"/>
      <c r="AW73" s="2"/>
      <c r="AX73" s="2"/>
      <c r="AY73" s="2"/>
      <c r="AZ73" s="2">
        <f t="shared" ca="1" si="12"/>
        <v>1</v>
      </c>
      <c r="BA73" s="2"/>
      <c r="BB73" s="2"/>
      <c r="BC73" s="2"/>
      <c r="BD73" s="2"/>
      <c r="BE73" s="2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</row>
    <row r="74" spans="1:142" s="24" customFormat="1" ht="15" customHeight="1">
      <c r="A74" s="19">
        <f t="shared" si="13"/>
        <v>13</v>
      </c>
      <c r="B74" s="268">
        <f t="shared" ca="1" si="14"/>
        <v>45708</v>
      </c>
      <c r="C74" s="268"/>
      <c r="D74" s="269">
        <f ca="1">IF(N74=0,IF(N73=1,D62+D63+D64+D65+D66+D67+D68+D69+D70+D71+D72+D73," "),IF(N74=0," ",IF(N75=1,D62,IF(N75=0,D4-D62*(M50-1)," "))))</f>
        <v>66.67</v>
      </c>
      <c r="E74" s="269"/>
      <c r="F74" s="87">
        <f ca="1">IF(N74=0,IF(N73=1,F62+F63+F64+F65+F66+F67+F68+F69+F70+F71+F72+F73," "),IF(M37=1,P74,IF(M37=2,Q74," ")))</f>
        <v>43.529122777777772</v>
      </c>
      <c r="G74" s="87">
        <v>0</v>
      </c>
      <c r="H74" s="87">
        <f t="shared" ca="1" si="15"/>
        <v>110.19912277777777</v>
      </c>
      <c r="I74" s="87">
        <f t="shared" ca="1" si="16"/>
        <v>83.34</v>
      </c>
      <c r="J74" s="87">
        <f t="shared" ca="1" si="0"/>
        <v>53.666666666666679</v>
      </c>
      <c r="K74" s="87">
        <v>0</v>
      </c>
      <c r="L74" s="87">
        <f t="shared" ca="1" si="17"/>
        <v>137.00666666666669</v>
      </c>
      <c r="M74" s="2">
        <f t="shared" si="18"/>
        <v>13</v>
      </c>
      <c r="N74" s="2">
        <f ca="1">IF(M37=1,IF(M50&gt;12,1,0),IF(M37=2,IF(M50&gt;12,1,0),0))</f>
        <v>1</v>
      </c>
      <c r="O74" s="2">
        <f t="shared" ca="1" si="1"/>
        <v>20</v>
      </c>
      <c r="P74" s="134">
        <f t="shared" ca="1" si="19"/>
        <v>43.529122777777772</v>
      </c>
      <c r="Q74" s="134">
        <f t="shared" ca="1" si="20"/>
        <v>43.529122777777772</v>
      </c>
      <c r="R74" s="134">
        <f t="shared" ca="1" si="21"/>
        <v>3199.9599999999991</v>
      </c>
      <c r="S74" s="134">
        <f t="shared" ca="1" si="22"/>
        <v>66.67</v>
      </c>
      <c r="T74" s="134">
        <f t="shared" ca="1" si="33"/>
        <v>66.67</v>
      </c>
      <c r="U74" s="134">
        <f ca="1">IF(N75=1,R73*D$5*20/36000+R74*D$5*10/36000,IF(N75=0,IF(N74=0,0,IF(D10&gt;20,R73*D$5*20/36000+R74*D$5*(Q$48-20)/36000,R74*D$5*Q$48/36000))))</f>
        <v>43.529122777777772</v>
      </c>
      <c r="V74" s="134">
        <f ca="1">IF(N75=1,R73*D$5*20/36000+R74*D$5*10/36000,IF(N75=0,IF(N74=0,0,IF(D10&gt;20,R73*D$5*20/36000+R74*D$5*(Q$48-20)/36000,R74*D$5*Q$48/36000))))</f>
        <v>43.529122777777772</v>
      </c>
      <c r="W74" s="134">
        <f t="shared" ca="1" si="23"/>
        <v>53.666666666666679</v>
      </c>
      <c r="X74" s="134">
        <f t="shared" ca="1" si="24"/>
        <v>50</v>
      </c>
      <c r="Y74" s="134">
        <f t="shared" si="2"/>
        <v>4000</v>
      </c>
      <c r="Z74" s="134">
        <f ca="1">IF(N75=1,Y73*D$5*20/36000+Y74*D$5*10/36000,IF(N75=0,IF(N74=0,0,IF(D$10&gt;20,Y73*D$5*20/36000+Y74*D$5*(Q$48-20)/36000,Y74*D$5*Q$48/36000))))</f>
        <v>53.666666666666679</v>
      </c>
      <c r="AA74" s="134">
        <f t="shared" ca="1" si="25"/>
        <v>53.666666666666679</v>
      </c>
      <c r="AB74" s="134">
        <f ca="1">IF(R75=0,R74*Q48,(R73*20+R74*10))</f>
        <v>97332.199999999983</v>
      </c>
      <c r="AC74" s="134"/>
      <c r="AD74" s="134">
        <f t="shared" ca="1" si="3"/>
        <v>0</v>
      </c>
      <c r="AE74" s="134">
        <f t="shared" ca="1" si="4"/>
        <v>0</v>
      </c>
      <c r="AF74" s="134">
        <f t="shared" ca="1" si="27"/>
        <v>0</v>
      </c>
      <c r="AG74" s="134">
        <f t="shared" ca="1" si="5"/>
        <v>0</v>
      </c>
      <c r="AH74" s="134">
        <f t="shared" ca="1" si="28"/>
        <v>0</v>
      </c>
      <c r="AI74" s="134">
        <f t="shared" ca="1" si="29"/>
        <v>0</v>
      </c>
      <c r="AJ74" s="134">
        <f t="shared" ca="1" si="6"/>
        <v>3199.9599999999991</v>
      </c>
      <c r="AK74" s="134">
        <f ca="1">IF(N75=1,AJ73*G48*20/36000+AJ74*G48*10/36000,IF(N75=0,IF(N74=0,0,AJ74*G48*Q48/36000)))</f>
        <v>0</v>
      </c>
      <c r="AL74" s="134">
        <f ca="1">IF(N75=1,AJ73*G48*20/36000+AJ74*G48*10/36000,IF(N75=0,IF(N74=0,0,AJ74*G48*Q48/36000)))</f>
        <v>0</v>
      </c>
      <c r="AM74" s="132">
        <f t="shared" ca="1" si="30"/>
        <v>2</v>
      </c>
      <c r="AN74" s="132">
        <f t="shared" ca="1" si="7"/>
        <v>2</v>
      </c>
      <c r="AO74" s="2">
        <f t="shared" ca="1" si="31"/>
        <v>2025</v>
      </c>
      <c r="AP74" s="2">
        <f t="shared" ca="1" si="8"/>
        <v>2025</v>
      </c>
      <c r="AQ74" s="2">
        <f t="shared" ca="1" si="9"/>
        <v>0</v>
      </c>
      <c r="AR74" s="2">
        <f t="shared" ca="1" si="10"/>
        <v>28</v>
      </c>
      <c r="AS74" s="2">
        <f t="shared" si="11"/>
        <v>20</v>
      </c>
      <c r="AT74" s="2">
        <f t="shared" ca="1" si="32"/>
        <v>30</v>
      </c>
      <c r="AU74" s="2"/>
      <c r="AV74" s="2"/>
      <c r="AW74" s="2"/>
      <c r="AX74" s="2"/>
      <c r="AY74" s="2"/>
      <c r="AZ74" s="2">
        <f t="shared" ca="1" si="12"/>
        <v>1</v>
      </c>
      <c r="BA74" s="2"/>
      <c r="BB74" s="2"/>
      <c r="BC74" s="2"/>
      <c r="BD74" s="2"/>
      <c r="BE74" s="2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</row>
    <row r="75" spans="1:142" s="24" customFormat="1" ht="15" customHeight="1">
      <c r="A75" s="4">
        <f t="shared" si="13"/>
        <v>14</v>
      </c>
      <c r="B75" s="268">
        <f t="shared" ca="1" si="14"/>
        <v>45736</v>
      </c>
      <c r="C75" s="268"/>
      <c r="D75" s="269">
        <f ca="1">IF(N75=0,IF(N74=1,D62+D63+D64+D65+D66+D67+D68+D69+D70+D71+D72+D73+D74," "),IF(N75=0," ",IF(N76=1,D62,IF(N76=0,D4-D62*(M50-1)," "))))</f>
        <v>66.67</v>
      </c>
      <c r="E75" s="269"/>
      <c r="F75" s="87">
        <f ca="1">IF(N75=0,IF(N74=1,F62+F63+F64+F65+F66+F67+F68+F69+F70+F71+F72+F73+F74," "),IF(M37=1,P75,IF(M37=2,Q75," ")))</f>
        <v>42.634633611111106</v>
      </c>
      <c r="G75" s="87">
        <v>0</v>
      </c>
      <c r="H75" s="87">
        <f t="shared" ca="1" si="15"/>
        <v>109.30463361111111</v>
      </c>
      <c r="I75" s="87">
        <f t="shared" ca="1" si="16"/>
        <v>83.34</v>
      </c>
      <c r="J75" s="87">
        <f t="shared" ca="1" si="0"/>
        <v>53.293951666666672</v>
      </c>
      <c r="K75" s="87">
        <v>0</v>
      </c>
      <c r="L75" s="87">
        <f t="shared" ca="1" si="17"/>
        <v>136.63395166666669</v>
      </c>
      <c r="M75" s="2">
        <f t="shared" si="18"/>
        <v>14</v>
      </c>
      <c r="N75" s="2">
        <f ca="1">IF(M37=1,IF(M50&gt;13,1,0),IF(M37=2,IF(M50&gt;13,1,0),0))</f>
        <v>1</v>
      </c>
      <c r="O75" s="2">
        <f t="shared" ca="1" si="1"/>
        <v>20</v>
      </c>
      <c r="P75" s="134">
        <f t="shared" ca="1" si="19"/>
        <v>42.634633611111106</v>
      </c>
      <c r="Q75" s="134">
        <f t="shared" ca="1" si="20"/>
        <v>42.634633611111106</v>
      </c>
      <c r="R75" s="134">
        <f t="shared" ca="1" si="21"/>
        <v>3133.2899999999991</v>
      </c>
      <c r="S75" s="134">
        <f t="shared" ca="1" si="22"/>
        <v>66.67</v>
      </c>
      <c r="T75" s="134">
        <f t="shared" ca="1" si="33"/>
        <v>66.67</v>
      </c>
      <c r="U75" s="134">
        <f ca="1">IF(N76=1,R74*D5*20/36000+R75*D5*10/36000,IF(N76=0,IF(N75=0,0,R75*D5*Q48/36000+R74*D5*20/36000+R75*D5*10/36000)))</f>
        <v>42.634633611111106</v>
      </c>
      <c r="V75" s="134">
        <f ca="1">IF(N76=1,R74*D5*20/36000+R75*D5*10/36000,IF(N76=0,IF(N75=0,0,R75*D5*Q48/36000+R74*D5*20/36000+R75*D5*10/36000)))</f>
        <v>42.634633611111106</v>
      </c>
      <c r="W75" s="134">
        <f t="shared" ca="1" si="23"/>
        <v>53.666666666666679</v>
      </c>
      <c r="X75" s="134">
        <f t="shared" ca="1" si="24"/>
        <v>50</v>
      </c>
      <c r="Y75" s="134">
        <f t="shared" ca="1" si="2"/>
        <v>3916.66</v>
      </c>
      <c r="Z75" s="134">
        <f ca="1">IF(N76=1,Y74*D$5*20/36000+Y75*D$5*10/36000,IF(N76=0,IF(N75=0,0,Y75*D$5*Q$48/36000+Y74*D$5*20/36000+Y75*D$5*10/36000)))</f>
        <v>53.293951666666672</v>
      </c>
      <c r="AA75" s="134">
        <f t="shared" ca="1" si="25"/>
        <v>53.293951666666672</v>
      </c>
      <c r="AB75" s="134">
        <f ca="1">IF(R76=0,R75*Q48,(R74*20+R75*10))</f>
        <v>95332.099999999977</v>
      </c>
      <c r="AC75" s="134"/>
      <c r="AD75" s="134">
        <f t="shared" ca="1" si="3"/>
        <v>0</v>
      </c>
      <c r="AE75" s="134">
        <f t="shared" ca="1" si="4"/>
        <v>0</v>
      </c>
      <c r="AF75" s="134">
        <f t="shared" ca="1" si="27"/>
        <v>0</v>
      </c>
      <c r="AG75" s="134">
        <f t="shared" ca="1" si="5"/>
        <v>0</v>
      </c>
      <c r="AH75" s="134">
        <f t="shared" ca="1" si="28"/>
        <v>0</v>
      </c>
      <c r="AI75" s="134">
        <f t="shared" ca="1" si="29"/>
        <v>0</v>
      </c>
      <c r="AJ75" s="134">
        <f t="shared" ca="1" si="6"/>
        <v>3133.2899999999991</v>
      </c>
      <c r="AK75" s="134">
        <f ca="1">IF(N76=1,AJ74*G48*20/36000+AJ75*G48*10/36000,IF(N76=0,IF(N75=0,0,AJ75*G48*Q48/36000+AJ74*G48*20/36000+AJ75*G48*10/36000)))</f>
        <v>0</v>
      </c>
      <c r="AL75" s="134">
        <f ca="1">IF(N76=1,AJ74*G48*20/36000+AJ75*G48*10/36000,IF(N76=0,IF(N75=0,0,AJ75*G48*Q48/36000+AJ74*G48*20/36000+AJ75*G48*10/36000)))</f>
        <v>0</v>
      </c>
      <c r="AM75" s="132">
        <f t="shared" ca="1" si="30"/>
        <v>3</v>
      </c>
      <c r="AN75" s="132">
        <f t="shared" ca="1" si="7"/>
        <v>3</v>
      </c>
      <c r="AO75" s="2">
        <f t="shared" ca="1" si="31"/>
        <v>2025</v>
      </c>
      <c r="AP75" s="2">
        <f t="shared" ca="1" si="8"/>
        <v>2025</v>
      </c>
      <c r="AQ75" s="2">
        <f t="shared" ca="1" si="9"/>
        <v>0</v>
      </c>
      <c r="AR75" s="2">
        <f t="shared" ca="1" si="10"/>
        <v>30</v>
      </c>
      <c r="AS75" s="2">
        <f t="shared" si="11"/>
        <v>20</v>
      </c>
      <c r="AT75" s="2">
        <f t="shared" ca="1" si="32"/>
        <v>28</v>
      </c>
      <c r="AU75" s="2"/>
      <c r="AV75" s="2"/>
      <c r="AW75" s="2"/>
      <c r="AX75" s="2"/>
      <c r="AY75" s="2"/>
      <c r="AZ75" s="2">
        <f t="shared" ca="1" si="12"/>
        <v>1</v>
      </c>
      <c r="BA75" s="2"/>
      <c r="BB75" s="2"/>
      <c r="BC75" s="2"/>
      <c r="BD75" s="2"/>
      <c r="BE75" s="2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</row>
    <row r="76" spans="1:142" s="24" customFormat="1" ht="15" customHeight="1">
      <c r="A76" s="4">
        <f t="shared" si="13"/>
        <v>15</v>
      </c>
      <c r="B76" s="268">
        <f t="shared" ca="1" si="14"/>
        <v>45767</v>
      </c>
      <c r="C76" s="268"/>
      <c r="D76" s="269">
        <f ca="1">IF(N76=0,IF(N75=1,D62+D63+D64+D65+D66+D67+D68+D69+D70+D71+D72+D73+D74+D75," "),IF(N76=0," ",IF(N77=1,D62,IF(N77=0,D4-D62*(M50-1)," "))))</f>
        <v>66.67</v>
      </c>
      <c r="E76" s="269"/>
      <c r="F76" s="87">
        <f ca="1">IF(N76=0,IF(N75=1,F62+F63+F64+F65+F66+F67+F68+F69+F70+F71+F72+F73+F74+F75," "),IF(M37=1,P76,IF(M37=2,Q76," ")))</f>
        <v>41.740144444444432</v>
      </c>
      <c r="G76" s="87">
        <v>0</v>
      </c>
      <c r="H76" s="87">
        <f t="shared" ca="1" si="15"/>
        <v>108.41014444444443</v>
      </c>
      <c r="I76" s="87">
        <f t="shared" ca="1" si="16"/>
        <v>83.34</v>
      </c>
      <c r="J76" s="87">
        <f t="shared" ca="1" si="0"/>
        <v>52.175806666666674</v>
      </c>
      <c r="K76" s="87">
        <v>0</v>
      </c>
      <c r="L76" s="87">
        <f t="shared" ca="1" si="17"/>
        <v>135.51580666666666</v>
      </c>
      <c r="M76" s="2">
        <f t="shared" si="18"/>
        <v>15</v>
      </c>
      <c r="N76" s="2">
        <f ca="1">IF(M37=1,IF(M50&gt;14,1,0),IF(M37=2,IF(M50&gt;14,1,0),0))</f>
        <v>1</v>
      </c>
      <c r="O76" s="2">
        <f t="shared" ca="1" si="1"/>
        <v>20</v>
      </c>
      <c r="P76" s="134">
        <f t="shared" ca="1" si="19"/>
        <v>41.740144444444432</v>
      </c>
      <c r="Q76" s="134">
        <f t="shared" ca="1" si="20"/>
        <v>41.740144444444432</v>
      </c>
      <c r="R76" s="134">
        <f t="shared" ca="1" si="21"/>
        <v>3066.619999999999</v>
      </c>
      <c r="S76" s="134">
        <f t="shared" ca="1" si="22"/>
        <v>66.67</v>
      </c>
      <c r="T76" s="134">
        <f t="shared" ca="1" si="33"/>
        <v>66.67</v>
      </c>
      <c r="U76" s="134">
        <f ca="1">IF(N77=1,R75*D5*20/36000+R76*D5*10/36000,IF(N77=0,IF(N76=0,0,R76*D5*Q48/36000+R75*D5*20/36000+R76*D5*10/36000)))</f>
        <v>41.740144444444432</v>
      </c>
      <c r="V76" s="134">
        <f ca="1">IF(N77=1,R75*D5*20/36000+R76*D5*10/36000,IF(N77=0,IF(N76=0,0,R76*D5*Q48/36000+R75*D5*20/36000+R76*D5*10/36000)))</f>
        <v>41.740144444444432</v>
      </c>
      <c r="W76" s="134">
        <f t="shared" ca="1" si="23"/>
        <v>53.666666666666679</v>
      </c>
      <c r="X76" s="134">
        <f t="shared" ca="1" si="24"/>
        <v>50</v>
      </c>
      <c r="Y76" s="134">
        <f t="shared" ca="1" si="2"/>
        <v>3833.3199999999997</v>
      </c>
      <c r="Z76" s="134">
        <f ca="1">IF(N77=1,Y75*D$5*20/36000+Y76*D$5*10/36000,IF(N77=0,IF(N76=0,0,Y76*D$5*Q$48/36000+Y75*D$5*20/36000+Y76*D$5*10/36000)))</f>
        <v>52.175806666666674</v>
      </c>
      <c r="AA76" s="134">
        <f t="shared" ca="1" si="25"/>
        <v>52.175806666666674</v>
      </c>
      <c r="AB76" s="134">
        <f ca="1">IF(R77=0,R76*Q48,(R75*20+R76*10))</f>
        <v>93331.999999999971</v>
      </c>
      <c r="AC76" s="134"/>
      <c r="AD76" s="134">
        <f t="shared" ca="1" si="3"/>
        <v>0</v>
      </c>
      <c r="AE76" s="134">
        <f t="shared" ca="1" si="4"/>
        <v>0</v>
      </c>
      <c r="AF76" s="134">
        <f t="shared" ca="1" si="27"/>
        <v>0</v>
      </c>
      <c r="AG76" s="134">
        <f t="shared" ca="1" si="5"/>
        <v>0</v>
      </c>
      <c r="AH76" s="134">
        <f t="shared" ca="1" si="28"/>
        <v>0</v>
      </c>
      <c r="AI76" s="134">
        <f t="shared" ca="1" si="29"/>
        <v>0</v>
      </c>
      <c r="AJ76" s="134">
        <f t="shared" ca="1" si="6"/>
        <v>3066.619999999999</v>
      </c>
      <c r="AK76" s="134">
        <f ca="1">IF(N77=1,AJ75*G48*20/36000+AJ76*G48*10/36000,IF(N77=0,IF(N76=0,0,AJ76*G48*Q48/36000+AJ75*G48*20/36000+AJ76*G48*10/36000)))</f>
        <v>0</v>
      </c>
      <c r="AL76" s="134">
        <f ca="1">IF(N77=1,AJ75*G48*20/36000+AJ76*G48*10/36000,IF(N77=0,IF(N76=0,0,AJ76*G48*Q48/36000+AJ75*G48*20/36000+AJ76*G48*10/36000)))</f>
        <v>0</v>
      </c>
      <c r="AM76" s="132">
        <f t="shared" ca="1" si="30"/>
        <v>4</v>
      </c>
      <c r="AN76" s="132">
        <f t="shared" ca="1" si="7"/>
        <v>4</v>
      </c>
      <c r="AO76" s="2">
        <f t="shared" ca="1" si="31"/>
        <v>2025</v>
      </c>
      <c r="AP76" s="2">
        <f t="shared" ca="1" si="8"/>
        <v>2025</v>
      </c>
      <c r="AQ76" s="2">
        <f t="shared" ca="1" si="9"/>
        <v>0</v>
      </c>
      <c r="AR76" s="2">
        <f t="shared" ca="1" si="10"/>
        <v>30</v>
      </c>
      <c r="AS76" s="2">
        <f t="shared" si="11"/>
        <v>20</v>
      </c>
      <c r="AT76" s="2">
        <f t="shared" ca="1" si="32"/>
        <v>30</v>
      </c>
      <c r="AU76" s="2"/>
      <c r="AV76" s="2"/>
      <c r="AW76" s="2"/>
      <c r="AX76" s="2"/>
      <c r="AY76" s="2"/>
      <c r="AZ76" s="2">
        <f t="shared" ca="1" si="12"/>
        <v>1</v>
      </c>
      <c r="BA76" s="2"/>
      <c r="BB76" s="2"/>
      <c r="BC76" s="2"/>
      <c r="BD76" s="2"/>
      <c r="BE76" s="2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</row>
    <row r="77" spans="1:142" s="24" customFormat="1" ht="15" customHeight="1">
      <c r="A77" s="4">
        <f t="shared" si="13"/>
        <v>16</v>
      </c>
      <c r="B77" s="268">
        <f t="shared" ca="1" si="14"/>
        <v>45797</v>
      </c>
      <c r="C77" s="268"/>
      <c r="D77" s="269">
        <f ca="1">IF(N77=0,IF(N76=1,D62+D63+D64+D65+D66+D67+D68+D69+D70+D71+D72+D73+D74+D75+D76," "),IF(N77=0," ",IF(N78=1,D62,IF(N78=0,D4-D62*(M50-1)," "))))</f>
        <v>66.67</v>
      </c>
      <c r="E77" s="269"/>
      <c r="F77" s="87">
        <f ca="1">IF(N77=0,IF(N76=1,F62+F63+F64+F65+F66+F67+F68+F69+F70+F71+F72+F73+F74+F75+F76," "),IF(M37=1,P77,IF(M37=2,Q77," ")))</f>
        <v>40.845655277777766</v>
      </c>
      <c r="G77" s="87">
        <v>0</v>
      </c>
      <c r="H77" s="87">
        <f t="shared" ca="1" si="15"/>
        <v>107.51565527777777</v>
      </c>
      <c r="I77" s="87">
        <f t="shared" ca="1" si="16"/>
        <v>83.34</v>
      </c>
      <c r="J77" s="87">
        <f t="shared" ca="1" si="0"/>
        <v>51.057661666666675</v>
      </c>
      <c r="K77" s="87">
        <v>0</v>
      </c>
      <c r="L77" s="87">
        <f t="shared" ca="1" si="17"/>
        <v>134.39766166666669</v>
      </c>
      <c r="M77" s="2">
        <f t="shared" si="18"/>
        <v>16</v>
      </c>
      <c r="N77" s="2">
        <f ca="1">IF(M37=1,IF(M50&gt;15,1,0),IF(M37=2,IF(M50&gt;15,1,0),0))</f>
        <v>1</v>
      </c>
      <c r="O77" s="2">
        <f t="shared" ca="1" si="1"/>
        <v>20</v>
      </c>
      <c r="P77" s="134">
        <f t="shared" ca="1" si="19"/>
        <v>40.845655277777766</v>
      </c>
      <c r="Q77" s="134">
        <f t="shared" ca="1" si="20"/>
        <v>40.845655277777766</v>
      </c>
      <c r="R77" s="134">
        <f t="shared" ca="1" si="21"/>
        <v>2999.9499999999989</v>
      </c>
      <c r="S77" s="134">
        <f t="shared" ca="1" si="22"/>
        <v>66.67</v>
      </c>
      <c r="T77" s="134">
        <f t="shared" ca="1" si="33"/>
        <v>66.67</v>
      </c>
      <c r="U77" s="134">
        <f ca="1">IF(N78=1,R76*D5*20/36000+R77*D5*10/36000,IF(N78=0,IF(N77=0,0,R77*D5*Q48/36000+R76*D5*20/36000+R77*D5*10/36000)))</f>
        <v>40.845655277777766</v>
      </c>
      <c r="V77" s="134">
        <f ca="1">IF(N78=1,R76*D5*20/36000+R77*D5*10/36000,IF(N78=0,IF(N77=0,0,R77*D5*Q48/36000+R76*D5*20/36000+R77*D5*10/36000)))</f>
        <v>40.845655277777766</v>
      </c>
      <c r="W77" s="134">
        <f t="shared" ca="1" si="23"/>
        <v>53.666666666666679</v>
      </c>
      <c r="X77" s="134">
        <f t="shared" ca="1" si="24"/>
        <v>50</v>
      </c>
      <c r="Y77" s="134">
        <f t="shared" ca="1" si="2"/>
        <v>3749.9799999999996</v>
      </c>
      <c r="Z77" s="134">
        <f ca="1">IF(N78=1,Y76*D$5*20/36000+Y77*D$5*10/36000,IF(N78=0,IF(N77=0,0,Y77*D$5*Q$48/36000+Y76*D$5*20/36000+Y77*D$5*10/36000)))</f>
        <v>51.057661666666675</v>
      </c>
      <c r="AA77" s="134">
        <f t="shared" ca="1" si="25"/>
        <v>51.057661666666675</v>
      </c>
      <c r="AB77" s="134">
        <f ca="1">IF(R78=0,R77*Q48,(R76*20+R77*10))</f>
        <v>91331.899999999965</v>
      </c>
      <c r="AC77" s="134"/>
      <c r="AD77" s="134">
        <f t="shared" ca="1" si="3"/>
        <v>0</v>
      </c>
      <c r="AE77" s="134">
        <f t="shared" ca="1" si="4"/>
        <v>0</v>
      </c>
      <c r="AF77" s="134">
        <f t="shared" ca="1" si="27"/>
        <v>0</v>
      </c>
      <c r="AG77" s="134">
        <f t="shared" ca="1" si="5"/>
        <v>0</v>
      </c>
      <c r="AH77" s="134">
        <f t="shared" ca="1" si="28"/>
        <v>0</v>
      </c>
      <c r="AI77" s="134">
        <f t="shared" ca="1" si="29"/>
        <v>0</v>
      </c>
      <c r="AJ77" s="134">
        <f t="shared" ca="1" si="6"/>
        <v>2999.9499999999989</v>
      </c>
      <c r="AK77" s="134">
        <f ca="1">IF(N78=1,AJ76*G48*20/36000+AJ77*G48*10/36000,IF(N78=0,IF(N77=0,0,AJ77*G48*Q48/36000+AJ76*G48*20/36000+AJ77*G48*10/36000)))</f>
        <v>0</v>
      </c>
      <c r="AL77" s="134">
        <f ca="1">IF(N78=1,AJ76*G48*20/36000+AJ77*G48*10/36000,IF(N78=0,IF(N77=0,0,AJ77*G48*Q48/36000+AJ76*G48*20/36000+AJ77*G48*10/36000)))</f>
        <v>0</v>
      </c>
      <c r="AM77" s="132">
        <f t="shared" ca="1" si="30"/>
        <v>5</v>
      </c>
      <c r="AN77" s="132">
        <f t="shared" ca="1" si="7"/>
        <v>5</v>
      </c>
      <c r="AO77" s="2">
        <f t="shared" ca="1" si="31"/>
        <v>2025</v>
      </c>
      <c r="AP77" s="2">
        <f t="shared" ca="1" si="8"/>
        <v>2025</v>
      </c>
      <c r="AQ77" s="2">
        <f t="shared" ca="1" si="9"/>
        <v>0</v>
      </c>
      <c r="AR77" s="2">
        <f t="shared" ca="1" si="10"/>
        <v>30</v>
      </c>
      <c r="AS77" s="2">
        <f t="shared" si="11"/>
        <v>20</v>
      </c>
      <c r="AT77" s="2">
        <f t="shared" ca="1" si="32"/>
        <v>30</v>
      </c>
      <c r="AU77" s="2"/>
      <c r="AV77" s="2"/>
      <c r="AW77" s="2"/>
      <c r="AX77" s="2"/>
      <c r="AY77" s="2"/>
      <c r="AZ77" s="2">
        <f t="shared" ca="1" si="12"/>
        <v>1</v>
      </c>
      <c r="BA77" s="2"/>
      <c r="BB77" s="2"/>
      <c r="BC77" s="2"/>
      <c r="BD77" s="2"/>
      <c r="BE77" s="2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</row>
    <row r="78" spans="1:142" s="24" customFormat="1" ht="15" customHeight="1">
      <c r="A78" s="4">
        <f t="shared" si="13"/>
        <v>17</v>
      </c>
      <c r="B78" s="268">
        <f t="shared" ca="1" si="14"/>
        <v>45828</v>
      </c>
      <c r="C78" s="268"/>
      <c r="D78" s="269">
        <f ca="1">IF(N78=0,IF(N77=1,D62+D63+D64+D65+D66+D67+D68+D69+D70+D71+D72+D73+D74+D75+D76+D77," "),IF(N78=0," ",IF(N79=1,D62,IF(N79=0,D4-D62*(M50-1)," "))))</f>
        <v>66.67</v>
      </c>
      <c r="E78" s="269"/>
      <c r="F78" s="87">
        <f ca="1">IF(N78=0,IF(N77=1,F62+F63+F64+F65+F66+F67+F68+F69+F70+F71+F73+F72+F74+F75+F76+F77," "),IF(M37=1,P78,IF(M37=2,Q78," ")))</f>
        <v>39.951166111111093</v>
      </c>
      <c r="G78" s="87">
        <v>0</v>
      </c>
      <c r="H78" s="87">
        <f t="shared" ca="1" si="15"/>
        <v>106.62116611111109</v>
      </c>
      <c r="I78" s="87">
        <f t="shared" ca="1" si="16"/>
        <v>83.34</v>
      </c>
      <c r="J78" s="87">
        <f t="shared" ca="1" si="0"/>
        <v>49.93951666666667</v>
      </c>
      <c r="K78" s="87">
        <v>0</v>
      </c>
      <c r="L78" s="87">
        <f t="shared" ca="1" si="17"/>
        <v>133.27951666666667</v>
      </c>
      <c r="M78" s="2">
        <f t="shared" si="18"/>
        <v>17</v>
      </c>
      <c r="N78" s="2">
        <f ca="1">IF(M37=1,IF(M50&gt;16,1,0),IF(M37=2,IF(M50&gt;16,1,0),0))</f>
        <v>1</v>
      </c>
      <c r="O78" s="2">
        <f t="shared" ca="1" si="1"/>
        <v>20</v>
      </c>
      <c r="P78" s="134">
        <f t="shared" ca="1" si="19"/>
        <v>39.951166111111093</v>
      </c>
      <c r="Q78" s="134">
        <f t="shared" ca="1" si="20"/>
        <v>39.951166111111093</v>
      </c>
      <c r="R78" s="134">
        <f t="shared" ca="1" si="21"/>
        <v>2933.2799999999988</v>
      </c>
      <c r="S78" s="134">
        <f t="shared" ca="1" si="22"/>
        <v>66.67</v>
      </c>
      <c r="T78" s="134">
        <f t="shared" ca="1" si="33"/>
        <v>66.67</v>
      </c>
      <c r="U78" s="134">
        <f ca="1">IF(N79=1,R77*D5*20/36000+R78*D5*10/36000,IF(N79=0,IF(N78=0,0,R78*D5*Q48/36000+R77*D5*20/36000+R78*D5*10/36000)))</f>
        <v>39.951166111111093</v>
      </c>
      <c r="V78" s="134">
        <f ca="1">IF(N79=1,R77*D5*20/36000+R78*D5*10/36000,IF(N79=0,IF(N78=0,0,R78*D5*Q48/36000+R77*D5*20/36000+R78*D5*10/36000)))</f>
        <v>39.951166111111093</v>
      </c>
      <c r="W78" s="134">
        <f t="shared" ca="1" si="23"/>
        <v>53.666666666666679</v>
      </c>
      <c r="X78" s="134">
        <f t="shared" ca="1" si="24"/>
        <v>50</v>
      </c>
      <c r="Y78" s="134">
        <f t="shared" ca="1" si="2"/>
        <v>3666.6399999999994</v>
      </c>
      <c r="Z78" s="134">
        <f ca="1">IF(N79=1,Y77*D$5*20/36000+Y78*D$5*10/36000,IF(N79=0,IF(N78=0,0,Y78*D$5*Q$48/36000+Y77*D$5*20/36000+Y78*D$5*10/36000)))</f>
        <v>49.93951666666667</v>
      </c>
      <c r="AA78" s="134">
        <f t="shared" ca="1" si="25"/>
        <v>49.93951666666667</v>
      </c>
      <c r="AB78" s="134">
        <f ca="1">IF(R79=0,R78*Q48,(R77*20+R78*10))</f>
        <v>89331.799999999959</v>
      </c>
      <c r="AC78" s="134"/>
      <c r="AD78" s="134">
        <f t="shared" ca="1" si="3"/>
        <v>0</v>
      </c>
      <c r="AE78" s="134">
        <f t="shared" ca="1" si="4"/>
        <v>0</v>
      </c>
      <c r="AF78" s="134">
        <f t="shared" ca="1" si="27"/>
        <v>0</v>
      </c>
      <c r="AG78" s="134">
        <f t="shared" ca="1" si="5"/>
        <v>0</v>
      </c>
      <c r="AH78" s="134">
        <f t="shared" ca="1" si="28"/>
        <v>0</v>
      </c>
      <c r="AI78" s="134">
        <f t="shared" ca="1" si="29"/>
        <v>0</v>
      </c>
      <c r="AJ78" s="134">
        <f t="shared" ca="1" si="6"/>
        <v>2933.2799999999988</v>
      </c>
      <c r="AK78" s="134">
        <f ca="1">IF(N79=1,AJ77*G48*20/36000+AJ78*G48*10/36000,IF(N79=0,IF(N78=0,0,AJ78*G48*Q48/36000+AJ77*G48*20/36000+AJ78*G48*10/36000)))</f>
        <v>0</v>
      </c>
      <c r="AL78" s="134">
        <f ca="1">IF(N79=1,AJ77*G48*20/36000+AJ78*G48*10/36000,IF(N79=0,IF(N78=0,0,AJ78*G48*Q48/36000+AJ77*G48*20/36000+AJ78*G48*10/36000)))</f>
        <v>0</v>
      </c>
      <c r="AM78" s="132">
        <f t="shared" ca="1" si="30"/>
        <v>6</v>
      </c>
      <c r="AN78" s="132">
        <f t="shared" ca="1" si="7"/>
        <v>6</v>
      </c>
      <c r="AO78" s="2">
        <f t="shared" ca="1" si="31"/>
        <v>2025</v>
      </c>
      <c r="AP78" s="2">
        <f t="shared" ca="1" si="8"/>
        <v>2025</v>
      </c>
      <c r="AQ78" s="2">
        <f t="shared" ca="1" si="9"/>
        <v>0</v>
      </c>
      <c r="AR78" s="2">
        <f t="shared" ca="1" si="10"/>
        <v>30</v>
      </c>
      <c r="AS78" s="2">
        <f t="shared" si="11"/>
        <v>20</v>
      </c>
      <c r="AT78" s="2">
        <f t="shared" ca="1" si="32"/>
        <v>30</v>
      </c>
      <c r="AU78" s="2"/>
      <c r="AV78" s="2"/>
      <c r="AW78" s="2"/>
      <c r="AX78" s="2"/>
      <c r="AY78" s="2"/>
      <c r="AZ78" s="2">
        <f t="shared" ca="1" si="12"/>
        <v>1</v>
      </c>
      <c r="BA78" s="2"/>
      <c r="BB78" s="2"/>
      <c r="BC78" s="2"/>
      <c r="BD78" s="2"/>
      <c r="BE78" s="2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</row>
    <row r="79" spans="1:142" s="24" customFormat="1" ht="15" customHeight="1">
      <c r="A79" s="4">
        <f t="shared" si="13"/>
        <v>18</v>
      </c>
      <c r="B79" s="268">
        <f t="shared" ca="1" si="14"/>
        <v>45858</v>
      </c>
      <c r="C79" s="268"/>
      <c r="D79" s="269">
        <f ca="1">IF(N79=0,IF(N78=1,D62+D63+D64+D65+D66+D67+D68+D69+D70+D71+D72+D73+D74+D75+D76+D77+D78," "),IF(N79=0," ",IF(N80=1,D62,IF(N80=0,D4-D62*(M50-1)," "))))</f>
        <v>66.67</v>
      </c>
      <c r="E79" s="269"/>
      <c r="F79" s="87">
        <f ca="1">IF(N79=0,IF(N78=1,F62+F63+F64+F65+F66+F67+F68+F69+F70+F71+F72+F73+F74+F75+F76+F77+F78," "),IF(M37=1,P79,IF(M37=2,Q79," ")))</f>
        <v>39.056676944444433</v>
      </c>
      <c r="G79" s="87">
        <v>0</v>
      </c>
      <c r="H79" s="87">
        <f t="shared" ca="1" si="15"/>
        <v>105.72667694444443</v>
      </c>
      <c r="I79" s="87">
        <f t="shared" ca="1" si="16"/>
        <v>83.34</v>
      </c>
      <c r="J79" s="87">
        <f t="shared" ca="1" si="0"/>
        <v>48.821371666666664</v>
      </c>
      <c r="K79" s="87">
        <v>0</v>
      </c>
      <c r="L79" s="87">
        <f t="shared" ca="1" si="17"/>
        <v>132.16137166666667</v>
      </c>
      <c r="M79" s="2">
        <f t="shared" si="18"/>
        <v>18</v>
      </c>
      <c r="N79" s="2">
        <f ca="1">IF(M37=1,IF(M50&gt;17,1,0),IF(M37=2,IF(M50&gt;17,1,0),0))</f>
        <v>1</v>
      </c>
      <c r="O79" s="2">
        <f t="shared" ca="1" si="1"/>
        <v>20</v>
      </c>
      <c r="P79" s="134">
        <f t="shared" ca="1" si="19"/>
        <v>39.056676944444433</v>
      </c>
      <c r="Q79" s="134">
        <f t="shared" ca="1" si="20"/>
        <v>39.056676944444433</v>
      </c>
      <c r="R79" s="134">
        <f t="shared" ca="1" si="21"/>
        <v>2866.6099999999988</v>
      </c>
      <c r="S79" s="134">
        <f t="shared" ca="1" si="22"/>
        <v>66.67</v>
      </c>
      <c r="T79" s="134">
        <f t="shared" ca="1" si="33"/>
        <v>66.67</v>
      </c>
      <c r="U79" s="134">
        <f ca="1">IF(N80=1,R78*D5*20/36000+R79*D5*10/36000,IF(N80=0,IF(N79=0,0,R79*D5*Q48/36000+R78*D5*20/36000+R79*D5*10/36000)))</f>
        <v>39.056676944444433</v>
      </c>
      <c r="V79" s="134">
        <f ca="1">IF(N80=1,R78*D5*20/36000+R79*D5*10/36000,IF(N80=0,IF(N79=0,0,R79*D5*Q48/36000+R78*D5*20/36000+R79*D5*10/36000)))</f>
        <v>39.056676944444433</v>
      </c>
      <c r="W79" s="134">
        <f t="shared" ca="1" si="23"/>
        <v>53.666666666666679</v>
      </c>
      <c r="X79" s="134">
        <f t="shared" ca="1" si="24"/>
        <v>50</v>
      </c>
      <c r="Y79" s="134">
        <f t="shared" ca="1" si="2"/>
        <v>3583.2999999999993</v>
      </c>
      <c r="Z79" s="134">
        <f ca="1">IF(N80=1,Y78*D$5*20/36000+Y79*D$5*10/36000,IF(N80=0,IF(N79=0,0,Y79*D$5*Q$48/36000+Y78*D$5*20/36000+Y79*D$5*10/36000)))</f>
        <v>48.821371666666664</v>
      </c>
      <c r="AA79" s="134">
        <f t="shared" ca="1" si="25"/>
        <v>48.821371666666664</v>
      </c>
      <c r="AB79" s="134">
        <f ca="1">IF(R80=0,R79*Q48,(R78*20+R79*10))</f>
        <v>87331.699999999968</v>
      </c>
      <c r="AC79" s="134"/>
      <c r="AD79" s="134">
        <f t="shared" ca="1" si="3"/>
        <v>0</v>
      </c>
      <c r="AE79" s="134">
        <f t="shared" ca="1" si="4"/>
        <v>0</v>
      </c>
      <c r="AF79" s="134">
        <f t="shared" ca="1" si="27"/>
        <v>0</v>
      </c>
      <c r="AG79" s="134">
        <f t="shared" ca="1" si="5"/>
        <v>0</v>
      </c>
      <c r="AH79" s="134">
        <f t="shared" ca="1" si="28"/>
        <v>0</v>
      </c>
      <c r="AI79" s="134">
        <f t="shared" ca="1" si="29"/>
        <v>0</v>
      </c>
      <c r="AJ79" s="134">
        <f t="shared" ca="1" si="6"/>
        <v>2866.6099999999988</v>
      </c>
      <c r="AK79" s="134">
        <f ca="1">IF(N80=1,AJ78*G48*20/36000+AJ79*G48*10/36000,IF(N80=0,IF(N79=0,0,AJ79*G48*Q48/36000+AJ78*G48*20/36000+AJ79*G48*10/36000)))</f>
        <v>0</v>
      </c>
      <c r="AL79" s="134">
        <f ca="1">IF(N80=1,AJ78*G48*20/36000+AJ79*G48*10/36000,IF(N80=0,IF(N79=0,0,AJ79*G48*Q48/36000+AJ78*G48*20/36000+AJ79*G48*10/36000)))</f>
        <v>0</v>
      </c>
      <c r="AM79" s="132">
        <f t="shared" ca="1" si="30"/>
        <v>7</v>
      </c>
      <c r="AN79" s="132">
        <f t="shared" ca="1" si="7"/>
        <v>7</v>
      </c>
      <c r="AO79" s="2">
        <f t="shared" ca="1" si="31"/>
        <v>2025</v>
      </c>
      <c r="AP79" s="2">
        <f t="shared" ca="1" si="8"/>
        <v>2025</v>
      </c>
      <c r="AQ79" s="2">
        <f t="shared" ca="1" si="9"/>
        <v>0</v>
      </c>
      <c r="AR79" s="2">
        <f t="shared" ca="1" si="10"/>
        <v>30</v>
      </c>
      <c r="AS79" s="2">
        <f t="shared" si="11"/>
        <v>20</v>
      </c>
      <c r="AT79" s="2">
        <f t="shared" ca="1" si="32"/>
        <v>30</v>
      </c>
      <c r="AU79" s="2"/>
      <c r="AV79" s="2"/>
      <c r="AW79" s="2"/>
      <c r="AX79" s="2"/>
      <c r="AY79" s="2"/>
      <c r="AZ79" s="2">
        <f t="shared" ca="1" si="12"/>
        <v>1</v>
      </c>
      <c r="BA79" s="2"/>
      <c r="BB79" s="2"/>
      <c r="BC79" s="2"/>
      <c r="BD79" s="2"/>
      <c r="BE79" s="2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</row>
    <row r="80" spans="1:142" s="24" customFormat="1" ht="15" customHeight="1">
      <c r="A80" s="19">
        <f t="shared" si="13"/>
        <v>19</v>
      </c>
      <c r="B80" s="268">
        <f t="shared" ca="1" si="14"/>
        <v>45889</v>
      </c>
      <c r="C80" s="268"/>
      <c r="D80" s="269">
        <f ca="1">IF(N80=0,IF(N79=1,D62+D63+D64+D65+D66+D67+D68+D69+D70+D71+D72+D73+D74+D75+D76+D77+D78+D79," "),IF(N80=0," ",IF(N81=1,D62,IF(N81=0,D4-D62*(M50-1)," "))))</f>
        <v>66.67</v>
      </c>
      <c r="E80" s="269"/>
      <c r="F80" s="87">
        <f ca="1">IF(N80=0,IF(N79=1,F62+F63+F64+F65+F66+F67+F68+F69+F70+F71+F72+F73+F74+F75+F76+F77+F78+F79," "),IF(M37=1,P80,IF(M37=2,Q80," ")))</f>
        <v>38.16218777777776</v>
      </c>
      <c r="G80" s="87">
        <v>0</v>
      </c>
      <c r="H80" s="87">
        <f t="shared" ca="1" si="15"/>
        <v>104.83218777777776</v>
      </c>
      <c r="I80" s="87">
        <f t="shared" ca="1" si="16"/>
        <v>83.34</v>
      </c>
      <c r="J80" s="87">
        <f t="shared" ca="1" si="0"/>
        <v>47.703226666666666</v>
      </c>
      <c r="K80" s="87">
        <v>0</v>
      </c>
      <c r="L80" s="87">
        <f t="shared" ca="1" si="17"/>
        <v>131.04322666666667</v>
      </c>
      <c r="M80" s="2">
        <f t="shared" si="18"/>
        <v>19</v>
      </c>
      <c r="N80" s="2">
        <f ca="1">IF(M37=1,IF(M50&gt;18,1,0),IF(M37=2,IF(M50&gt;18,1,0),0))</f>
        <v>1</v>
      </c>
      <c r="O80" s="2">
        <f t="shared" ca="1" si="1"/>
        <v>20</v>
      </c>
      <c r="P80" s="134">
        <f t="shared" ca="1" si="19"/>
        <v>38.16218777777776</v>
      </c>
      <c r="Q80" s="134">
        <f t="shared" ca="1" si="20"/>
        <v>38.16218777777776</v>
      </c>
      <c r="R80" s="134">
        <f t="shared" ca="1" si="21"/>
        <v>2799.9399999999987</v>
      </c>
      <c r="S80" s="134">
        <f t="shared" ca="1" si="22"/>
        <v>66.67</v>
      </c>
      <c r="T80" s="134">
        <f t="shared" ca="1" si="33"/>
        <v>66.67</v>
      </c>
      <c r="U80" s="134">
        <f ca="1">IF(N81=1,R79*D$5*20/36000+R80*D$5*10/36000,IF(N81=0,IF(N80=0,0,IF(D10&gt;20,R79*D$5*20/36000+R80*D$5*(Q$48-20)/36000,R80*D$5*Q$48/36000))))</f>
        <v>38.16218777777776</v>
      </c>
      <c r="V80" s="134">
        <f ca="1">IF(N81=1,R79*D$5*20/36000+R80*D$5*10/36000,IF(N81=0,IF(N80=0,0,IF(D10&gt;20,R79*D$5*20/36000+R80*D$5*(Q$48-20)/36000,R80*D$5*Q$48/36000))))</f>
        <v>38.16218777777776</v>
      </c>
      <c r="W80" s="134">
        <f t="shared" ca="1" si="23"/>
        <v>53.666666666666679</v>
      </c>
      <c r="X80" s="134">
        <f t="shared" ca="1" si="24"/>
        <v>50</v>
      </c>
      <c r="Y80" s="134">
        <f t="shared" ca="1" si="2"/>
        <v>3499.9599999999991</v>
      </c>
      <c r="Z80" s="134">
        <f ca="1">IF(N81=1,Y79*D$5*20/36000+Y80*D$5*10/36000,IF(N81=0,IF(N80=0,0,IF(D$10&gt;20,Y79*D$5*20/36000+Y80*D$5*(Q$48-20)/36000,Y80*D$5*Q$48/36000))))</f>
        <v>47.703226666666666</v>
      </c>
      <c r="AA80" s="134">
        <f t="shared" ca="1" si="25"/>
        <v>47.703226666666666</v>
      </c>
      <c r="AB80" s="134">
        <f ca="1">IF(R81=0,R80*Q48,(R79*20+R80*10))</f>
        <v>85331.599999999962</v>
      </c>
      <c r="AC80" s="134"/>
      <c r="AD80" s="134">
        <f t="shared" ca="1" si="3"/>
        <v>0</v>
      </c>
      <c r="AE80" s="134">
        <f t="shared" ca="1" si="4"/>
        <v>0</v>
      </c>
      <c r="AF80" s="134">
        <f t="shared" ca="1" si="27"/>
        <v>0</v>
      </c>
      <c r="AG80" s="134">
        <f t="shared" ca="1" si="5"/>
        <v>0</v>
      </c>
      <c r="AH80" s="134">
        <f t="shared" ca="1" si="28"/>
        <v>0</v>
      </c>
      <c r="AI80" s="134">
        <f t="shared" ca="1" si="29"/>
        <v>0</v>
      </c>
      <c r="AJ80" s="134">
        <f t="shared" ca="1" si="6"/>
        <v>2799.9399999999987</v>
      </c>
      <c r="AK80" s="134">
        <f ca="1">IF(N81=1,AJ79*G$48*20/36000+AJ80*G$48*10/36000,IF(N81=0,IF(N80=0,0,AJ80*G$48*Q$48/36000)))</f>
        <v>0</v>
      </c>
      <c r="AL80" s="134">
        <f ca="1">IF(N81=1,AJ79*G$48*20/36000+AJ80*G$48*10/36000,IF(N81=0,IF(N80=0,0,AJ80*G$48*Q$48/36000)))</f>
        <v>0</v>
      </c>
      <c r="AM80" s="132">
        <f t="shared" ca="1" si="30"/>
        <v>8</v>
      </c>
      <c r="AN80" s="132">
        <f t="shared" ca="1" si="7"/>
        <v>8</v>
      </c>
      <c r="AO80" s="2">
        <f t="shared" ca="1" si="31"/>
        <v>2025</v>
      </c>
      <c r="AP80" s="2">
        <f t="shared" ca="1" si="8"/>
        <v>2025</v>
      </c>
      <c r="AQ80" s="2">
        <f t="shared" ca="1" si="9"/>
        <v>0</v>
      </c>
      <c r="AR80" s="2">
        <f t="shared" ca="1" si="10"/>
        <v>30</v>
      </c>
      <c r="AS80" s="2">
        <f t="shared" si="11"/>
        <v>20</v>
      </c>
      <c r="AT80" s="2">
        <f t="shared" ca="1" si="32"/>
        <v>30</v>
      </c>
      <c r="AU80" s="2"/>
      <c r="AV80" s="2"/>
      <c r="AW80" s="2"/>
      <c r="AX80" s="2"/>
      <c r="AY80" s="2"/>
      <c r="AZ80" s="2">
        <f t="shared" ca="1" si="12"/>
        <v>1</v>
      </c>
      <c r="BA80" s="2"/>
      <c r="BB80" s="2"/>
      <c r="BC80" s="2"/>
      <c r="BD80" s="2"/>
      <c r="BE80" s="2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</row>
    <row r="81" spans="1:142" s="24" customFormat="1" ht="15" customHeight="1">
      <c r="A81" s="4">
        <f t="shared" si="13"/>
        <v>20</v>
      </c>
      <c r="B81" s="268">
        <f t="shared" ca="1" si="14"/>
        <v>45920</v>
      </c>
      <c r="C81" s="268"/>
      <c r="D81" s="269">
        <f ca="1">IF(N81=0,IF(N80=1,D62+D63+D64+D65+D66+D67+D68+D69+D70+D71+D72+D73+D74+D75+D76+D77+D78+D79+D80," "),IF(N81=0," ",IF(N82=1,D62,IF(N82=0,D4-D62*(M50-1)," "))))</f>
        <v>66.67</v>
      </c>
      <c r="E81" s="269"/>
      <c r="F81" s="87">
        <f ca="1">IF(N81=0,IF(N80=1,F62+F63+F64+F65+F66+F67+F68+F69+F70+F71+F72+F73+F74+F75+F76+F77+F78+F79+F80," "),IF(M37=1,P81,IF(M37=2,Q81," ")))</f>
        <v>37.267698611111101</v>
      </c>
      <c r="G81" s="87">
        <v>0</v>
      </c>
      <c r="H81" s="87">
        <f t="shared" ca="1" si="15"/>
        <v>103.9376986111111</v>
      </c>
      <c r="I81" s="87">
        <f t="shared" ca="1" si="16"/>
        <v>83.34</v>
      </c>
      <c r="J81" s="87">
        <f t="shared" ca="1" si="0"/>
        <v>46.58508166666666</v>
      </c>
      <c r="K81" s="87">
        <v>0</v>
      </c>
      <c r="L81" s="87">
        <f t="shared" ca="1" si="17"/>
        <v>129.92508166666667</v>
      </c>
      <c r="M81" s="2">
        <f t="shared" si="18"/>
        <v>20</v>
      </c>
      <c r="N81" s="2">
        <f ca="1">IF(M37=1,IF(M50&gt;19,1,0),IF(M37=2,IF(M50&gt;19,1,0),0))</f>
        <v>1</v>
      </c>
      <c r="O81" s="2">
        <f t="shared" ca="1" si="1"/>
        <v>20</v>
      </c>
      <c r="P81" s="134">
        <f t="shared" ca="1" si="19"/>
        <v>37.267698611111101</v>
      </c>
      <c r="Q81" s="134">
        <f t="shared" ca="1" si="20"/>
        <v>37.267698611111101</v>
      </c>
      <c r="R81" s="134">
        <f t="shared" ca="1" si="21"/>
        <v>2733.2699999999986</v>
      </c>
      <c r="S81" s="134">
        <f t="shared" ca="1" si="22"/>
        <v>66.67</v>
      </c>
      <c r="T81" s="134">
        <f t="shared" ca="1" si="33"/>
        <v>66.67</v>
      </c>
      <c r="U81" s="134">
        <f ca="1">IF(N82=1,R80*D5*20/36000+R81*D5*10/36000,IF(N82=0,IF(N81=0,0,R81*D5*Q48/36000+R80*D5*20/36000+R81*D5*10/36000)))</f>
        <v>37.267698611111101</v>
      </c>
      <c r="V81" s="134">
        <f ca="1">IF(N82=1,R80*D5*20/36000+R81*D5*10/36000,IF(N82=0,IF(N81=0,0,R81*D5*Q48/36000+R80*D5*20/36000+R81*D5*10/36000)))</f>
        <v>37.267698611111101</v>
      </c>
      <c r="W81" s="134">
        <f t="shared" ca="1" si="23"/>
        <v>53.666666666666679</v>
      </c>
      <c r="X81" s="134">
        <f t="shared" ca="1" si="24"/>
        <v>50</v>
      </c>
      <c r="Y81" s="134">
        <f t="shared" ca="1" si="2"/>
        <v>3416.619999999999</v>
      </c>
      <c r="Z81" s="134">
        <f ca="1">IF(N82=1,Y80*D$5*20/36000+Y81*D$5*10/36000,IF(N82=0,IF(N81=0,0,Y81*D$5*Q$48/36000+Y80*D$5*20/36000+Y81*D$5*10/36000)))</f>
        <v>46.58508166666666</v>
      </c>
      <c r="AA81" s="134">
        <f t="shared" ca="1" si="25"/>
        <v>46.58508166666666</v>
      </c>
      <c r="AB81" s="134">
        <f ca="1">IF(R82=0,R81*Q48,(R80*20+R81*10))</f>
        <v>83331.499999999956</v>
      </c>
      <c r="AC81" s="134"/>
      <c r="AD81" s="134">
        <f t="shared" ca="1" si="3"/>
        <v>0</v>
      </c>
      <c r="AE81" s="134">
        <f t="shared" ca="1" si="4"/>
        <v>0</v>
      </c>
      <c r="AF81" s="134">
        <f t="shared" ca="1" si="27"/>
        <v>0</v>
      </c>
      <c r="AG81" s="134">
        <f t="shared" ca="1" si="5"/>
        <v>0</v>
      </c>
      <c r="AH81" s="134">
        <f t="shared" ca="1" si="28"/>
        <v>0</v>
      </c>
      <c r="AI81" s="134">
        <f t="shared" ca="1" si="29"/>
        <v>0</v>
      </c>
      <c r="AJ81" s="134">
        <f t="shared" ca="1" si="6"/>
        <v>2733.2699999999986</v>
      </c>
      <c r="AK81" s="134">
        <f ca="1">IF(N82=1,AJ80*G48*20/36000+AJ81*G48*10/36000,IF(N82=0,IF(N81=0,0,AJ81*G48*Q48/36000+AJ80*G48*20/36000+AJ81*G48*10/36000)))</f>
        <v>0</v>
      </c>
      <c r="AL81" s="134">
        <f ca="1">IF(N82=1,AJ80*G48*20/36000+AJ81*G48*10/36000,IF(N82=0,IF(N81=0,0,AJ81*G48*Q48/36000+AJ80*G48*20/36000+AJ81*G48*10/36000)))</f>
        <v>0</v>
      </c>
      <c r="AM81" s="132">
        <f t="shared" ca="1" si="30"/>
        <v>9</v>
      </c>
      <c r="AN81" s="132">
        <f t="shared" ca="1" si="7"/>
        <v>9</v>
      </c>
      <c r="AO81" s="2">
        <f t="shared" ca="1" si="31"/>
        <v>2025</v>
      </c>
      <c r="AP81" s="2">
        <f t="shared" ca="1" si="8"/>
        <v>2025</v>
      </c>
      <c r="AQ81" s="2">
        <f t="shared" ca="1" si="9"/>
        <v>0</v>
      </c>
      <c r="AR81" s="2">
        <f t="shared" ca="1" si="10"/>
        <v>30</v>
      </c>
      <c r="AS81" s="2">
        <f t="shared" si="11"/>
        <v>20</v>
      </c>
      <c r="AT81" s="2">
        <f t="shared" ca="1" si="32"/>
        <v>30</v>
      </c>
      <c r="AU81" s="2"/>
      <c r="AV81" s="2"/>
      <c r="AW81" s="2"/>
      <c r="AX81" s="2"/>
      <c r="AY81" s="2"/>
      <c r="AZ81" s="2">
        <f t="shared" ca="1" si="12"/>
        <v>1</v>
      </c>
      <c r="BA81" s="2"/>
      <c r="BB81" s="2"/>
      <c r="BC81" s="2"/>
      <c r="BD81" s="2"/>
      <c r="BE81" s="2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</row>
    <row r="82" spans="1:142" s="24" customFormat="1" ht="15" customHeight="1">
      <c r="A82" s="4">
        <f t="shared" si="13"/>
        <v>21</v>
      </c>
      <c r="B82" s="268">
        <f t="shared" ca="1" si="14"/>
        <v>45950</v>
      </c>
      <c r="C82" s="268"/>
      <c r="D82" s="269">
        <f ca="1">IF(N82=0,IF(N81=1,D62+D63+D64+D65+D66+D67+D68+D69+D70+D71+D72+D73+D74+D75+D76+D77+D78+D79+D80+D81," "),IF(N82=0," ",IF(N83=1,D62,IF(N83=0,D4-D62*(M50-1)," "))))</f>
        <v>66.67</v>
      </c>
      <c r="E82" s="269"/>
      <c r="F82" s="87">
        <f ca="1">IF(N82=0,IF(N81=1,F62+F63+F64+F65+F66+F67+F68+F69+F70+F71+F72+F73+F74+F75+F76+F77+F78+F79+F80+F81," "),IF(M37=1,P82,IF(M37=2,Q82," ")))</f>
        <v>36.373209444444427</v>
      </c>
      <c r="G82" s="87">
        <v>0</v>
      </c>
      <c r="H82" s="87">
        <f t="shared" ca="1" si="15"/>
        <v>103.04320944444443</v>
      </c>
      <c r="I82" s="87">
        <f t="shared" ca="1" si="16"/>
        <v>83.34</v>
      </c>
      <c r="J82" s="87">
        <f t="shared" ca="1" si="0"/>
        <v>45.466936666666655</v>
      </c>
      <c r="K82" s="87">
        <v>0</v>
      </c>
      <c r="L82" s="87">
        <f t="shared" ca="1" si="17"/>
        <v>128.80693666666667</v>
      </c>
      <c r="M82" s="2">
        <f t="shared" si="18"/>
        <v>21</v>
      </c>
      <c r="N82" s="2">
        <f ca="1">IF(M37=1,IF(M50&gt;20,1,0),IF(M37=2,IF(M50&gt;20,1,0),0))</f>
        <v>1</v>
      </c>
      <c r="O82" s="2">
        <f t="shared" ca="1" si="1"/>
        <v>20</v>
      </c>
      <c r="P82" s="134">
        <f t="shared" ca="1" si="19"/>
        <v>36.373209444444427</v>
      </c>
      <c r="Q82" s="134">
        <f t="shared" ca="1" si="20"/>
        <v>36.373209444444427</v>
      </c>
      <c r="R82" s="134">
        <f t="shared" ca="1" si="21"/>
        <v>2666.5999999999985</v>
      </c>
      <c r="S82" s="134">
        <f t="shared" ca="1" si="22"/>
        <v>66.67</v>
      </c>
      <c r="T82" s="134">
        <f t="shared" ca="1" si="33"/>
        <v>66.67</v>
      </c>
      <c r="U82" s="134">
        <f ca="1">IF(N83=1,R81*D5*20/36000+R82*D5*10/36000,IF(N83=0,IF(N82=0,0,R82*D5*Q48/36000+R81*D5*20/36000+R82*D5*10/36000)))</f>
        <v>36.373209444444427</v>
      </c>
      <c r="V82" s="134">
        <f ca="1">IF(N83=1,R81*D5*20/36000+R82*D5*10/36000,IF(N83=0,IF(N82=0,0,R82*D5*Q48/36000+R81*D5*20/36000+R82*D5*10/36000)))</f>
        <v>36.373209444444427</v>
      </c>
      <c r="W82" s="134">
        <f t="shared" ca="1" si="23"/>
        <v>53.666666666666679</v>
      </c>
      <c r="X82" s="134">
        <f t="shared" ca="1" si="24"/>
        <v>50</v>
      </c>
      <c r="Y82" s="134">
        <f t="shared" ca="1" si="2"/>
        <v>3333.2799999999988</v>
      </c>
      <c r="Z82" s="134">
        <f ca="1">IF(N83=1,Y81*D$5*20/36000+Y82*D$5*10/36000,IF(N83=0,IF(N82=0,0,Y82*D$5*Q$48/36000+Y81*D$5*20/36000+Y82*D$5*10/36000)))</f>
        <v>45.466936666666655</v>
      </c>
      <c r="AA82" s="134">
        <f t="shared" ca="1" si="25"/>
        <v>45.466936666666655</v>
      </c>
      <c r="AB82" s="134">
        <f ca="1">IF(R83=0,R82*Q48,(R81*20+R82*10))</f>
        <v>81331.399999999965</v>
      </c>
      <c r="AC82" s="134"/>
      <c r="AD82" s="134">
        <f t="shared" ca="1" si="3"/>
        <v>0</v>
      </c>
      <c r="AE82" s="134">
        <f t="shared" ca="1" si="4"/>
        <v>0</v>
      </c>
      <c r="AF82" s="134">
        <f t="shared" ca="1" si="27"/>
        <v>0</v>
      </c>
      <c r="AG82" s="134">
        <f t="shared" ca="1" si="5"/>
        <v>0</v>
      </c>
      <c r="AH82" s="134">
        <f t="shared" ca="1" si="28"/>
        <v>0</v>
      </c>
      <c r="AI82" s="134">
        <f t="shared" ca="1" si="29"/>
        <v>0</v>
      </c>
      <c r="AJ82" s="134">
        <f t="shared" ca="1" si="6"/>
        <v>2666.5999999999985</v>
      </c>
      <c r="AK82" s="134">
        <f ca="1">IF(N83=1,AJ81*G48*20/36000+AJ82*G48*10/36000,IF(N83=0,IF(N82=0,0,AJ82*G48*Q48/36000+AJ81*G48*20/36000+AJ82*G48*10/36000)))</f>
        <v>0</v>
      </c>
      <c r="AL82" s="134">
        <f ca="1">IF(N83=1,AJ81*G48*20/36000+AJ82*G48*10/36000,IF(N83=0,IF(N82=0,0,AJ82*G48*Q48/36000+AJ81*G48*20/36000+AJ82*G48*10/36000)))</f>
        <v>0</v>
      </c>
      <c r="AM82" s="132">
        <f t="shared" ca="1" si="30"/>
        <v>10</v>
      </c>
      <c r="AN82" s="132">
        <f t="shared" ca="1" si="7"/>
        <v>10</v>
      </c>
      <c r="AO82" s="2">
        <f t="shared" ca="1" si="31"/>
        <v>2025</v>
      </c>
      <c r="AP82" s="2">
        <f t="shared" ca="1" si="8"/>
        <v>2025</v>
      </c>
      <c r="AQ82" s="2">
        <f t="shared" ca="1" si="9"/>
        <v>0</v>
      </c>
      <c r="AR82" s="2">
        <f t="shared" ca="1" si="10"/>
        <v>30</v>
      </c>
      <c r="AS82" s="2">
        <f t="shared" si="11"/>
        <v>20</v>
      </c>
      <c r="AT82" s="2">
        <f t="shared" ca="1" si="32"/>
        <v>30</v>
      </c>
      <c r="AU82" s="2"/>
      <c r="AV82" s="2"/>
      <c r="AW82" s="2"/>
      <c r="AX82" s="2"/>
      <c r="AY82" s="2"/>
      <c r="AZ82" s="2">
        <f t="shared" ca="1" si="12"/>
        <v>1</v>
      </c>
      <c r="BA82" s="2"/>
      <c r="BB82" s="2"/>
      <c r="BC82" s="2"/>
      <c r="BD82" s="2"/>
      <c r="BE82" s="2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</row>
    <row r="83" spans="1:142" s="24" customFormat="1" ht="15" customHeight="1">
      <c r="A83" s="4">
        <f t="shared" si="13"/>
        <v>22</v>
      </c>
      <c r="B83" s="268">
        <f t="shared" ca="1" si="14"/>
        <v>45981</v>
      </c>
      <c r="C83" s="268"/>
      <c r="D83" s="269">
        <f ca="1">IF(N83=0,IF(N82=1,D62+D63+D64+D65+D66+D67+D68+D69+D70+D71+D72+D73+D74+D75+D76+D77+D78+D79+D80+D81+D82," "),IF(N83=0," ",IF(N84=1,D62,IF(N84=0,D4-D62*(M50-1)," "))))</f>
        <v>66.67</v>
      </c>
      <c r="E83" s="269"/>
      <c r="F83" s="87">
        <f ca="1">IF(N83=0,IF(N82=1,F62+F63+F64+F65+F66+F67+F68+F69+F70+F71+F72+F73+F74+F75+F76+F77+F78+F79+F80+F81+F82," "),IF(M37=1,P83,IF(M37=2,Q83," ")))</f>
        <v>35.478720277777761</v>
      </c>
      <c r="G83" s="87">
        <v>0</v>
      </c>
      <c r="H83" s="87">
        <f t="shared" ca="1" si="15"/>
        <v>102.14872027777776</v>
      </c>
      <c r="I83" s="87">
        <f t="shared" ca="1" si="16"/>
        <v>83.34</v>
      </c>
      <c r="J83" s="87">
        <f t="shared" ca="1" si="0"/>
        <v>44.348791666666656</v>
      </c>
      <c r="K83" s="87">
        <v>0</v>
      </c>
      <c r="L83" s="87">
        <f t="shared" ca="1" si="17"/>
        <v>127.68879166666666</v>
      </c>
      <c r="M83" s="2">
        <f t="shared" si="18"/>
        <v>22</v>
      </c>
      <c r="N83" s="2">
        <f ca="1">IF(M37=1,IF(M50&gt;21,1,0),IF(M37=2,IF(M50&gt;21,1,0),0))</f>
        <v>1</v>
      </c>
      <c r="O83" s="2">
        <f t="shared" ca="1" si="1"/>
        <v>20</v>
      </c>
      <c r="P83" s="134">
        <f t="shared" ca="1" si="19"/>
        <v>35.478720277777761</v>
      </c>
      <c r="Q83" s="134">
        <f t="shared" ca="1" si="20"/>
        <v>35.478720277777761</v>
      </c>
      <c r="R83" s="134">
        <f t="shared" ca="1" si="21"/>
        <v>2599.9299999999985</v>
      </c>
      <c r="S83" s="134">
        <f t="shared" ca="1" si="22"/>
        <v>66.67</v>
      </c>
      <c r="T83" s="134">
        <f t="shared" ca="1" si="33"/>
        <v>66.67</v>
      </c>
      <c r="U83" s="134">
        <f ca="1">IF(N84=1,R82*D5*20/36000+R83*D5*10/36000,IF(N84=0,IF(N83=0,0,R83*D5*Q48/36000+R82*D5*20/36000+R83*D5*10/36000)))</f>
        <v>35.478720277777761</v>
      </c>
      <c r="V83" s="134">
        <f ca="1">IF(N84=1,R82*D5*20/36000+R83*D5*10/36000,IF(N84=0,IF(N83=0,0,R83*D5*Q48/36000+R82*D5*20/36000+R83*D5*10/36000)))</f>
        <v>35.478720277777761</v>
      </c>
      <c r="W83" s="134">
        <f t="shared" ca="1" si="23"/>
        <v>53.666666666666679</v>
      </c>
      <c r="X83" s="134">
        <f t="shared" ca="1" si="24"/>
        <v>50</v>
      </c>
      <c r="Y83" s="134">
        <f t="shared" ca="1" si="2"/>
        <v>3249.9399999999987</v>
      </c>
      <c r="Z83" s="134">
        <f ca="1">IF(N84=1,Y82*D$5*20/36000+Y83*D$5*10/36000,IF(N84=0,IF(N83=0,0,Y83*D$5*Q$48/36000+Y82*D$5*20/36000+Y83*D$5*10/36000)))</f>
        <v>44.348791666666656</v>
      </c>
      <c r="AA83" s="134">
        <f t="shared" ca="1" si="25"/>
        <v>44.348791666666656</v>
      </c>
      <c r="AB83" s="134">
        <f ca="1">IF(R84=0,R83*Q48,(R82*20+R83*10))</f>
        <v>79331.299999999959</v>
      </c>
      <c r="AC83" s="134"/>
      <c r="AD83" s="134">
        <f t="shared" ca="1" si="3"/>
        <v>0</v>
      </c>
      <c r="AE83" s="134">
        <f t="shared" ca="1" si="4"/>
        <v>0</v>
      </c>
      <c r="AF83" s="134">
        <f t="shared" ca="1" si="27"/>
        <v>0</v>
      </c>
      <c r="AG83" s="134">
        <f t="shared" ca="1" si="5"/>
        <v>0</v>
      </c>
      <c r="AH83" s="134">
        <f t="shared" ca="1" si="28"/>
        <v>0</v>
      </c>
      <c r="AI83" s="134">
        <f t="shared" ca="1" si="29"/>
        <v>0</v>
      </c>
      <c r="AJ83" s="134">
        <f t="shared" ca="1" si="6"/>
        <v>2599.9299999999985</v>
      </c>
      <c r="AK83" s="134">
        <f ca="1">IF(N84=1,AJ82*G48*20/36000+AJ83*G48*10/36000,IF(N84=0,IF(N83=0,0,AJ83*G48*Q48/36000+AJ82*G48*20/36000+AJ83*G48*10/36000)))</f>
        <v>0</v>
      </c>
      <c r="AL83" s="134">
        <f ca="1">IF(N84=1,AJ82*G48*20/36000+AJ83*G48*10/36000,IF(N84=0,IF(N83=0,0,AJ83*G48*Q48/36000+AJ82*G48*20/36000+AJ83*G48*10/36000)))</f>
        <v>0</v>
      </c>
      <c r="AM83" s="132">
        <f t="shared" ca="1" si="30"/>
        <v>11</v>
      </c>
      <c r="AN83" s="132">
        <f t="shared" ca="1" si="7"/>
        <v>11</v>
      </c>
      <c r="AO83" s="2">
        <f t="shared" ca="1" si="31"/>
        <v>2025</v>
      </c>
      <c r="AP83" s="2">
        <f t="shared" ca="1" si="8"/>
        <v>2025</v>
      </c>
      <c r="AQ83" s="2">
        <f t="shared" ca="1" si="9"/>
        <v>0</v>
      </c>
      <c r="AR83" s="2">
        <f t="shared" ca="1" si="10"/>
        <v>30</v>
      </c>
      <c r="AS83" s="2">
        <f t="shared" si="11"/>
        <v>20</v>
      </c>
      <c r="AT83" s="2">
        <f t="shared" ca="1" si="32"/>
        <v>30</v>
      </c>
      <c r="AU83" s="2"/>
      <c r="AV83" s="2"/>
      <c r="AW83" s="2"/>
      <c r="AX83" s="2"/>
      <c r="AY83" s="2"/>
      <c r="AZ83" s="2">
        <f t="shared" ca="1" si="12"/>
        <v>1</v>
      </c>
      <c r="BA83" s="2"/>
      <c r="BB83" s="2"/>
      <c r="BC83" s="2"/>
      <c r="BD83" s="2"/>
      <c r="BE83" s="2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</row>
    <row r="84" spans="1:142" s="24" customFormat="1" ht="15" customHeight="1">
      <c r="A84" s="4">
        <f t="shared" si="13"/>
        <v>23</v>
      </c>
      <c r="B84" s="268">
        <f t="shared" ca="1" si="14"/>
        <v>46011</v>
      </c>
      <c r="C84" s="268"/>
      <c r="D84" s="269">
        <f ca="1">IF(N84=0,IF(N83=1,D62+D63+D64+D65+D66+D67+D68+D69+D70+D71+D72+D73+D74+D75+D76+D77+D78+D79+D80+D81+D82+D83," "),IF(N84=0," ",IF(N85=1,D62,IF(N85=0,D4-D62*(M50-1)," "))))</f>
        <v>66.67</v>
      </c>
      <c r="E84" s="269"/>
      <c r="F84" s="87">
        <f ca="1">IF(N84=0,IF(N83=1,F62+F63+F64+F65+F66+F67+F68+F69+F70+F71+F72+F73+F74+F75+F76+F77+F78+F79+F80+F81+F82+F83," "),IF(M37=1,P84,IF(M37=2,Q84," ")))</f>
        <v>34.584231111111094</v>
      </c>
      <c r="G84" s="87">
        <v>0</v>
      </c>
      <c r="H84" s="87">
        <f t="shared" ca="1" si="15"/>
        <v>101.2542311111111</v>
      </c>
      <c r="I84" s="87">
        <f t="shared" ca="1" si="16"/>
        <v>83.34</v>
      </c>
      <c r="J84" s="87">
        <f t="shared" ca="1" si="0"/>
        <v>43.230646666666658</v>
      </c>
      <c r="K84" s="87">
        <v>0</v>
      </c>
      <c r="L84" s="87">
        <f t="shared" ca="1" si="17"/>
        <v>126.57064666666666</v>
      </c>
      <c r="M84" s="2">
        <f t="shared" si="18"/>
        <v>23</v>
      </c>
      <c r="N84" s="2">
        <f ca="1">IF(M37=1,IF(M50&gt;22,1,0),IF(M37=2,IF(M50&gt;22,1,0),0))</f>
        <v>1</v>
      </c>
      <c r="O84" s="2">
        <f t="shared" ca="1" si="1"/>
        <v>20</v>
      </c>
      <c r="P84" s="134">
        <f t="shared" ca="1" si="19"/>
        <v>34.584231111111094</v>
      </c>
      <c r="Q84" s="134">
        <f t="shared" ca="1" si="20"/>
        <v>34.584231111111094</v>
      </c>
      <c r="R84" s="134">
        <f t="shared" ca="1" si="21"/>
        <v>2533.2599999999984</v>
      </c>
      <c r="S84" s="134">
        <f t="shared" ca="1" si="22"/>
        <v>66.67</v>
      </c>
      <c r="T84" s="134">
        <f t="shared" ca="1" si="33"/>
        <v>66.67</v>
      </c>
      <c r="U84" s="134">
        <f ca="1">IF(N85=1,R83*D5*20/36000+R84*D5*10/36000,IF(N85=0,IF(N84=0,0,R84*D5*Q48/36000+R83*D5*20/36000+R84*D5*10/36000)))</f>
        <v>34.584231111111094</v>
      </c>
      <c r="V84" s="134">
        <f ca="1">IF(N85=1,R83*D5*20/36000+R84*D5*10/36000,IF(N85=0,IF(N84=0,0,R84*D5*Q48/36000+R83*D5*20/36000+R84*D5*10/36000)))</f>
        <v>34.584231111111094</v>
      </c>
      <c r="W84" s="134">
        <f t="shared" ca="1" si="23"/>
        <v>53.666666666666679</v>
      </c>
      <c r="X84" s="134">
        <f t="shared" ca="1" si="24"/>
        <v>50</v>
      </c>
      <c r="Y84" s="134">
        <f t="shared" ca="1" si="2"/>
        <v>3166.5999999999985</v>
      </c>
      <c r="Z84" s="134">
        <f ca="1">IF(N85=1,Y83*D$5*20/36000+Y84*D$5*10/36000,IF(N85=0,IF(N84=0,0,Y84*D$5*Q$48/36000+Y83*D$5*20/36000+Y84*D$5*10/36000)))</f>
        <v>43.230646666666658</v>
      </c>
      <c r="AA84" s="134">
        <f t="shared" ca="1" si="25"/>
        <v>43.230646666666658</v>
      </c>
      <c r="AB84" s="134">
        <f ca="1">IF(R85=0,R84*Q48,(R83*20+R84*10))</f>
        <v>77331.199999999953</v>
      </c>
      <c r="AC84" s="134"/>
      <c r="AD84" s="134">
        <f t="shared" ca="1" si="3"/>
        <v>0</v>
      </c>
      <c r="AE84" s="134">
        <f t="shared" ca="1" si="4"/>
        <v>0</v>
      </c>
      <c r="AF84" s="134">
        <f t="shared" ca="1" si="27"/>
        <v>0</v>
      </c>
      <c r="AG84" s="134">
        <f t="shared" ca="1" si="5"/>
        <v>0</v>
      </c>
      <c r="AH84" s="134">
        <f t="shared" ca="1" si="28"/>
        <v>0</v>
      </c>
      <c r="AI84" s="134">
        <f t="shared" ca="1" si="29"/>
        <v>0</v>
      </c>
      <c r="AJ84" s="134">
        <f t="shared" ca="1" si="6"/>
        <v>2533.2599999999984</v>
      </c>
      <c r="AK84" s="134">
        <f ca="1">IF(N85=1,AJ83*G48*20/36000+AJ84*G48*10/36000,IF(N85=0,IF(N84=0,0,AJ84*G48*Q48/36000+AJ83*G48*20/36000+AJ84*G48*10/36000)))</f>
        <v>0</v>
      </c>
      <c r="AL84" s="134">
        <f ca="1">IF(N85=1,AJ83*G48*20/36000+AJ84*G48*10/36000,IF(N85=0,IF(N84=0,0,AJ84*G48*Q48/36000+AJ83*G48*20/36000+AJ84*G48*10/36000)))</f>
        <v>0</v>
      </c>
      <c r="AM84" s="132">
        <f t="shared" ca="1" si="30"/>
        <v>12</v>
      </c>
      <c r="AN84" s="132">
        <f t="shared" ca="1" si="7"/>
        <v>12</v>
      </c>
      <c r="AO84" s="2">
        <f t="shared" ca="1" si="31"/>
        <v>2025</v>
      </c>
      <c r="AP84" s="2">
        <f t="shared" ca="1" si="8"/>
        <v>2025</v>
      </c>
      <c r="AQ84" s="2">
        <f t="shared" ca="1" si="9"/>
        <v>0</v>
      </c>
      <c r="AR84" s="2">
        <f t="shared" ca="1" si="10"/>
        <v>30</v>
      </c>
      <c r="AS84" s="2">
        <f t="shared" si="11"/>
        <v>20</v>
      </c>
      <c r="AT84" s="2">
        <f t="shared" ca="1" si="32"/>
        <v>30</v>
      </c>
      <c r="AU84" s="2"/>
      <c r="AV84" s="2"/>
      <c r="AW84" s="2"/>
      <c r="AX84" s="2"/>
      <c r="AY84" s="2"/>
      <c r="AZ84" s="2">
        <f t="shared" ca="1" si="12"/>
        <v>1</v>
      </c>
      <c r="BA84" s="2"/>
      <c r="BB84" s="2"/>
      <c r="BC84" s="2"/>
      <c r="BD84" s="2"/>
      <c r="BE84" s="2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</row>
    <row r="85" spans="1:142" s="24" customFormat="1" ht="15" customHeight="1">
      <c r="A85" s="4">
        <f t="shared" si="13"/>
        <v>24</v>
      </c>
      <c r="B85" s="268">
        <f t="shared" ca="1" si="14"/>
        <v>46042</v>
      </c>
      <c r="C85" s="268"/>
      <c r="D85" s="269">
        <f ca="1">IF(N85=0,IF(N84=1,SUM(D$62:E84)," "),IF(N85=0," ",IF(N86=1,D$62,IF(N86=0,D$4-D$62*(M$50-1)," "))))</f>
        <v>66.67</v>
      </c>
      <c r="E85" s="269"/>
      <c r="F85" s="87">
        <f ca="1">IF(N85=0,IF(N84=1,SUM(F$62:F84)," "),IF(M$37=1,P85,IF(M$37=2,Q85," ")))</f>
        <v>33.689741944444428</v>
      </c>
      <c r="G85" s="87">
        <v>0</v>
      </c>
      <c r="H85" s="87">
        <f t="shared" ca="1" si="15"/>
        <v>100.35974194444444</v>
      </c>
      <c r="I85" s="87">
        <f t="shared" ca="1" si="16"/>
        <v>83.34</v>
      </c>
      <c r="J85" s="87">
        <f t="shared" ca="1" si="0"/>
        <v>42.112501666666653</v>
      </c>
      <c r="K85" s="87">
        <v>0</v>
      </c>
      <c r="L85" s="87">
        <f t="shared" ca="1" si="17"/>
        <v>125.45250166666665</v>
      </c>
      <c r="M85" s="2">
        <f t="shared" si="18"/>
        <v>24</v>
      </c>
      <c r="N85" s="2">
        <f t="shared" ref="N85:N122" ca="1" si="34">IF(M$37=1,IF(M$50&gt;M84,1,0),IF(M$37=2,IF(M$50&gt;M84,1,0),0))</f>
        <v>1</v>
      </c>
      <c r="O85" s="2">
        <f t="shared" ca="1" si="1"/>
        <v>20</v>
      </c>
      <c r="P85" s="134">
        <f t="shared" ca="1" si="19"/>
        <v>33.689741944444428</v>
      </c>
      <c r="Q85" s="134">
        <f t="shared" ca="1" si="20"/>
        <v>33.689741944444428</v>
      </c>
      <c r="R85" s="134">
        <f t="shared" ca="1" si="21"/>
        <v>2466.5899999999983</v>
      </c>
      <c r="S85" s="134">
        <f t="shared" ca="1" si="22"/>
        <v>66.67</v>
      </c>
      <c r="T85" s="134">
        <f t="shared" ca="1" si="33"/>
        <v>66.67</v>
      </c>
      <c r="U85" s="134">
        <f ca="1">IF(N86=1,R84*D$5*20/36000+R85*D$5*10/36000,IF(N86=0,IF(N85=0,0,R85*D$5*Q$48/36000+R84*D$5*20/36000+R85*D$5*10/36000)))</f>
        <v>33.689741944444428</v>
      </c>
      <c r="V85" s="134">
        <f ca="1">IF(N86=1,R84*D$5*20/36000+R85*D$5*10/36000,IF(N86=0,IF(N85=0,0,R85*D$5*Q$48/36000+R84*D$5*20/36000+R85*D$5*10/36000)))</f>
        <v>33.689741944444428</v>
      </c>
      <c r="W85" s="134">
        <f t="shared" ca="1" si="23"/>
        <v>53.666666666666679</v>
      </c>
      <c r="X85" s="134">
        <f t="shared" ca="1" si="24"/>
        <v>50</v>
      </c>
      <c r="Y85" s="134">
        <f t="shared" ca="1" si="2"/>
        <v>3083.2599999999984</v>
      </c>
      <c r="Z85" s="134">
        <f ca="1">IF(N86=1,Y84*D$5*20/36000+Y85*D$5*10/36000,IF(N86=0,IF(N85=0,0,Y85*D$5*Q$48/36000+Y84*D$5*20/36000+Y85*D$5*10/36000)))</f>
        <v>42.112501666666653</v>
      </c>
      <c r="AA85" s="134">
        <f t="shared" ca="1" si="25"/>
        <v>42.112501666666653</v>
      </c>
      <c r="AB85" s="134">
        <f t="shared" ref="AB85:AB121" ca="1" si="35">IF(R86=0,R85*Q$48,(R84*20+R85*10))</f>
        <v>75331.099999999948</v>
      </c>
      <c r="AC85" s="134"/>
      <c r="AD85" s="134">
        <f t="shared" ca="1" si="3"/>
        <v>0</v>
      </c>
      <c r="AE85" s="134">
        <f t="shared" ca="1" si="4"/>
        <v>0</v>
      </c>
      <c r="AF85" s="134">
        <f t="shared" ca="1" si="27"/>
        <v>0</v>
      </c>
      <c r="AG85" s="134">
        <f t="shared" ca="1" si="5"/>
        <v>0</v>
      </c>
      <c r="AH85" s="134">
        <f t="shared" ca="1" si="28"/>
        <v>0</v>
      </c>
      <c r="AI85" s="134">
        <f t="shared" ca="1" si="29"/>
        <v>0</v>
      </c>
      <c r="AJ85" s="134">
        <f t="shared" ca="1" si="6"/>
        <v>2466.5899999999983</v>
      </c>
      <c r="AK85" s="134">
        <f ca="1">IF(N86=1,AJ84*G$48*20/36000+AJ85*G$48*10/36000,IF(N86=0,IF(N85=0,0,AJ85*G$48*Q$48/36000+AJ84*G$48*20/36000+AJ85*G$48*10/36000)))</f>
        <v>0</v>
      </c>
      <c r="AL85" s="134">
        <f ca="1">IF(N86=1,AJ84*G$48*20/36000+AJ85*G$48*10/36000,IF(N86=0,IF(N85=0,0,AJ85*G$48*Q$48/36000+AJ84*G$48*20/36000+AJ85*G$48*10/36000)))</f>
        <v>0</v>
      </c>
      <c r="AM85" s="132">
        <f t="shared" ca="1" si="30"/>
        <v>13</v>
      </c>
      <c r="AN85" s="132">
        <f t="shared" ca="1" si="7"/>
        <v>1</v>
      </c>
      <c r="AO85" s="2">
        <f t="shared" ca="1" si="31"/>
        <v>2025</v>
      </c>
      <c r="AP85" s="2">
        <f t="shared" ca="1" si="8"/>
        <v>2026</v>
      </c>
      <c r="AQ85" s="2">
        <f t="shared" ca="1" si="9"/>
        <v>0</v>
      </c>
      <c r="AR85" s="2">
        <f t="shared" ca="1" si="10"/>
        <v>30</v>
      </c>
      <c r="AS85" s="2">
        <f t="shared" si="11"/>
        <v>20</v>
      </c>
      <c r="AT85" s="2">
        <f t="shared" ca="1" si="32"/>
        <v>30</v>
      </c>
      <c r="AU85" s="2"/>
      <c r="AV85" s="2"/>
      <c r="AW85" s="2"/>
      <c r="AX85" s="2"/>
      <c r="AY85" s="2"/>
      <c r="AZ85" s="2">
        <f t="shared" ca="1" si="12"/>
        <v>1</v>
      </c>
      <c r="BA85" s="2"/>
      <c r="BB85" s="2"/>
      <c r="BC85" s="2"/>
      <c r="BD85" s="2"/>
      <c r="BE85" s="2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</row>
    <row r="86" spans="1:142" s="25" customFormat="1" ht="15" customHeight="1">
      <c r="A86" s="4">
        <v>25</v>
      </c>
      <c r="B86" s="268">
        <f t="shared" ca="1" si="14"/>
        <v>46073</v>
      </c>
      <c r="C86" s="268"/>
      <c r="D86" s="269">
        <f ca="1">IF(N86=0,IF(N85=1,SUM(D$62:E85)," "),IF(N86=0," ",IF(N87=1,D$62,IF(N87=0,D$4-D$62*(M$50-1)," "))))</f>
        <v>66.67</v>
      </c>
      <c r="E86" s="269"/>
      <c r="F86" s="87">
        <f ca="1">IF(N86=0,IF(N85=1,SUM(F$62:F85)," "),IF(M$37=1,P86,IF(M$37=2,Q86," ")))</f>
        <v>32.795252777777762</v>
      </c>
      <c r="G86" s="87">
        <v>0</v>
      </c>
      <c r="H86" s="87">
        <f t="shared" ca="1" si="15"/>
        <v>99.465252777777764</v>
      </c>
      <c r="I86" s="87">
        <f t="shared" ca="1" si="16"/>
        <v>83.34</v>
      </c>
      <c r="J86" s="87">
        <f t="shared" ca="1" si="0"/>
        <v>40.994356666666647</v>
      </c>
      <c r="K86" s="87">
        <v>0</v>
      </c>
      <c r="L86" s="87">
        <f t="shared" ca="1" si="17"/>
        <v>124.33435666666665</v>
      </c>
      <c r="M86" s="2">
        <v>25</v>
      </c>
      <c r="N86" s="2">
        <f t="shared" ca="1" si="34"/>
        <v>1</v>
      </c>
      <c r="O86" s="2">
        <f t="shared" ca="1" si="1"/>
        <v>20</v>
      </c>
      <c r="P86" s="134">
        <f t="shared" ca="1" si="19"/>
        <v>32.795252777777762</v>
      </c>
      <c r="Q86" s="134">
        <f t="shared" ca="1" si="20"/>
        <v>32.795252777777762</v>
      </c>
      <c r="R86" s="134">
        <f t="shared" ca="1" si="21"/>
        <v>2399.9199999999983</v>
      </c>
      <c r="S86" s="134">
        <f t="shared" ca="1" si="22"/>
        <v>66.67</v>
      </c>
      <c r="T86" s="134">
        <f t="shared" ca="1" si="33"/>
        <v>66.67</v>
      </c>
      <c r="U86" s="134">
        <f ca="1">IF(N87=1,R85*D$5*20/36000+R86*D$5*10/36000,IF(N87=0,IF(N86=0,0,IF(D$10&gt;20,R85*D$5*20/36000+R86*D$5*(Q$48-20)/36000,R86*D$5*Q$48/36000))))</f>
        <v>32.795252777777762</v>
      </c>
      <c r="V86" s="134">
        <f ca="1">IF(N87=1,R85*D$5*20/36000+R86*D$5*10/36000,IF(N87=0,IF(N86=0,0,IF(D$10&gt;20,R85*D$5*20/36000+R86*D$5*(Q$48-20)/36000,R86*D$5*Q$48/36000))))</f>
        <v>32.795252777777762</v>
      </c>
      <c r="W86" s="134">
        <f t="shared" ca="1" si="23"/>
        <v>53.666666666666679</v>
      </c>
      <c r="X86" s="134">
        <f t="shared" ca="1" si="24"/>
        <v>50</v>
      </c>
      <c r="Y86" s="134">
        <f t="shared" ca="1" si="2"/>
        <v>2999.9199999999983</v>
      </c>
      <c r="Z86" s="134">
        <f ca="1">IF(N87=1,Y85*D$5*20/36000+Y86*D$5*10/36000,IF(N87=0,IF(N86=0,0,IF(D$10&gt;20,Y85*D$5*20/36000+Y86*D$5*(Q$48-20)/36000,Y86*D$5*Q$48/36000))))</f>
        <v>40.994356666666647</v>
      </c>
      <c r="AA86" s="134">
        <f t="shared" ca="1" si="25"/>
        <v>40.994356666666647</v>
      </c>
      <c r="AB86" s="134">
        <f t="shared" ca="1" si="35"/>
        <v>73330.999999999942</v>
      </c>
      <c r="AC86" s="134"/>
      <c r="AD86" s="134">
        <f t="shared" ca="1" si="3"/>
        <v>0</v>
      </c>
      <c r="AE86" s="134">
        <f t="shared" ca="1" si="4"/>
        <v>0</v>
      </c>
      <c r="AF86" s="134">
        <f t="shared" ca="1" si="27"/>
        <v>0</v>
      </c>
      <c r="AG86" s="134">
        <f t="shared" ca="1" si="5"/>
        <v>0</v>
      </c>
      <c r="AH86" s="134">
        <f t="shared" ca="1" si="28"/>
        <v>0</v>
      </c>
      <c r="AI86" s="134">
        <f t="shared" ca="1" si="29"/>
        <v>0</v>
      </c>
      <c r="AJ86" s="134">
        <f t="shared" ca="1" si="6"/>
        <v>2399.9199999999983</v>
      </c>
      <c r="AK86" s="134">
        <f ca="1">IF(N87=1,AJ85*G$48*20/36000+AJ86*G$48*10/36000,IF(N87=0,IF(N86=0,0,AJ86*G$48*Q$48/36000)))</f>
        <v>0</v>
      </c>
      <c r="AL86" s="134">
        <f ca="1">IF(N87=1,AJ85*G$48*20/36000+AJ86*G$48*10/36000,IF(N87=0,IF(N86=0,0,AJ86*G$48*Q$48/36000)))</f>
        <v>0</v>
      </c>
      <c r="AM86" s="132">
        <f t="shared" ca="1" si="30"/>
        <v>2</v>
      </c>
      <c r="AN86" s="132">
        <f t="shared" ca="1" si="7"/>
        <v>2</v>
      </c>
      <c r="AO86" s="2">
        <f t="shared" ca="1" si="31"/>
        <v>2026</v>
      </c>
      <c r="AP86" s="2">
        <f t="shared" ca="1" si="8"/>
        <v>2026</v>
      </c>
      <c r="AQ86" s="2">
        <f t="shared" ca="1" si="9"/>
        <v>0</v>
      </c>
      <c r="AR86" s="2">
        <f t="shared" ca="1" si="10"/>
        <v>28</v>
      </c>
      <c r="AS86" s="2">
        <f t="shared" si="11"/>
        <v>20</v>
      </c>
      <c r="AT86" s="2">
        <f t="shared" ca="1" si="32"/>
        <v>30</v>
      </c>
      <c r="AU86" s="2"/>
      <c r="AV86" s="2"/>
      <c r="AW86" s="2"/>
      <c r="AX86" s="2"/>
      <c r="AY86" s="2"/>
      <c r="AZ86" s="2">
        <f t="shared" ca="1" si="12"/>
        <v>1</v>
      </c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</row>
    <row r="87" spans="1:142" s="24" customFormat="1" ht="15" customHeight="1">
      <c r="A87" s="4">
        <v>26</v>
      </c>
      <c r="B87" s="268">
        <f t="shared" ca="1" si="14"/>
        <v>46101</v>
      </c>
      <c r="C87" s="268"/>
      <c r="D87" s="269">
        <f ca="1">IF(N87=0,IF(N86=1,SUM(D$62:E86)," "),IF(N87=0," ",IF(N88=1,D$62,IF(N88=0,D$4-D$62*(M$50-1)," "))))</f>
        <v>66.67</v>
      </c>
      <c r="E87" s="269"/>
      <c r="F87" s="87">
        <f ca="1">IF(N87=0,IF(N86=1,SUM(F$62:F86)," "),IF(M$37=1,P87,IF(M$37=2,Q87," ")))</f>
        <v>31.900763611111095</v>
      </c>
      <c r="G87" s="87">
        <v>0</v>
      </c>
      <c r="H87" s="87">
        <f t="shared" ca="1" si="15"/>
        <v>98.57076361111109</v>
      </c>
      <c r="I87" s="87">
        <f t="shared" ca="1" si="16"/>
        <v>83.34</v>
      </c>
      <c r="J87" s="87">
        <f t="shared" ca="1" si="0"/>
        <v>39.876211666666642</v>
      </c>
      <c r="K87" s="87">
        <v>0</v>
      </c>
      <c r="L87" s="87">
        <f t="shared" ca="1" si="17"/>
        <v>123.21621166666665</v>
      </c>
      <c r="M87" s="2">
        <v>26</v>
      </c>
      <c r="N87" s="2">
        <f t="shared" ca="1" si="34"/>
        <v>1</v>
      </c>
      <c r="O87" s="2">
        <f t="shared" ca="1" si="1"/>
        <v>20</v>
      </c>
      <c r="P87" s="134">
        <f t="shared" ca="1" si="19"/>
        <v>31.900763611111095</v>
      </c>
      <c r="Q87" s="134">
        <f t="shared" ca="1" si="20"/>
        <v>31.900763611111095</v>
      </c>
      <c r="R87" s="134">
        <f t="shared" ca="1" si="21"/>
        <v>2333.2499999999982</v>
      </c>
      <c r="S87" s="134">
        <f t="shared" ca="1" si="22"/>
        <v>66.67</v>
      </c>
      <c r="T87" s="134">
        <f t="shared" ca="1" si="33"/>
        <v>66.67</v>
      </c>
      <c r="U87" s="134">
        <f t="shared" ref="U87:U97" ca="1" si="36">IF(N88=1,R86*D$5*20/36000+R87*D$5*10/36000,IF(N88=0,IF(N87=0,0,R87*D$5*Q$48/36000+R86*D$5*20/36000+R87*D$5*10/36000)))</f>
        <v>31.900763611111095</v>
      </c>
      <c r="V87" s="134">
        <f t="shared" ref="V87:V97" ca="1" si="37">IF(N88=1,R86*D$5*20/36000+R87*D$5*10/36000,IF(N88=0,IF(N87=0,0,R87*D$5*Q$48/36000+R86*D$5*20/36000+R87*D$5*10/36000)))</f>
        <v>31.900763611111095</v>
      </c>
      <c r="W87" s="134">
        <f t="shared" ca="1" si="23"/>
        <v>53.666666666666679</v>
      </c>
      <c r="X87" s="134">
        <f t="shared" ca="1" si="24"/>
        <v>50</v>
      </c>
      <c r="Y87" s="134">
        <f t="shared" ca="1" si="2"/>
        <v>2916.5799999999981</v>
      </c>
      <c r="Z87" s="134">
        <f t="shared" ref="Z87:Z97" ca="1" si="38">IF(N88=1,Y86*D$5*20/36000+Y87*D$5*10/36000,IF(N88=0,IF(N87=0,0,Y87*D$5*Q$48/36000+Y86*D$5*20/36000+Y87*D$5*10/36000)))</f>
        <v>39.876211666666642</v>
      </c>
      <c r="AA87" s="134">
        <f t="shared" ca="1" si="25"/>
        <v>39.876211666666642</v>
      </c>
      <c r="AB87" s="134">
        <f t="shared" ca="1" si="35"/>
        <v>71330.899999999951</v>
      </c>
      <c r="AC87" s="134"/>
      <c r="AD87" s="134">
        <f t="shared" ca="1" si="3"/>
        <v>0</v>
      </c>
      <c r="AE87" s="134">
        <f t="shared" ca="1" si="4"/>
        <v>0</v>
      </c>
      <c r="AF87" s="134">
        <f t="shared" ca="1" si="27"/>
        <v>0</v>
      </c>
      <c r="AG87" s="134">
        <f t="shared" ca="1" si="5"/>
        <v>0</v>
      </c>
      <c r="AH87" s="134">
        <f t="shared" ca="1" si="28"/>
        <v>0</v>
      </c>
      <c r="AI87" s="134">
        <f t="shared" ca="1" si="29"/>
        <v>0</v>
      </c>
      <c r="AJ87" s="134">
        <f t="shared" ca="1" si="6"/>
        <v>2333.2499999999982</v>
      </c>
      <c r="AK87" s="134">
        <f t="shared" ref="AK87:AK97" ca="1" si="39">IF(N88=1,AJ86*G$48*20/36000+AJ87*G$48*10/36000,IF(N88=0,IF(N87=0,0,AJ87*G$48*Q$48/36000+AJ86*G$48*20/36000+AJ87*G$48*10/36000)))</f>
        <v>0</v>
      </c>
      <c r="AL87" s="134">
        <f t="shared" ref="AL87:AL97" ca="1" si="40">IF(N88=1,AJ86*G$48*20/36000+AJ87*G$48*10/36000,IF(N88=0,IF(N87=0,0,AJ87*G$48*Q$48/36000+AJ86*G$48*20/36000+AJ87*G$48*10/36000)))</f>
        <v>0</v>
      </c>
      <c r="AM87" s="132">
        <f t="shared" ca="1" si="30"/>
        <v>3</v>
      </c>
      <c r="AN87" s="132">
        <f t="shared" ca="1" si="7"/>
        <v>3</v>
      </c>
      <c r="AO87" s="2">
        <f t="shared" ca="1" si="31"/>
        <v>2026</v>
      </c>
      <c r="AP87" s="2">
        <f t="shared" ca="1" si="8"/>
        <v>2026</v>
      </c>
      <c r="AQ87" s="2">
        <f t="shared" ca="1" si="9"/>
        <v>0</v>
      </c>
      <c r="AR87" s="2">
        <f t="shared" ca="1" si="10"/>
        <v>30</v>
      </c>
      <c r="AS87" s="2">
        <f t="shared" si="11"/>
        <v>20</v>
      </c>
      <c r="AT87" s="2">
        <f t="shared" ca="1" si="32"/>
        <v>28</v>
      </c>
      <c r="AU87" s="2"/>
      <c r="AV87" s="2"/>
      <c r="AW87" s="2"/>
      <c r="AX87" s="2"/>
      <c r="AY87" s="2"/>
      <c r="AZ87" s="2">
        <f t="shared" ca="1" si="12"/>
        <v>1</v>
      </c>
      <c r="BA87" s="2"/>
      <c r="BB87" s="2"/>
      <c r="BC87" s="2"/>
      <c r="BD87" s="2"/>
      <c r="BE87" s="2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</row>
    <row r="88" spans="1:142" s="24" customFormat="1" ht="15" customHeight="1">
      <c r="A88" s="4">
        <v>27</v>
      </c>
      <c r="B88" s="268">
        <f t="shared" ca="1" si="14"/>
        <v>46132</v>
      </c>
      <c r="C88" s="268"/>
      <c r="D88" s="269">
        <f ca="1">IF(N88=0,IF(N87=1,SUM(D$62:E87)," "),IF(N88=0," ",IF(N89=1,D$62,IF(N89=0,D$4-D$62*(M$50-1)," "))))</f>
        <v>66.67</v>
      </c>
      <c r="E88" s="269"/>
      <c r="F88" s="87">
        <f ca="1">IF(N88=0,IF(N87=1,SUM(F$62:F87)," "),IF(M$37=1,P88,IF(M$37=2,Q88," ")))</f>
        <v>31.006274444444426</v>
      </c>
      <c r="G88" s="87">
        <v>0</v>
      </c>
      <c r="H88" s="87">
        <f t="shared" ca="1" si="15"/>
        <v>97.676274444444431</v>
      </c>
      <c r="I88" s="87">
        <f t="shared" ca="1" si="16"/>
        <v>83.34</v>
      </c>
      <c r="J88" s="87">
        <f t="shared" ca="1" si="0"/>
        <v>38.758066666666636</v>
      </c>
      <c r="K88" s="87">
        <v>0</v>
      </c>
      <c r="L88" s="87">
        <f t="shared" ca="1" si="17"/>
        <v>122.09806666666664</v>
      </c>
      <c r="M88" s="2">
        <v>27</v>
      </c>
      <c r="N88" s="2">
        <f t="shared" ca="1" si="34"/>
        <v>1</v>
      </c>
      <c r="O88" s="2">
        <f t="shared" ca="1" si="1"/>
        <v>20</v>
      </c>
      <c r="P88" s="134">
        <f t="shared" ca="1" si="19"/>
        <v>31.006274444444426</v>
      </c>
      <c r="Q88" s="134">
        <f t="shared" ca="1" si="20"/>
        <v>31.006274444444426</v>
      </c>
      <c r="R88" s="134">
        <f t="shared" ca="1" si="21"/>
        <v>2266.5799999999981</v>
      </c>
      <c r="S88" s="134">
        <f t="shared" ca="1" si="22"/>
        <v>66.67</v>
      </c>
      <c r="T88" s="134">
        <f t="shared" ca="1" si="33"/>
        <v>66.67</v>
      </c>
      <c r="U88" s="134">
        <f t="shared" ca="1" si="36"/>
        <v>31.006274444444426</v>
      </c>
      <c r="V88" s="134">
        <f t="shared" ca="1" si="37"/>
        <v>31.006274444444426</v>
      </c>
      <c r="W88" s="134">
        <f t="shared" ca="1" si="23"/>
        <v>53.666666666666679</v>
      </c>
      <c r="X88" s="134">
        <f t="shared" ca="1" si="24"/>
        <v>50</v>
      </c>
      <c r="Y88" s="134">
        <f t="shared" ca="1" si="2"/>
        <v>2833.239999999998</v>
      </c>
      <c r="Z88" s="134">
        <f t="shared" ca="1" si="38"/>
        <v>38.758066666666636</v>
      </c>
      <c r="AA88" s="134">
        <f t="shared" ca="1" si="25"/>
        <v>38.758066666666636</v>
      </c>
      <c r="AB88" s="134">
        <f t="shared" ca="1" si="35"/>
        <v>69330.799999999945</v>
      </c>
      <c r="AC88" s="134"/>
      <c r="AD88" s="134">
        <f t="shared" ca="1" si="3"/>
        <v>0</v>
      </c>
      <c r="AE88" s="134">
        <f t="shared" ca="1" si="4"/>
        <v>0</v>
      </c>
      <c r="AF88" s="134">
        <f t="shared" ca="1" si="27"/>
        <v>0</v>
      </c>
      <c r="AG88" s="134">
        <f t="shared" ca="1" si="5"/>
        <v>0</v>
      </c>
      <c r="AH88" s="134">
        <f t="shared" ca="1" si="28"/>
        <v>0</v>
      </c>
      <c r="AI88" s="134">
        <f t="shared" ca="1" si="29"/>
        <v>0</v>
      </c>
      <c r="AJ88" s="134">
        <f t="shared" ca="1" si="6"/>
        <v>2266.5799999999981</v>
      </c>
      <c r="AK88" s="134">
        <f t="shared" ca="1" si="39"/>
        <v>0</v>
      </c>
      <c r="AL88" s="134">
        <f t="shared" ca="1" si="40"/>
        <v>0</v>
      </c>
      <c r="AM88" s="132">
        <f t="shared" ca="1" si="30"/>
        <v>4</v>
      </c>
      <c r="AN88" s="132">
        <f t="shared" ca="1" si="7"/>
        <v>4</v>
      </c>
      <c r="AO88" s="2">
        <f t="shared" ca="1" si="31"/>
        <v>2026</v>
      </c>
      <c r="AP88" s="2">
        <f t="shared" ca="1" si="8"/>
        <v>2026</v>
      </c>
      <c r="AQ88" s="2">
        <f t="shared" ca="1" si="9"/>
        <v>0</v>
      </c>
      <c r="AR88" s="2">
        <f t="shared" ca="1" si="10"/>
        <v>30</v>
      </c>
      <c r="AS88" s="2">
        <f t="shared" si="11"/>
        <v>20</v>
      </c>
      <c r="AT88" s="2">
        <f t="shared" ca="1" si="32"/>
        <v>30</v>
      </c>
      <c r="AU88" s="2"/>
      <c r="AV88" s="2"/>
      <c r="AW88" s="2"/>
      <c r="AX88" s="2"/>
      <c r="AY88" s="2"/>
      <c r="AZ88" s="2">
        <f t="shared" ca="1" si="12"/>
        <v>1</v>
      </c>
      <c r="BA88" s="2"/>
      <c r="BB88" s="2"/>
      <c r="BC88" s="2"/>
      <c r="BD88" s="2"/>
      <c r="BE88" s="2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</row>
    <row r="89" spans="1:142" s="24" customFormat="1" ht="15" customHeight="1">
      <c r="A89" s="4">
        <v>28</v>
      </c>
      <c r="B89" s="268">
        <f t="shared" ca="1" si="14"/>
        <v>46162</v>
      </c>
      <c r="C89" s="268"/>
      <c r="D89" s="269">
        <f ca="1">IF(N89=0,IF(N88=1,SUM(D$62:E88)," "),IF(N89=0," ",IF(N90=1,D$62,IF(N90=0,D$4-D$62*(M$50-1)," "))))</f>
        <v>66.67</v>
      </c>
      <c r="E89" s="269"/>
      <c r="F89" s="87">
        <f ca="1">IF(N89=0,IF(N88=1,SUM(F$62:F88)," "),IF(M$37=1,P89,IF(M$37=2,Q89," ")))</f>
        <v>30.111785277777756</v>
      </c>
      <c r="G89" s="87">
        <v>0</v>
      </c>
      <c r="H89" s="87">
        <f t="shared" ca="1" si="15"/>
        <v>96.781785277777757</v>
      </c>
      <c r="I89" s="87">
        <f t="shared" ca="1" si="16"/>
        <v>83.34</v>
      </c>
      <c r="J89" s="87">
        <f t="shared" ca="1" si="0"/>
        <v>37.639921666666638</v>
      </c>
      <c r="K89" s="87">
        <v>0</v>
      </c>
      <c r="L89" s="87">
        <f t="shared" ca="1" si="17"/>
        <v>120.97992166666664</v>
      </c>
      <c r="M89" s="2">
        <v>28</v>
      </c>
      <c r="N89" s="2">
        <f t="shared" ca="1" si="34"/>
        <v>1</v>
      </c>
      <c r="O89" s="2">
        <f t="shared" ca="1" si="1"/>
        <v>20</v>
      </c>
      <c r="P89" s="134">
        <f t="shared" ca="1" si="19"/>
        <v>30.111785277777756</v>
      </c>
      <c r="Q89" s="134">
        <f t="shared" ca="1" si="20"/>
        <v>30.111785277777756</v>
      </c>
      <c r="R89" s="134">
        <f t="shared" ca="1" si="21"/>
        <v>2199.909999999998</v>
      </c>
      <c r="S89" s="134">
        <f t="shared" ca="1" si="22"/>
        <v>66.67</v>
      </c>
      <c r="T89" s="134">
        <f t="shared" ca="1" si="33"/>
        <v>66.67</v>
      </c>
      <c r="U89" s="134">
        <f t="shared" ca="1" si="36"/>
        <v>30.111785277777756</v>
      </c>
      <c r="V89" s="134">
        <f t="shared" ca="1" si="37"/>
        <v>30.111785277777756</v>
      </c>
      <c r="W89" s="134">
        <f t="shared" ca="1" si="23"/>
        <v>53.666666666666679</v>
      </c>
      <c r="X89" s="134">
        <f t="shared" ca="1" si="24"/>
        <v>50</v>
      </c>
      <c r="Y89" s="134">
        <f t="shared" ca="1" si="2"/>
        <v>2749.8999999999978</v>
      </c>
      <c r="Z89" s="134">
        <f t="shared" ca="1" si="38"/>
        <v>37.639921666666638</v>
      </c>
      <c r="AA89" s="134">
        <f t="shared" ca="1" si="25"/>
        <v>37.639921666666638</v>
      </c>
      <c r="AB89" s="134">
        <f t="shared" ca="1" si="35"/>
        <v>67330.699999999939</v>
      </c>
      <c r="AC89" s="134"/>
      <c r="AD89" s="134">
        <f t="shared" ca="1" si="3"/>
        <v>0</v>
      </c>
      <c r="AE89" s="134">
        <f t="shared" ca="1" si="4"/>
        <v>0</v>
      </c>
      <c r="AF89" s="134">
        <f t="shared" ca="1" si="27"/>
        <v>0</v>
      </c>
      <c r="AG89" s="134">
        <f t="shared" ca="1" si="5"/>
        <v>0</v>
      </c>
      <c r="AH89" s="134">
        <f t="shared" ca="1" si="28"/>
        <v>0</v>
      </c>
      <c r="AI89" s="134">
        <f t="shared" ca="1" si="29"/>
        <v>0</v>
      </c>
      <c r="AJ89" s="134">
        <f t="shared" ca="1" si="6"/>
        <v>2199.909999999998</v>
      </c>
      <c r="AK89" s="134">
        <f t="shared" ca="1" si="39"/>
        <v>0</v>
      </c>
      <c r="AL89" s="134">
        <f t="shared" ca="1" si="40"/>
        <v>0</v>
      </c>
      <c r="AM89" s="132">
        <f t="shared" ca="1" si="30"/>
        <v>5</v>
      </c>
      <c r="AN89" s="132">
        <f t="shared" ca="1" si="7"/>
        <v>5</v>
      </c>
      <c r="AO89" s="2">
        <f t="shared" ca="1" si="31"/>
        <v>2026</v>
      </c>
      <c r="AP89" s="2">
        <f t="shared" ca="1" si="8"/>
        <v>2026</v>
      </c>
      <c r="AQ89" s="2">
        <f t="shared" ca="1" si="9"/>
        <v>0</v>
      </c>
      <c r="AR89" s="2">
        <f t="shared" ca="1" si="10"/>
        <v>30</v>
      </c>
      <c r="AS89" s="2">
        <f t="shared" si="11"/>
        <v>20</v>
      </c>
      <c r="AT89" s="2">
        <f t="shared" ca="1" si="32"/>
        <v>30</v>
      </c>
      <c r="AU89" s="2"/>
      <c r="AV89" s="2"/>
      <c r="AW89" s="2"/>
      <c r="AX89" s="2"/>
      <c r="AY89" s="2"/>
      <c r="AZ89" s="2">
        <f t="shared" ca="1" si="12"/>
        <v>1</v>
      </c>
      <c r="BA89" s="2"/>
      <c r="BB89" s="2"/>
      <c r="BC89" s="2"/>
      <c r="BD89" s="2"/>
      <c r="BE89" s="2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</row>
    <row r="90" spans="1:142" s="24" customFormat="1" ht="15" customHeight="1">
      <c r="A90" s="4">
        <v>29</v>
      </c>
      <c r="B90" s="268">
        <f t="shared" ca="1" si="14"/>
        <v>46193</v>
      </c>
      <c r="C90" s="268"/>
      <c r="D90" s="269">
        <f ca="1">IF(N90=0,IF(N89=1,SUM(D$62:E89)," "),IF(N90=0," ",IF(N91=1,D$62,IF(N91=0,D$4-D$62*(M$50-1)," "))))</f>
        <v>66.67</v>
      </c>
      <c r="E90" s="269"/>
      <c r="F90" s="87">
        <f ca="1">IF(N90=0,IF(N89=1,SUM(F$62:F89)," "),IF(M$37=1,P90,IF(M$37=2,Q90," ")))</f>
        <v>29.217296111111089</v>
      </c>
      <c r="G90" s="87">
        <v>0</v>
      </c>
      <c r="H90" s="87">
        <f t="shared" ca="1" si="15"/>
        <v>95.887296111111084</v>
      </c>
      <c r="I90" s="87">
        <f t="shared" ca="1" si="16"/>
        <v>83.34</v>
      </c>
      <c r="J90" s="87">
        <f t="shared" ca="1" si="0"/>
        <v>36.521776666666639</v>
      </c>
      <c r="K90" s="87">
        <v>0</v>
      </c>
      <c r="L90" s="87">
        <f t="shared" ca="1" si="17"/>
        <v>119.86177666666664</v>
      </c>
      <c r="M90" s="2">
        <v>29</v>
      </c>
      <c r="N90" s="2">
        <f t="shared" ca="1" si="34"/>
        <v>1</v>
      </c>
      <c r="O90" s="2">
        <f t="shared" ca="1" si="1"/>
        <v>20</v>
      </c>
      <c r="P90" s="134">
        <f t="shared" ca="1" si="19"/>
        <v>29.217296111111089</v>
      </c>
      <c r="Q90" s="134">
        <f t="shared" ca="1" si="20"/>
        <v>29.217296111111089</v>
      </c>
      <c r="R90" s="134">
        <f t="shared" ca="1" si="21"/>
        <v>2133.239999999998</v>
      </c>
      <c r="S90" s="134">
        <f t="shared" ca="1" si="22"/>
        <v>66.67</v>
      </c>
      <c r="T90" s="134">
        <f t="shared" ca="1" si="33"/>
        <v>66.67</v>
      </c>
      <c r="U90" s="134">
        <f t="shared" ca="1" si="36"/>
        <v>29.217296111111089</v>
      </c>
      <c r="V90" s="134">
        <f t="shared" ca="1" si="37"/>
        <v>29.217296111111089</v>
      </c>
      <c r="W90" s="134">
        <f t="shared" ca="1" si="23"/>
        <v>53.666666666666679</v>
      </c>
      <c r="X90" s="134">
        <f t="shared" ca="1" si="24"/>
        <v>50</v>
      </c>
      <c r="Y90" s="134">
        <f t="shared" ca="1" si="2"/>
        <v>2666.5599999999977</v>
      </c>
      <c r="Z90" s="134">
        <f t="shared" ca="1" si="38"/>
        <v>36.521776666666639</v>
      </c>
      <c r="AA90" s="134">
        <f t="shared" ca="1" si="25"/>
        <v>36.521776666666639</v>
      </c>
      <c r="AB90" s="134">
        <f t="shared" ca="1" si="35"/>
        <v>65330.59999999994</v>
      </c>
      <c r="AC90" s="134"/>
      <c r="AD90" s="134">
        <f t="shared" ca="1" si="3"/>
        <v>0</v>
      </c>
      <c r="AE90" s="134">
        <f t="shared" ca="1" si="4"/>
        <v>0</v>
      </c>
      <c r="AF90" s="134">
        <f t="shared" ca="1" si="27"/>
        <v>0</v>
      </c>
      <c r="AG90" s="134">
        <f t="shared" ca="1" si="5"/>
        <v>0</v>
      </c>
      <c r="AH90" s="134">
        <f t="shared" ca="1" si="28"/>
        <v>0</v>
      </c>
      <c r="AI90" s="134">
        <f t="shared" ca="1" si="29"/>
        <v>0</v>
      </c>
      <c r="AJ90" s="134">
        <f t="shared" ca="1" si="6"/>
        <v>2133.239999999998</v>
      </c>
      <c r="AK90" s="134">
        <f t="shared" ca="1" si="39"/>
        <v>0</v>
      </c>
      <c r="AL90" s="134">
        <f t="shared" ca="1" si="40"/>
        <v>0</v>
      </c>
      <c r="AM90" s="132">
        <f t="shared" ca="1" si="30"/>
        <v>6</v>
      </c>
      <c r="AN90" s="132">
        <f t="shared" ca="1" si="7"/>
        <v>6</v>
      </c>
      <c r="AO90" s="2">
        <f t="shared" ca="1" si="31"/>
        <v>2026</v>
      </c>
      <c r="AP90" s="2">
        <f t="shared" ca="1" si="8"/>
        <v>2026</v>
      </c>
      <c r="AQ90" s="2">
        <f t="shared" ca="1" si="9"/>
        <v>0</v>
      </c>
      <c r="AR90" s="2">
        <f t="shared" ca="1" si="10"/>
        <v>30</v>
      </c>
      <c r="AS90" s="2">
        <f t="shared" si="11"/>
        <v>20</v>
      </c>
      <c r="AT90" s="2">
        <f t="shared" ca="1" si="32"/>
        <v>30</v>
      </c>
      <c r="AU90" s="2"/>
      <c r="AV90" s="2"/>
      <c r="AW90" s="2"/>
      <c r="AX90" s="2"/>
      <c r="AY90" s="2"/>
      <c r="AZ90" s="2">
        <f t="shared" ca="1" si="12"/>
        <v>1</v>
      </c>
      <c r="BA90" s="2"/>
      <c r="BB90" s="2"/>
      <c r="BC90" s="2"/>
      <c r="BD90" s="2"/>
      <c r="BE90" s="2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</row>
    <row r="91" spans="1:142" s="24" customFormat="1" ht="15" customHeight="1">
      <c r="A91" s="4">
        <v>30</v>
      </c>
      <c r="B91" s="268">
        <f t="shared" ca="1" si="14"/>
        <v>46223</v>
      </c>
      <c r="C91" s="268"/>
      <c r="D91" s="269">
        <f ca="1">IF(N91=0,IF(N90=1,SUM(D$62:E90)," "),IF(N91=0," ",IF(N92=1,D$62,IF(N92=0,D$4-D$62*(M$50-1)," "))))</f>
        <v>66.67</v>
      </c>
      <c r="E91" s="269"/>
      <c r="F91" s="87">
        <f ca="1">IF(N91=0,IF(N90=1,SUM(F$62:F90)," "),IF(M$37=1,P91,IF(M$37=2,Q91," ")))</f>
        <v>28.322806944444416</v>
      </c>
      <c r="G91" s="87">
        <v>0</v>
      </c>
      <c r="H91" s="87">
        <f t="shared" ca="1" si="15"/>
        <v>94.992806944444425</v>
      </c>
      <c r="I91" s="87">
        <f t="shared" ca="1" si="16"/>
        <v>83.34</v>
      </c>
      <c r="J91" s="87">
        <f t="shared" ca="1" si="0"/>
        <v>35.403631666666641</v>
      </c>
      <c r="K91" s="87">
        <v>0</v>
      </c>
      <c r="L91" s="87">
        <f t="shared" ca="1" si="17"/>
        <v>118.74363166666664</v>
      </c>
      <c r="M91" s="2">
        <v>30</v>
      </c>
      <c r="N91" s="2">
        <f t="shared" ca="1" si="34"/>
        <v>1</v>
      </c>
      <c r="O91" s="2">
        <f t="shared" ca="1" si="1"/>
        <v>20</v>
      </c>
      <c r="P91" s="134">
        <f t="shared" ca="1" si="19"/>
        <v>28.322806944444416</v>
      </c>
      <c r="Q91" s="134">
        <f t="shared" ca="1" si="20"/>
        <v>28.322806944444416</v>
      </c>
      <c r="R91" s="134">
        <f t="shared" ca="1" si="21"/>
        <v>2066.5699999999979</v>
      </c>
      <c r="S91" s="134">
        <f t="shared" ca="1" si="22"/>
        <v>66.67</v>
      </c>
      <c r="T91" s="134">
        <f t="shared" ca="1" si="33"/>
        <v>66.67</v>
      </c>
      <c r="U91" s="134">
        <f t="shared" ca="1" si="36"/>
        <v>28.322806944444416</v>
      </c>
      <c r="V91" s="134">
        <f t="shared" ca="1" si="37"/>
        <v>28.322806944444416</v>
      </c>
      <c r="W91" s="134">
        <f t="shared" ca="1" si="23"/>
        <v>53.666666666666679</v>
      </c>
      <c r="X91" s="134">
        <f t="shared" ca="1" si="24"/>
        <v>50</v>
      </c>
      <c r="Y91" s="134">
        <f t="shared" ca="1" si="2"/>
        <v>2583.2199999999975</v>
      </c>
      <c r="Z91" s="134">
        <f t="shared" ca="1" si="38"/>
        <v>35.403631666666641</v>
      </c>
      <c r="AA91" s="134">
        <f t="shared" ca="1" si="25"/>
        <v>35.403631666666641</v>
      </c>
      <c r="AB91" s="134">
        <f t="shared" ca="1" si="35"/>
        <v>63330.499999999942</v>
      </c>
      <c r="AC91" s="134"/>
      <c r="AD91" s="134">
        <f t="shared" ca="1" si="3"/>
        <v>0</v>
      </c>
      <c r="AE91" s="134">
        <f t="shared" ca="1" si="4"/>
        <v>0</v>
      </c>
      <c r="AF91" s="134">
        <f t="shared" ca="1" si="27"/>
        <v>0</v>
      </c>
      <c r="AG91" s="134">
        <f t="shared" ca="1" si="5"/>
        <v>0</v>
      </c>
      <c r="AH91" s="134">
        <f t="shared" ca="1" si="28"/>
        <v>0</v>
      </c>
      <c r="AI91" s="134">
        <f t="shared" ca="1" si="29"/>
        <v>0</v>
      </c>
      <c r="AJ91" s="134">
        <f t="shared" ca="1" si="6"/>
        <v>2066.5699999999979</v>
      </c>
      <c r="AK91" s="134">
        <f t="shared" ca="1" si="39"/>
        <v>0</v>
      </c>
      <c r="AL91" s="134">
        <f t="shared" ca="1" si="40"/>
        <v>0</v>
      </c>
      <c r="AM91" s="132">
        <f t="shared" ca="1" si="30"/>
        <v>7</v>
      </c>
      <c r="AN91" s="132">
        <f t="shared" ca="1" si="7"/>
        <v>7</v>
      </c>
      <c r="AO91" s="2">
        <f t="shared" ca="1" si="31"/>
        <v>2026</v>
      </c>
      <c r="AP91" s="2">
        <f t="shared" ca="1" si="8"/>
        <v>2026</v>
      </c>
      <c r="AQ91" s="2">
        <f t="shared" ca="1" si="9"/>
        <v>0</v>
      </c>
      <c r="AR91" s="2">
        <f t="shared" ca="1" si="10"/>
        <v>30</v>
      </c>
      <c r="AS91" s="2">
        <f t="shared" si="11"/>
        <v>20</v>
      </c>
      <c r="AT91" s="2">
        <f t="shared" ca="1" si="32"/>
        <v>30</v>
      </c>
      <c r="AU91" s="2"/>
      <c r="AV91" s="2"/>
      <c r="AW91" s="2"/>
      <c r="AX91" s="2"/>
      <c r="AY91" s="2"/>
      <c r="AZ91" s="2">
        <f t="shared" ca="1" si="12"/>
        <v>1</v>
      </c>
      <c r="BA91" s="2"/>
      <c r="BB91" s="2"/>
      <c r="BC91" s="2"/>
      <c r="BD91" s="2"/>
      <c r="BE91" s="2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</row>
    <row r="92" spans="1:142" s="24" customFormat="1" ht="15" customHeight="1">
      <c r="A92" s="4">
        <v>31</v>
      </c>
      <c r="B92" s="268">
        <f t="shared" ca="1" si="14"/>
        <v>46254</v>
      </c>
      <c r="C92" s="268"/>
      <c r="D92" s="269">
        <f ca="1">IF(N92=0,IF(N91=1,SUM(D$62:E91)," "),IF(N92=0," ",IF(N93=1,D$62,IF(N93=0,D$4-D$62*(M$50-1)," "))))</f>
        <v>66.67</v>
      </c>
      <c r="E92" s="269"/>
      <c r="F92" s="87">
        <f ca="1">IF(N92=0,IF(N91=1,SUM(F$62:F91)," "),IF(M$37=1,P92,IF(M$37=2,Q92," ")))</f>
        <v>27.42831777777775</v>
      </c>
      <c r="G92" s="87">
        <v>0</v>
      </c>
      <c r="H92" s="87">
        <f t="shared" ca="1" si="15"/>
        <v>94.098317777777751</v>
      </c>
      <c r="I92" s="87">
        <f t="shared" ca="1" si="16"/>
        <v>83.34</v>
      </c>
      <c r="J92" s="87">
        <f t="shared" ca="1" si="0"/>
        <v>34.285486666666635</v>
      </c>
      <c r="K92" s="87">
        <v>0</v>
      </c>
      <c r="L92" s="87">
        <f t="shared" ca="1" si="17"/>
        <v>117.62548666666663</v>
      </c>
      <c r="M92" s="2">
        <v>31</v>
      </c>
      <c r="N92" s="2">
        <f t="shared" ca="1" si="34"/>
        <v>1</v>
      </c>
      <c r="O92" s="2">
        <f t="shared" ca="1" si="1"/>
        <v>20</v>
      </c>
      <c r="P92" s="134">
        <f t="shared" ca="1" si="19"/>
        <v>27.42831777777775</v>
      </c>
      <c r="Q92" s="134">
        <f t="shared" ca="1" si="20"/>
        <v>27.42831777777775</v>
      </c>
      <c r="R92" s="134">
        <f t="shared" ca="1" si="21"/>
        <v>1999.8999999999978</v>
      </c>
      <c r="S92" s="134">
        <f t="shared" ca="1" si="22"/>
        <v>66.67</v>
      </c>
      <c r="T92" s="134">
        <f t="shared" ca="1" si="33"/>
        <v>66.67</v>
      </c>
      <c r="U92" s="134">
        <f t="shared" ca="1" si="36"/>
        <v>27.42831777777775</v>
      </c>
      <c r="V92" s="134">
        <f t="shared" ca="1" si="37"/>
        <v>27.42831777777775</v>
      </c>
      <c r="W92" s="134">
        <f t="shared" ca="1" si="23"/>
        <v>53.666666666666679</v>
      </c>
      <c r="X92" s="134">
        <f t="shared" ca="1" si="24"/>
        <v>50</v>
      </c>
      <c r="Y92" s="134">
        <f t="shared" ca="1" si="2"/>
        <v>2499.8799999999974</v>
      </c>
      <c r="Z92" s="134">
        <f t="shared" ca="1" si="38"/>
        <v>34.285486666666635</v>
      </c>
      <c r="AA92" s="134">
        <f t="shared" ca="1" si="25"/>
        <v>34.285486666666635</v>
      </c>
      <c r="AB92" s="134">
        <f t="shared" ca="1" si="35"/>
        <v>61330.399999999936</v>
      </c>
      <c r="AC92" s="134"/>
      <c r="AD92" s="134">
        <f t="shared" ca="1" si="3"/>
        <v>0</v>
      </c>
      <c r="AE92" s="134">
        <f t="shared" ca="1" si="4"/>
        <v>0</v>
      </c>
      <c r="AF92" s="134">
        <f t="shared" ca="1" si="27"/>
        <v>0</v>
      </c>
      <c r="AG92" s="134">
        <f t="shared" ca="1" si="5"/>
        <v>0</v>
      </c>
      <c r="AH92" s="134">
        <f t="shared" ca="1" si="28"/>
        <v>0</v>
      </c>
      <c r="AI92" s="134">
        <f t="shared" ca="1" si="29"/>
        <v>0</v>
      </c>
      <c r="AJ92" s="134">
        <f t="shared" ca="1" si="6"/>
        <v>1999.8999999999978</v>
      </c>
      <c r="AK92" s="134">
        <f t="shared" ca="1" si="39"/>
        <v>0</v>
      </c>
      <c r="AL92" s="134">
        <f t="shared" ca="1" si="40"/>
        <v>0</v>
      </c>
      <c r="AM92" s="132">
        <f t="shared" ca="1" si="30"/>
        <v>8</v>
      </c>
      <c r="AN92" s="132">
        <f t="shared" ca="1" si="7"/>
        <v>8</v>
      </c>
      <c r="AO92" s="2">
        <f t="shared" ca="1" si="31"/>
        <v>2026</v>
      </c>
      <c r="AP92" s="2">
        <f t="shared" ca="1" si="8"/>
        <v>2026</v>
      </c>
      <c r="AQ92" s="2">
        <f t="shared" ca="1" si="9"/>
        <v>0</v>
      </c>
      <c r="AR92" s="2">
        <f t="shared" ca="1" si="10"/>
        <v>30</v>
      </c>
      <c r="AS92" s="2">
        <f t="shared" si="11"/>
        <v>20</v>
      </c>
      <c r="AT92" s="2">
        <f t="shared" ca="1" si="32"/>
        <v>30</v>
      </c>
      <c r="AU92" s="2"/>
      <c r="AV92" s="2"/>
      <c r="AW92" s="2"/>
      <c r="AX92" s="2"/>
      <c r="AY92" s="2"/>
      <c r="AZ92" s="2">
        <f t="shared" ca="1" si="12"/>
        <v>1</v>
      </c>
      <c r="BA92" s="2"/>
      <c r="BB92" s="2"/>
      <c r="BC92" s="2"/>
      <c r="BD92" s="2"/>
      <c r="BE92" s="2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</row>
    <row r="93" spans="1:142" s="24" customFormat="1" ht="15" customHeight="1">
      <c r="A93" s="4">
        <v>32</v>
      </c>
      <c r="B93" s="268">
        <f t="shared" ca="1" si="14"/>
        <v>46285</v>
      </c>
      <c r="C93" s="268"/>
      <c r="D93" s="269">
        <f ca="1">IF(N93=0,IF(N92=1,SUM(D$62:E92)," "),IF(N93=0," ",IF(N94=1,D$62,IF(N94=0,D$4-D$62*(M$50-1)," "))))</f>
        <v>66.67</v>
      </c>
      <c r="E93" s="269"/>
      <c r="F93" s="87">
        <f ca="1">IF(N93=0,IF(N92=1,SUM(F$62:F92)," "),IF(M$37=1,P93,IF(M$37=2,Q93," ")))</f>
        <v>26.533828611111083</v>
      </c>
      <c r="G93" s="87">
        <v>0</v>
      </c>
      <c r="H93" s="87">
        <f t="shared" ca="1" si="15"/>
        <v>93.203828611111078</v>
      </c>
      <c r="I93" s="87">
        <f t="shared" ca="1" si="16"/>
        <v>83.34</v>
      </c>
      <c r="J93" s="87">
        <f t="shared" ca="1" si="0"/>
        <v>33.167341666666637</v>
      </c>
      <c r="K93" s="87">
        <v>0</v>
      </c>
      <c r="L93" s="87">
        <f t="shared" ca="1" si="17"/>
        <v>116.50734166666663</v>
      </c>
      <c r="M93" s="2">
        <v>32</v>
      </c>
      <c r="N93" s="2">
        <f t="shared" ca="1" si="34"/>
        <v>1</v>
      </c>
      <c r="O93" s="2">
        <f t="shared" ca="1" si="1"/>
        <v>20</v>
      </c>
      <c r="P93" s="134">
        <f t="shared" ca="1" si="19"/>
        <v>26.533828611111083</v>
      </c>
      <c r="Q93" s="134">
        <f t="shared" ca="1" si="20"/>
        <v>26.533828611111083</v>
      </c>
      <c r="R93" s="134">
        <f t="shared" ca="1" si="21"/>
        <v>1933.2299999999977</v>
      </c>
      <c r="S93" s="134">
        <f t="shared" ca="1" si="22"/>
        <v>66.67</v>
      </c>
      <c r="T93" s="134">
        <f t="shared" ca="1" si="33"/>
        <v>66.67</v>
      </c>
      <c r="U93" s="134">
        <f t="shared" ca="1" si="36"/>
        <v>26.533828611111083</v>
      </c>
      <c r="V93" s="134">
        <f t="shared" ca="1" si="37"/>
        <v>26.533828611111083</v>
      </c>
      <c r="W93" s="134">
        <f t="shared" ca="1" si="23"/>
        <v>53.666666666666679</v>
      </c>
      <c r="X93" s="134">
        <f t="shared" ca="1" si="24"/>
        <v>50</v>
      </c>
      <c r="Y93" s="134">
        <f t="shared" ca="1" si="2"/>
        <v>2416.5399999999972</v>
      </c>
      <c r="Z93" s="134">
        <f t="shared" ca="1" si="38"/>
        <v>33.167341666666637</v>
      </c>
      <c r="AA93" s="134">
        <f t="shared" ca="1" si="25"/>
        <v>33.167341666666637</v>
      </c>
      <c r="AB93" s="134">
        <f t="shared" ca="1" si="35"/>
        <v>59330.29999999993</v>
      </c>
      <c r="AC93" s="134"/>
      <c r="AD93" s="134">
        <f t="shared" ca="1" si="3"/>
        <v>0</v>
      </c>
      <c r="AE93" s="134">
        <f t="shared" ca="1" si="4"/>
        <v>0</v>
      </c>
      <c r="AF93" s="134">
        <f t="shared" ca="1" si="27"/>
        <v>0</v>
      </c>
      <c r="AG93" s="134">
        <f t="shared" ca="1" si="5"/>
        <v>0</v>
      </c>
      <c r="AH93" s="134">
        <f t="shared" ca="1" si="28"/>
        <v>0</v>
      </c>
      <c r="AI93" s="134">
        <f t="shared" ca="1" si="29"/>
        <v>0</v>
      </c>
      <c r="AJ93" s="134">
        <f t="shared" ca="1" si="6"/>
        <v>1933.2299999999977</v>
      </c>
      <c r="AK93" s="134">
        <f t="shared" ca="1" si="39"/>
        <v>0</v>
      </c>
      <c r="AL93" s="134">
        <f t="shared" ca="1" si="40"/>
        <v>0</v>
      </c>
      <c r="AM93" s="132">
        <f t="shared" ca="1" si="30"/>
        <v>9</v>
      </c>
      <c r="AN93" s="132">
        <f t="shared" ca="1" si="7"/>
        <v>9</v>
      </c>
      <c r="AO93" s="2">
        <f t="shared" ca="1" si="31"/>
        <v>2026</v>
      </c>
      <c r="AP93" s="2">
        <f t="shared" ca="1" si="8"/>
        <v>2026</v>
      </c>
      <c r="AQ93" s="2">
        <f t="shared" ca="1" si="9"/>
        <v>0</v>
      </c>
      <c r="AR93" s="2">
        <f t="shared" ca="1" si="10"/>
        <v>30</v>
      </c>
      <c r="AS93" s="2">
        <f t="shared" si="11"/>
        <v>20</v>
      </c>
      <c r="AT93" s="2">
        <f t="shared" ca="1" si="32"/>
        <v>30</v>
      </c>
      <c r="AU93" s="2"/>
      <c r="AV93" s="2"/>
      <c r="AW93" s="2"/>
      <c r="AX93" s="2"/>
      <c r="AY93" s="2"/>
      <c r="AZ93" s="2">
        <f t="shared" ca="1" si="12"/>
        <v>1</v>
      </c>
      <c r="BA93" s="2"/>
      <c r="BB93" s="2"/>
      <c r="BC93" s="2"/>
      <c r="BD93" s="2"/>
      <c r="BE93" s="2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</row>
    <row r="94" spans="1:142" s="24" customFormat="1" ht="15" customHeight="1">
      <c r="A94" s="4">
        <v>33</v>
      </c>
      <c r="B94" s="268">
        <f t="shared" ca="1" si="14"/>
        <v>46315</v>
      </c>
      <c r="C94" s="268"/>
      <c r="D94" s="269">
        <f ca="1">IF(N94=0,IF(N93=1,SUM(D$62:E93)," "),IF(N94=0," ",IF(N95=1,D$62,IF(N95=0,D$4-D$62*(M$50-1)," "))))</f>
        <v>66.67</v>
      </c>
      <c r="E94" s="269"/>
      <c r="F94" s="87">
        <f ca="1">IF(N94=0,IF(N93=1,SUM(F$62:F93)," "),IF(M$37=1,P94,IF(M$37=2,Q94," ")))</f>
        <v>25.639339444444417</v>
      </c>
      <c r="G94" s="87">
        <v>0</v>
      </c>
      <c r="H94" s="87">
        <f t="shared" ca="1" si="15"/>
        <v>92.309339444444419</v>
      </c>
      <c r="I94" s="87">
        <f t="shared" ca="1" si="16"/>
        <v>83.34</v>
      </c>
      <c r="J94" s="87">
        <f t="shared" ref="J94:J122" ca="1" si="41">AA94</f>
        <v>32.049196666666631</v>
      </c>
      <c r="K94" s="87">
        <v>0</v>
      </c>
      <c r="L94" s="87">
        <f t="shared" ca="1" si="17"/>
        <v>115.38919666666663</v>
      </c>
      <c r="M94" s="2">
        <v>33</v>
      </c>
      <c r="N94" s="2">
        <f t="shared" ca="1" si="34"/>
        <v>1</v>
      </c>
      <c r="O94" s="2">
        <f t="shared" ref="O94:O122" ca="1" si="42">IF(D$8+1=A$50,IF(M94=A$50,IF(DATE(YEAR(0),MONTH(0),DAY(D$10)-1)&gt;AS94,DATE(YEAR(0),MONTH(0),DAY(D$10)-1),AS94),AS94),IF(M94=A$50,IF(DATE(YEAR(0),MONTH(0),DAY(D$10)-1)&lt;AS94,DATE(YEAR(0),MONTH(0),DAY(D$10)-1),AS94),AS94))</f>
        <v>20</v>
      </c>
      <c r="P94" s="134">
        <f t="shared" ca="1" si="19"/>
        <v>25.639339444444417</v>
      </c>
      <c r="Q94" s="134">
        <f t="shared" ca="1" si="20"/>
        <v>25.639339444444417</v>
      </c>
      <c r="R94" s="134">
        <f t="shared" ca="1" si="21"/>
        <v>1866.5599999999977</v>
      </c>
      <c r="S94" s="134">
        <f t="shared" ca="1" si="22"/>
        <v>66.67</v>
      </c>
      <c r="T94" s="134">
        <f t="shared" ca="1" si="33"/>
        <v>66.67</v>
      </c>
      <c r="U94" s="134">
        <f t="shared" ca="1" si="36"/>
        <v>25.639339444444417</v>
      </c>
      <c r="V94" s="134">
        <f t="shared" ca="1" si="37"/>
        <v>25.639339444444417</v>
      </c>
      <c r="W94" s="134">
        <f t="shared" ca="1" si="23"/>
        <v>53.666666666666679</v>
      </c>
      <c r="X94" s="134">
        <f t="shared" ca="1" si="24"/>
        <v>50</v>
      </c>
      <c r="Y94" s="134">
        <f t="shared" ref="Y94:Y122" ca="1" si="43">IF(M94&lt;=(D$9+1),D$4,Y93-I93)</f>
        <v>2333.1999999999971</v>
      </c>
      <c r="Z94" s="134">
        <f t="shared" ca="1" si="38"/>
        <v>32.049196666666631</v>
      </c>
      <c r="AA94" s="134">
        <f t="shared" ca="1" si="25"/>
        <v>32.049196666666631</v>
      </c>
      <c r="AB94" s="134">
        <f t="shared" ca="1" si="35"/>
        <v>57330.199999999932</v>
      </c>
      <c r="AC94" s="134"/>
      <c r="AD94" s="134">
        <f t="shared" ref="AD94:AD122" ca="1" si="44">IF(AK94&lt;&gt;0,IF(VALUE(RIGHT(ROUND(AK94,0)))&lt;=5,ROUND(AK94,0)-VALUE(RIGHT(ROUND(AK94,0))),ROUND(AK94,0)+10-VALUE(RIGHT(ROUND(AK94,0)))),0)</f>
        <v>0</v>
      </c>
      <c r="AE94" s="134">
        <f t="shared" ref="AE94:AE122" ca="1" si="45">IF(AL94&lt;&gt;0,IF(VALUE(RIGHT(ROUND(AL94,0)))&lt;=5,ROUND(AL94,0)-VALUE(RIGHT(ROUND(AL94,0))),ROUND(AL94,0)+10-VALUE(RIGHT(ROUND(AL94,0)))),0)</f>
        <v>0</v>
      </c>
      <c r="AF94" s="134">
        <f t="shared" ca="1" si="27"/>
        <v>0</v>
      </c>
      <c r="AG94" s="134">
        <f t="shared" ref="AG94:AG122" ca="1" si="46">IF(AF94&lt;&gt;0,IF(VALUE(RIGHT(ROUND(AF94,0)))&lt;=5,ROUND(AF94,0)-VALUE(RIGHT(ROUND(AF94,0))),ROUND(AF94,0)+10-VALUE(RIGHT(ROUND(AF94,0)))),0)</f>
        <v>0</v>
      </c>
      <c r="AH94" s="134">
        <f t="shared" ca="1" si="28"/>
        <v>0</v>
      </c>
      <c r="AI94" s="134">
        <f t="shared" ca="1" si="29"/>
        <v>0</v>
      </c>
      <c r="AJ94" s="134">
        <f t="shared" ref="AJ94:AJ122" ca="1" si="47">R94</f>
        <v>1866.5599999999977</v>
      </c>
      <c r="AK94" s="134">
        <f t="shared" ca="1" si="39"/>
        <v>0</v>
      </c>
      <c r="AL94" s="134">
        <f t="shared" ca="1" si="40"/>
        <v>0</v>
      </c>
      <c r="AM94" s="132">
        <f t="shared" ca="1" si="30"/>
        <v>10</v>
      </c>
      <c r="AN94" s="132">
        <f t="shared" ref="AN94:AN122" ca="1" si="48">IF(AM94=13,1,AM94)</f>
        <v>10</v>
      </c>
      <c r="AO94" s="2">
        <f t="shared" ca="1" si="31"/>
        <v>2026</v>
      </c>
      <c r="AP94" s="2">
        <f t="shared" ref="AP94:AP122" ca="1" si="49">IF(AN94=1,AO94+1,AO94)</f>
        <v>2026</v>
      </c>
      <c r="AQ94" s="2">
        <f t="shared" ref="AQ94:AQ122" ca="1" si="50">IF((AO94/2012)=1,1,IF((AO94/2016)=1,1,IF((AO94/2020)=1,1,IF((AO94/2024)=1,1,IF((AO94/2028)=1,1,IF((AO94/2032)=1,1,0))))))</f>
        <v>0</v>
      </c>
      <c r="AR94" s="2">
        <f t="shared" ref="AR94:AR122" ca="1" si="51">IF(AN94=2,IF(AQ94=1,29,28),30)</f>
        <v>30</v>
      </c>
      <c r="AS94" s="2">
        <f t="shared" ref="AS94:AS122" si="52">IF(C$61=30,AR94,20)</f>
        <v>20</v>
      </c>
      <c r="AT94" s="2">
        <f t="shared" ca="1" si="32"/>
        <v>30</v>
      </c>
      <c r="AU94" s="2"/>
      <c r="AV94" s="2"/>
      <c r="AW94" s="2"/>
      <c r="AX94" s="2"/>
      <c r="AY94" s="2"/>
      <c r="AZ94" s="2">
        <f t="shared" ref="AZ94:AZ122" ca="1" si="53">IF(D$9=0,0,IF(N94=1,1,0))</f>
        <v>1</v>
      </c>
      <c r="BA94" s="2"/>
      <c r="BB94" s="2"/>
      <c r="BC94" s="2"/>
      <c r="BD94" s="2"/>
      <c r="BE94" s="2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</row>
    <row r="95" spans="1:142" s="24" customFormat="1" ht="15" customHeight="1">
      <c r="A95" s="4">
        <v>34</v>
      </c>
      <c r="B95" s="268">
        <f t="shared" ref="B95:B122" ca="1" si="54">IF(N95=0,IF(N94=1,"ИТОГО"," "),IF(A$50=D$8+1,IF(M95=A$50,IF(MONTH(B94)=2,IF(DAY(D$10)&gt;29,DATE(YEAR(B94),MONTH(B94),AT95),DATE(YEAR(B94),MONTH(B94),O95)),DATE(YEAR(B94),MONTH(B94),O95)),DATE(YEAR(B94),MONTH(B94)+1,O95)),DATE(YEAR(B94),MONTH(B94)+1,O95)))</f>
        <v>46346</v>
      </c>
      <c r="C95" s="268"/>
      <c r="D95" s="269">
        <f ca="1">IF(N95=0,IF(N94=1,SUM(D$62:E94)," "),IF(N95=0," ",IF(N96=1,D$62,IF(N96=0,D$4-D$62*(M$50-1)," "))))</f>
        <v>66.67</v>
      </c>
      <c r="E95" s="269"/>
      <c r="F95" s="87">
        <f ca="1">IF(N95=0,IF(N94=1,SUM(F$62:F94)," "),IF(M$37=1,P95,IF(M$37=2,Q95," ")))</f>
        <v>24.744850277777751</v>
      </c>
      <c r="G95" s="87">
        <v>0</v>
      </c>
      <c r="H95" s="87">
        <f t="shared" ref="H95:H122" ca="1" si="55">IF(SUM(D95:G95)=0," ",SUM(D95:G95))</f>
        <v>91.414850277777759</v>
      </c>
      <c r="I95" s="87">
        <f t="shared" ref="I95:I122" ca="1" si="56">IF(N95=1,IF(N96=1,IF(M95&lt;=D$9,T95,AW$63),D$4-AW$63*M$52+AW$63),0)</f>
        <v>83.34</v>
      </c>
      <c r="J95" s="87">
        <f t="shared" ca="1" si="41"/>
        <v>30.93105166666663</v>
      </c>
      <c r="K95" s="87">
        <v>0</v>
      </c>
      <c r="L95" s="87">
        <f t="shared" ref="L95:L122" ca="1" si="57">IF(SUM(I95:K95)=0," ",SUM(I95:K95))</f>
        <v>114.27105166666664</v>
      </c>
      <c r="M95" s="2">
        <v>34</v>
      </c>
      <c r="N95" s="2">
        <f t="shared" ca="1" si="34"/>
        <v>1</v>
      </c>
      <c r="O95" s="2">
        <f t="shared" ca="1" si="42"/>
        <v>20</v>
      </c>
      <c r="P95" s="134">
        <f t="shared" ca="1" si="19"/>
        <v>24.744850277777751</v>
      </c>
      <c r="Q95" s="134">
        <f t="shared" ca="1" si="20"/>
        <v>24.744850277777751</v>
      </c>
      <c r="R95" s="134">
        <f t="shared" ref="R95:R122" ca="1" si="58">IF(N95=0,0,R94-D94)</f>
        <v>1799.8899999999976</v>
      </c>
      <c r="S95" s="134">
        <f t="shared" ref="S95:S122" ca="1" si="59">IF(M95&lt;=D$9,D$4/(D$8-M94),D95)</f>
        <v>66.67</v>
      </c>
      <c r="T95" s="134">
        <f t="shared" ca="1" si="33"/>
        <v>66.67</v>
      </c>
      <c r="U95" s="134">
        <f t="shared" ca="1" si="36"/>
        <v>24.744850277777751</v>
      </c>
      <c r="V95" s="134">
        <f t="shared" ca="1" si="37"/>
        <v>24.744850277777751</v>
      </c>
      <c r="W95" s="134">
        <f t="shared" ref="W95:W121" ca="1" si="60">IF(N96=1,$D$4*$D$5*20/36000+$D$4*$D$5*10/36000,IF(N96=0,IF(N95=0,0,$D$4*$D$5*$Q$48/36000+$D$4*$D$5*20/36000+$D$4*$D$5*10/36000)))</f>
        <v>53.666666666666679</v>
      </c>
      <c r="X95" s="134">
        <f t="shared" ref="X95:X122" ca="1" si="61">IF(W95&lt;&gt;0,IF(VALUE(RIGHT(ROUND(W95,0)))&lt;=5,ROUND(W95,0)-VALUE(RIGHT(ROUND(W95,0))),ROUND(W95,0)+10-VALUE(RIGHT(ROUND(W95,0)))),0)</f>
        <v>50</v>
      </c>
      <c r="Y95" s="134">
        <f t="shared" ca="1" si="43"/>
        <v>2249.8599999999969</v>
      </c>
      <c r="Z95" s="134">
        <f t="shared" ca="1" si="38"/>
        <v>30.93105166666663</v>
      </c>
      <c r="AA95" s="134">
        <f t="shared" ca="1" si="25"/>
        <v>30.93105166666663</v>
      </c>
      <c r="AB95" s="134">
        <f t="shared" ca="1" si="35"/>
        <v>55330.099999999933</v>
      </c>
      <c r="AC95" s="134"/>
      <c r="AD95" s="134">
        <f t="shared" ca="1" si="44"/>
        <v>0</v>
      </c>
      <c r="AE95" s="134">
        <f t="shared" ca="1" si="45"/>
        <v>0</v>
      </c>
      <c r="AF95" s="134">
        <f t="shared" ref="AF95:AF121" ca="1" si="62">IF(N96=1,D$4*G$48*20/36000+D$4*G$48*10/36000,IF(N96=0,IF(N95=0,0,D$4*G$48*Q$48/36000+D$4*G$48*20/36000+D$4*G$48*10/36000)))</f>
        <v>0</v>
      </c>
      <c r="AG95" s="134">
        <f t="shared" ca="1" si="46"/>
        <v>0</v>
      </c>
      <c r="AH95" s="134">
        <f t="shared" ref="AH95:AH121" ca="1" si="63">IF(N96=1,Y94*G$48*20/36000+Y95*G$48*10/36000,IF(N96=0,IF(N95=0,0,Y95*G$48*Q$48/36000+Y94*G$48*20/36000+Y95*G$48*10/36000)))</f>
        <v>0</v>
      </c>
      <c r="AI95" s="134">
        <f t="shared" ca="1" si="29"/>
        <v>0</v>
      </c>
      <c r="AJ95" s="134">
        <f t="shared" ca="1" si="47"/>
        <v>1799.8899999999976</v>
      </c>
      <c r="AK95" s="134">
        <f t="shared" ca="1" si="39"/>
        <v>0</v>
      </c>
      <c r="AL95" s="134">
        <f t="shared" ca="1" si="40"/>
        <v>0</v>
      </c>
      <c r="AM95" s="132">
        <f t="shared" ref="AM95:AM122" ca="1" si="64">IF(N95=0,0,MONTH(B94)+1)</f>
        <v>11</v>
      </c>
      <c r="AN95" s="132">
        <f t="shared" ca="1" si="48"/>
        <v>11</v>
      </c>
      <c r="AO95" s="2">
        <f t="shared" ref="AO95:AO122" ca="1" si="65">IF(N95=0,0,YEAR(B94))</f>
        <v>2026</v>
      </c>
      <c r="AP95" s="2">
        <f t="shared" ca="1" si="49"/>
        <v>2026</v>
      </c>
      <c r="AQ95" s="2">
        <f t="shared" ca="1" si="50"/>
        <v>0</v>
      </c>
      <c r="AR95" s="2">
        <f t="shared" ca="1" si="51"/>
        <v>30</v>
      </c>
      <c r="AS95" s="2">
        <f t="shared" si="52"/>
        <v>20</v>
      </c>
      <c r="AT95" s="2">
        <f t="shared" ref="AT95:AT122" ca="1" si="66">AR94</f>
        <v>30</v>
      </c>
      <c r="AU95" s="2"/>
      <c r="AV95" s="2"/>
      <c r="AW95" s="2"/>
      <c r="AX95" s="2"/>
      <c r="AY95" s="2"/>
      <c r="AZ95" s="2">
        <f t="shared" ca="1" si="53"/>
        <v>1</v>
      </c>
      <c r="BA95" s="2"/>
      <c r="BB95" s="2"/>
      <c r="BC95" s="2"/>
      <c r="BD95" s="2"/>
      <c r="BE95" s="2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</row>
    <row r="96" spans="1:142" s="24" customFormat="1" ht="15" customHeight="1">
      <c r="A96" s="4">
        <v>35</v>
      </c>
      <c r="B96" s="268">
        <f t="shared" ca="1" si="54"/>
        <v>46376</v>
      </c>
      <c r="C96" s="268"/>
      <c r="D96" s="269">
        <f ca="1">IF(N96=0,IF(N95=1,SUM(D$62:E95)," "),IF(N96=0," ",IF(N97=1,D$62,IF(N97=0,D$4-D$62*(M$50-1)," "))))</f>
        <v>66.67</v>
      </c>
      <c r="E96" s="269"/>
      <c r="F96" s="87">
        <f ca="1">IF(N96=0,IF(N95=1,SUM(F$62:F95)," "),IF(M$37=1,P96,IF(M$37=2,Q96," ")))</f>
        <v>23.850361111111081</v>
      </c>
      <c r="G96" s="87">
        <v>0</v>
      </c>
      <c r="H96" s="87">
        <f t="shared" ca="1" si="55"/>
        <v>90.520361111111086</v>
      </c>
      <c r="I96" s="87">
        <f t="shared" ca="1" si="56"/>
        <v>83.34</v>
      </c>
      <c r="J96" s="87">
        <f t="shared" ca="1" si="41"/>
        <v>29.812906666666628</v>
      </c>
      <c r="K96" s="87">
        <v>0</v>
      </c>
      <c r="L96" s="87">
        <f t="shared" ca="1" si="57"/>
        <v>113.15290666666664</v>
      </c>
      <c r="M96" s="2">
        <v>35</v>
      </c>
      <c r="N96" s="2">
        <f t="shared" ca="1" si="34"/>
        <v>1</v>
      </c>
      <c r="O96" s="2">
        <f t="shared" ca="1" si="42"/>
        <v>20</v>
      </c>
      <c r="P96" s="134">
        <f t="shared" ca="1" si="19"/>
        <v>23.850361111111081</v>
      </c>
      <c r="Q96" s="134">
        <f t="shared" ca="1" si="20"/>
        <v>23.850361111111081</v>
      </c>
      <c r="R96" s="134">
        <f t="shared" ca="1" si="58"/>
        <v>1733.2199999999975</v>
      </c>
      <c r="S96" s="134">
        <f t="shared" ca="1" si="59"/>
        <v>66.67</v>
      </c>
      <c r="T96" s="134">
        <f t="shared" ca="1" si="33"/>
        <v>66.67</v>
      </c>
      <c r="U96" s="134">
        <f t="shared" ca="1" si="36"/>
        <v>23.850361111111081</v>
      </c>
      <c r="V96" s="134">
        <f t="shared" ca="1" si="37"/>
        <v>23.850361111111081</v>
      </c>
      <c r="W96" s="134">
        <f t="shared" ca="1" si="60"/>
        <v>53.666666666666679</v>
      </c>
      <c r="X96" s="134">
        <f t="shared" ca="1" si="61"/>
        <v>50</v>
      </c>
      <c r="Y96" s="134">
        <f t="shared" ca="1" si="43"/>
        <v>2166.5199999999968</v>
      </c>
      <c r="Z96" s="134">
        <f t="shared" ca="1" si="38"/>
        <v>29.812906666666628</v>
      </c>
      <c r="AA96" s="134">
        <f t="shared" ca="1" si="25"/>
        <v>29.812906666666628</v>
      </c>
      <c r="AB96" s="134">
        <f t="shared" ca="1" si="35"/>
        <v>53329.999999999927</v>
      </c>
      <c r="AC96" s="134"/>
      <c r="AD96" s="134">
        <f t="shared" ca="1" si="44"/>
        <v>0</v>
      </c>
      <c r="AE96" s="134">
        <f t="shared" ca="1" si="45"/>
        <v>0</v>
      </c>
      <c r="AF96" s="134">
        <f t="shared" ca="1" si="62"/>
        <v>0</v>
      </c>
      <c r="AG96" s="134">
        <f t="shared" ca="1" si="46"/>
        <v>0</v>
      </c>
      <c r="AH96" s="134">
        <f t="shared" ca="1" si="63"/>
        <v>0</v>
      </c>
      <c r="AI96" s="134">
        <f t="shared" ca="1" si="29"/>
        <v>0</v>
      </c>
      <c r="AJ96" s="134">
        <f t="shared" ca="1" si="47"/>
        <v>1733.2199999999975</v>
      </c>
      <c r="AK96" s="134">
        <f t="shared" ca="1" si="39"/>
        <v>0</v>
      </c>
      <c r="AL96" s="134">
        <f t="shared" ca="1" si="40"/>
        <v>0</v>
      </c>
      <c r="AM96" s="132">
        <f t="shared" ca="1" si="64"/>
        <v>12</v>
      </c>
      <c r="AN96" s="132">
        <f t="shared" ca="1" si="48"/>
        <v>12</v>
      </c>
      <c r="AO96" s="2">
        <f t="shared" ca="1" si="65"/>
        <v>2026</v>
      </c>
      <c r="AP96" s="2">
        <f t="shared" ca="1" si="49"/>
        <v>2026</v>
      </c>
      <c r="AQ96" s="2">
        <f t="shared" ca="1" si="50"/>
        <v>0</v>
      </c>
      <c r="AR96" s="2">
        <f t="shared" ca="1" si="51"/>
        <v>30</v>
      </c>
      <c r="AS96" s="2">
        <f t="shared" si="52"/>
        <v>20</v>
      </c>
      <c r="AT96" s="2">
        <f t="shared" ca="1" si="66"/>
        <v>30</v>
      </c>
      <c r="AU96" s="2"/>
      <c r="AV96" s="2"/>
      <c r="AW96" s="2"/>
      <c r="AX96" s="2"/>
      <c r="AY96" s="2"/>
      <c r="AZ96" s="2">
        <f t="shared" ca="1" si="53"/>
        <v>1</v>
      </c>
      <c r="BA96" s="2"/>
      <c r="BB96" s="2"/>
      <c r="BC96" s="2"/>
      <c r="BD96" s="2"/>
      <c r="BE96" s="2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</row>
    <row r="97" spans="1:142" s="24" customFormat="1" ht="15" customHeight="1">
      <c r="A97" s="4">
        <v>36</v>
      </c>
      <c r="B97" s="268">
        <f t="shared" ca="1" si="54"/>
        <v>46407</v>
      </c>
      <c r="C97" s="268"/>
      <c r="D97" s="269">
        <f ca="1">IF(N97=0,IF(N96=1,SUM(D$62:E96)," "),IF(N97=0," ",IF(N98=1,D$62,IF(N98=0,D$4-D$62*(M$50-1)," "))))</f>
        <v>66.67</v>
      </c>
      <c r="E97" s="269"/>
      <c r="F97" s="87">
        <f ca="1">IF(N97=0,IF(N96=1,SUM(F$62:F96)," "),IF(M$37=1,P97,IF(M$37=2,Q97," ")))</f>
        <v>22.955871944444414</v>
      </c>
      <c r="G97" s="87">
        <v>0</v>
      </c>
      <c r="H97" s="87">
        <f t="shared" ca="1" si="55"/>
        <v>89.625871944444413</v>
      </c>
      <c r="I97" s="87">
        <f t="shared" ca="1" si="56"/>
        <v>83.34</v>
      </c>
      <c r="J97" s="87">
        <f t="shared" ca="1" si="41"/>
        <v>28.694761666666622</v>
      </c>
      <c r="K97" s="87">
        <v>0</v>
      </c>
      <c r="L97" s="87">
        <f t="shared" ca="1" si="57"/>
        <v>112.03476166666663</v>
      </c>
      <c r="M97" s="2">
        <v>36</v>
      </c>
      <c r="N97" s="2">
        <f t="shared" ca="1" si="34"/>
        <v>1</v>
      </c>
      <c r="O97" s="2">
        <f t="shared" ca="1" si="42"/>
        <v>20</v>
      </c>
      <c r="P97" s="134">
        <f t="shared" ca="1" si="19"/>
        <v>22.955871944444414</v>
      </c>
      <c r="Q97" s="134">
        <f t="shared" ca="1" si="20"/>
        <v>22.955871944444414</v>
      </c>
      <c r="R97" s="134">
        <f t="shared" ca="1" si="58"/>
        <v>1666.5499999999975</v>
      </c>
      <c r="S97" s="134">
        <f t="shared" ca="1" si="59"/>
        <v>66.67</v>
      </c>
      <c r="T97" s="134">
        <f t="shared" ca="1" si="33"/>
        <v>66.67</v>
      </c>
      <c r="U97" s="134">
        <f t="shared" ca="1" si="36"/>
        <v>22.955871944444414</v>
      </c>
      <c r="V97" s="134">
        <f t="shared" ca="1" si="37"/>
        <v>22.955871944444414</v>
      </c>
      <c r="W97" s="134">
        <f t="shared" ca="1" si="60"/>
        <v>53.666666666666679</v>
      </c>
      <c r="X97" s="134">
        <f t="shared" ca="1" si="61"/>
        <v>50</v>
      </c>
      <c r="Y97" s="134">
        <f t="shared" ca="1" si="43"/>
        <v>2083.1799999999967</v>
      </c>
      <c r="Z97" s="134">
        <f t="shared" ca="1" si="38"/>
        <v>28.694761666666622</v>
      </c>
      <c r="AA97" s="134">
        <f t="shared" ca="1" si="25"/>
        <v>28.694761666666622</v>
      </c>
      <c r="AB97" s="134">
        <f t="shared" ca="1" si="35"/>
        <v>51329.899999999921</v>
      </c>
      <c r="AC97" s="134"/>
      <c r="AD97" s="134">
        <f t="shared" ca="1" si="44"/>
        <v>0</v>
      </c>
      <c r="AE97" s="134">
        <f t="shared" ca="1" si="45"/>
        <v>0</v>
      </c>
      <c r="AF97" s="134">
        <f t="shared" ca="1" si="62"/>
        <v>0</v>
      </c>
      <c r="AG97" s="134">
        <f t="shared" ca="1" si="46"/>
        <v>0</v>
      </c>
      <c r="AH97" s="134">
        <f t="shared" ca="1" si="63"/>
        <v>0</v>
      </c>
      <c r="AI97" s="134">
        <f t="shared" ca="1" si="29"/>
        <v>0</v>
      </c>
      <c r="AJ97" s="134">
        <f t="shared" ca="1" si="47"/>
        <v>1666.5499999999975</v>
      </c>
      <c r="AK97" s="134">
        <f t="shared" ca="1" si="39"/>
        <v>0</v>
      </c>
      <c r="AL97" s="134">
        <f t="shared" ca="1" si="40"/>
        <v>0</v>
      </c>
      <c r="AM97" s="132">
        <f t="shared" ca="1" si="64"/>
        <v>13</v>
      </c>
      <c r="AN97" s="132">
        <f t="shared" ca="1" si="48"/>
        <v>1</v>
      </c>
      <c r="AO97" s="2">
        <f t="shared" ca="1" si="65"/>
        <v>2026</v>
      </c>
      <c r="AP97" s="2">
        <f t="shared" ca="1" si="49"/>
        <v>2027</v>
      </c>
      <c r="AQ97" s="2">
        <f t="shared" ca="1" si="50"/>
        <v>0</v>
      </c>
      <c r="AR97" s="2">
        <f t="shared" ca="1" si="51"/>
        <v>30</v>
      </c>
      <c r="AS97" s="2">
        <f t="shared" si="52"/>
        <v>20</v>
      </c>
      <c r="AT97" s="2">
        <f t="shared" ca="1" si="66"/>
        <v>30</v>
      </c>
      <c r="AU97" s="2"/>
      <c r="AV97" s="2"/>
      <c r="AW97" s="2"/>
      <c r="AX97" s="2"/>
      <c r="AY97" s="2"/>
      <c r="AZ97" s="2">
        <f t="shared" ca="1" si="53"/>
        <v>1</v>
      </c>
      <c r="BA97" s="2"/>
      <c r="BB97" s="2"/>
      <c r="BC97" s="2"/>
      <c r="BD97" s="2"/>
      <c r="BE97" s="2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</row>
    <row r="98" spans="1:142" s="24" customFormat="1" ht="15" customHeight="1">
      <c r="A98" s="4">
        <v>37</v>
      </c>
      <c r="B98" s="268">
        <f t="shared" ca="1" si="54"/>
        <v>46438</v>
      </c>
      <c r="C98" s="268"/>
      <c r="D98" s="269">
        <f ca="1">IF(N98=0,IF(N97=1,SUM(D$62:E97)," "),IF(N98=0," ",IF(N99=1,D$62,IF(N99=0,D$4-D$62*(M$50-1)," "))))</f>
        <v>66.67</v>
      </c>
      <c r="E98" s="269"/>
      <c r="F98" s="87">
        <f ca="1">IF(N98=0,IF(N97=1,SUM(F$62:F97)," "),IF(M$37=1,P98,IF(M$37=2,Q98," ")))</f>
        <v>22.061382777777744</v>
      </c>
      <c r="G98" s="87">
        <v>0</v>
      </c>
      <c r="H98" s="87">
        <f t="shared" ca="1" si="55"/>
        <v>88.731382777777753</v>
      </c>
      <c r="I98" s="87">
        <f t="shared" ca="1" si="56"/>
        <v>83.34</v>
      </c>
      <c r="J98" s="87">
        <f t="shared" ca="1" si="41"/>
        <v>27.576616666666624</v>
      </c>
      <c r="K98" s="87">
        <v>0</v>
      </c>
      <c r="L98" s="87">
        <f t="shared" ca="1" si="57"/>
        <v>110.91661666666663</v>
      </c>
      <c r="M98" s="2">
        <v>37</v>
      </c>
      <c r="N98" s="2">
        <f t="shared" ca="1" si="34"/>
        <v>1</v>
      </c>
      <c r="O98" s="2">
        <f t="shared" ca="1" si="42"/>
        <v>20</v>
      </c>
      <c r="P98" s="134">
        <f t="shared" ca="1" si="19"/>
        <v>22.061382777777744</v>
      </c>
      <c r="Q98" s="134">
        <f t="shared" ca="1" si="20"/>
        <v>22.061382777777744</v>
      </c>
      <c r="R98" s="134">
        <f t="shared" ca="1" si="58"/>
        <v>1599.8799999999974</v>
      </c>
      <c r="S98" s="134">
        <f t="shared" ca="1" si="59"/>
        <v>66.67</v>
      </c>
      <c r="T98" s="134">
        <f t="shared" ca="1" si="33"/>
        <v>66.67</v>
      </c>
      <c r="U98" s="134">
        <f ca="1">IF(N99=1,R97*D$5*20/36000+R98*D$5*10/36000,IF(N99=0,IF(N98=0,0,IF(D$10&gt;20,R97*D$5*20/36000+R98*D$5*(Q$48-20)/36000,R98*D$5*Q$48/36000))))</f>
        <v>22.061382777777744</v>
      </c>
      <c r="V98" s="134">
        <f ca="1">IF(N99=1,R97*D$5*20/36000+R98*D$5*10/36000,IF(N99=0,IF(N98=0,0,IF(D$10&gt;20,R97*D$5*20/36000+R98*D$5*(Q$48-20)/36000,R98*D$5*Q$48/36000))))</f>
        <v>22.061382777777744</v>
      </c>
      <c r="W98" s="134">
        <f t="shared" ca="1" si="60"/>
        <v>53.666666666666679</v>
      </c>
      <c r="X98" s="134">
        <f t="shared" ca="1" si="61"/>
        <v>50</v>
      </c>
      <c r="Y98" s="134">
        <f t="shared" ca="1" si="43"/>
        <v>1999.8399999999967</v>
      </c>
      <c r="Z98" s="134">
        <f ca="1">IF(N99=1,Y97*D$5*20/36000+Y98*D$5*10/36000,IF(N99=0,IF(N98=0,0,IF(D$10&gt;20,Y97*D$5*20/36000+Y98*D$5*(Q$48-20)/36000,Y98*D$5*Q$48/36000))))</f>
        <v>27.576616666666624</v>
      </c>
      <c r="AA98" s="134">
        <f t="shared" ca="1" si="25"/>
        <v>27.576616666666624</v>
      </c>
      <c r="AB98" s="134">
        <f t="shared" ca="1" si="35"/>
        <v>49329.799999999923</v>
      </c>
      <c r="AC98" s="134"/>
      <c r="AD98" s="134">
        <f t="shared" ca="1" si="44"/>
        <v>0</v>
      </c>
      <c r="AE98" s="134">
        <f t="shared" ca="1" si="45"/>
        <v>0</v>
      </c>
      <c r="AF98" s="134">
        <f t="shared" ca="1" si="62"/>
        <v>0</v>
      </c>
      <c r="AG98" s="134">
        <f t="shared" ca="1" si="46"/>
        <v>0</v>
      </c>
      <c r="AH98" s="134">
        <f t="shared" ca="1" si="63"/>
        <v>0</v>
      </c>
      <c r="AI98" s="134">
        <f t="shared" ca="1" si="29"/>
        <v>0</v>
      </c>
      <c r="AJ98" s="134">
        <f t="shared" ca="1" si="47"/>
        <v>1599.8799999999974</v>
      </c>
      <c r="AK98" s="134">
        <f ca="1">IF(N99=1,AJ97*G$48*20/36000+AJ98*G$48*10/36000,IF(N99=0,IF(N98=0,0,AJ98*G$48*Q$48/36000)))</f>
        <v>0</v>
      </c>
      <c r="AL98" s="134">
        <f ca="1">IF(N99=1,AJ97*G$48*20/36000+AJ98*G$48*10/36000,IF(N99=0,IF(N98=0,0,AJ98*G$48*Q$48/36000)))</f>
        <v>0</v>
      </c>
      <c r="AM98" s="132">
        <f t="shared" ca="1" si="64"/>
        <v>2</v>
      </c>
      <c r="AN98" s="132">
        <f t="shared" ca="1" si="48"/>
        <v>2</v>
      </c>
      <c r="AO98" s="2">
        <f t="shared" ca="1" si="65"/>
        <v>2027</v>
      </c>
      <c r="AP98" s="2">
        <f t="shared" ca="1" si="49"/>
        <v>2027</v>
      </c>
      <c r="AQ98" s="2">
        <f t="shared" ca="1" si="50"/>
        <v>0</v>
      </c>
      <c r="AR98" s="2">
        <f t="shared" ca="1" si="51"/>
        <v>28</v>
      </c>
      <c r="AS98" s="2">
        <f t="shared" si="52"/>
        <v>20</v>
      </c>
      <c r="AT98" s="2">
        <f t="shared" ca="1" si="66"/>
        <v>30</v>
      </c>
      <c r="AU98" s="2"/>
      <c r="AV98" s="2"/>
      <c r="AW98" s="2"/>
      <c r="AX98" s="2"/>
      <c r="AY98" s="2"/>
      <c r="AZ98" s="2">
        <f t="shared" ca="1" si="53"/>
        <v>1</v>
      </c>
      <c r="BA98" s="2"/>
      <c r="BB98" s="2"/>
      <c r="BC98" s="2"/>
      <c r="BD98" s="2"/>
      <c r="BE98" s="2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</row>
    <row r="99" spans="1:142" s="24" customFormat="1" ht="15" customHeight="1">
      <c r="A99" s="4">
        <v>38</v>
      </c>
      <c r="B99" s="268">
        <f t="shared" ca="1" si="54"/>
        <v>46466</v>
      </c>
      <c r="C99" s="268"/>
      <c r="D99" s="269">
        <f ca="1">IF(N99=0,IF(N98=1,SUM(D$62:E98)," "),IF(N99=0," ",IF(N100=1,D$62,IF(N100=0,D$4-D$62*(M$50-1)," "))))</f>
        <v>66.67</v>
      </c>
      <c r="E99" s="269"/>
      <c r="F99" s="87">
        <f ca="1">IF(N99=0,IF(N98=1,SUM(F$62:F98)," "),IF(M$37=1,P99,IF(M$37=2,Q99," ")))</f>
        <v>21.166893611111078</v>
      </c>
      <c r="G99" s="87">
        <v>0</v>
      </c>
      <c r="H99" s="87">
        <f t="shared" ca="1" si="55"/>
        <v>87.83689361111108</v>
      </c>
      <c r="I99" s="87">
        <f t="shared" ca="1" si="56"/>
        <v>83.34</v>
      </c>
      <c r="J99" s="87">
        <f t="shared" ca="1" si="41"/>
        <v>26.458471666666625</v>
      </c>
      <c r="K99" s="87">
        <v>0</v>
      </c>
      <c r="L99" s="87">
        <f t="shared" ca="1" si="57"/>
        <v>109.79847166666663</v>
      </c>
      <c r="M99" s="2">
        <v>38</v>
      </c>
      <c r="N99" s="2">
        <f t="shared" ca="1" si="34"/>
        <v>1</v>
      </c>
      <c r="O99" s="2">
        <f t="shared" ca="1" si="42"/>
        <v>20</v>
      </c>
      <c r="P99" s="134">
        <f t="shared" ca="1" si="19"/>
        <v>21.166893611111078</v>
      </c>
      <c r="Q99" s="134">
        <f t="shared" ca="1" si="20"/>
        <v>21.166893611111078</v>
      </c>
      <c r="R99" s="134">
        <f t="shared" ca="1" si="58"/>
        <v>1533.2099999999973</v>
      </c>
      <c r="S99" s="134">
        <f t="shared" ca="1" si="59"/>
        <v>66.67</v>
      </c>
      <c r="T99" s="134">
        <f t="shared" ca="1" si="33"/>
        <v>66.67</v>
      </c>
      <c r="U99" s="134">
        <f t="shared" ref="U99:U109" ca="1" si="67">IF(N100=1,R98*D$5*20/36000+R99*D$5*10/36000,IF(N100=0,IF(N99=0,0,R99*D$5*Q$48/36000+R98*D$5*20/36000+R99*D$5*10/36000)))</f>
        <v>21.166893611111078</v>
      </c>
      <c r="V99" s="134">
        <f t="shared" ref="V99:V109" ca="1" si="68">IF(N100=1,R98*D$5*20/36000+R99*D$5*10/36000,IF(N100=0,IF(N99=0,0,R99*D$5*Q$48/36000+R98*D$5*20/36000+R99*D$5*10/36000)))</f>
        <v>21.166893611111078</v>
      </c>
      <c r="W99" s="134">
        <f t="shared" ca="1" si="60"/>
        <v>53.666666666666679</v>
      </c>
      <c r="X99" s="134">
        <f t="shared" ca="1" si="61"/>
        <v>50</v>
      </c>
      <c r="Y99" s="134">
        <f t="shared" ca="1" si="43"/>
        <v>1916.4999999999968</v>
      </c>
      <c r="Z99" s="134">
        <f t="shared" ref="Z99:Z109" ca="1" si="69">IF(N100=1,Y98*D$5*20/36000+Y99*D$5*10/36000,IF(N100=0,IF(N99=0,0,Y99*D$5*Q$48/36000+Y98*D$5*20/36000+Y99*D$5*10/36000)))</f>
        <v>26.458471666666625</v>
      </c>
      <c r="AA99" s="134">
        <f t="shared" ca="1" si="25"/>
        <v>26.458471666666625</v>
      </c>
      <c r="AB99" s="134">
        <f t="shared" ca="1" si="35"/>
        <v>47329.699999999924</v>
      </c>
      <c r="AC99" s="134"/>
      <c r="AD99" s="134">
        <f t="shared" ca="1" si="44"/>
        <v>0</v>
      </c>
      <c r="AE99" s="134">
        <f t="shared" ca="1" si="45"/>
        <v>0</v>
      </c>
      <c r="AF99" s="134">
        <f t="shared" ca="1" si="62"/>
        <v>0</v>
      </c>
      <c r="AG99" s="134">
        <f t="shared" ca="1" si="46"/>
        <v>0</v>
      </c>
      <c r="AH99" s="134">
        <f t="shared" ca="1" si="63"/>
        <v>0</v>
      </c>
      <c r="AI99" s="134">
        <f t="shared" ca="1" si="29"/>
        <v>0</v>
      </c>
      <c r="AJ99" s="134">
        <f t="shared" ca="1" si="47"/>
        <v>1533.2099999999973</v>
      </c>
      <c r="AK99" s="134">
        <f t="shared" ref="AK99:AK109" ca="1" si="70">IF(N100=1,AJ98*G$48*20/36000+AJ99*G$48*10/36000,IF(N100=0,IF(N99=0,0,AJ99*G$48*Q$48/36000+AJ98*G$48*20/36000+AJ99*G$48*10/36000)))</f>
        <v>0</v>
      </c>
      <c r="AL99" s="134">
        <f t="shared" ref="AL99:AL109" ca="1" si="71">IF(N100=1,AJ98*G$48*20/36000+AJ99*G$48*10/36000,IF(N100=0,IF(N99=0,0,AJ99*G$48*Q$48/36000+AJ98*G$48*20/36000+AJ99*G$48*10/36000)))</f>
        <v>0</v>
      </c>
      <c r="AM99" s="132">
        <f t="shared" ca="1" si="64"/>
        <v>3</v>
      </c>
      <c r="AN99" s="132">
        <f t="shared" ca="1" si="48"/>
        <v>3</v>
      </c>
      <c r="AO99" s="2">
        <f t="shared" ca="1" si="65"/>
        <v>2027</v>
      </c>
      <c r="AP99" s="2">
        <f t="shared" ca="1" si="49"/>
        <v>2027</v>
      </c>
      <c r="AQ99" s="2">
        <f t="shared" ca="1" si="50"/>
        <v>0</v>
      </c>
      <c r="AR99" s="2">
        <f t="shared" ca="1" si="51"/>
        <v>30</v>
      </c>
      <c r="AS99" s="2">
        <f t="shared" si="52"/>
        <v>20</v>
      </c>
      <c r="AT99" s="2">
        <f t="shared" ca="1" si="66"/>
        <v>28</v>
      </c>
      <c r="AU99" s="2"/>
      <c r="AV99" s="2"/>
      <c r="AW99" s="2"/>
      <c r="AX99" s="2"/>
      <c r="AY99" s="2"/>
      <c r="AZ99" s="2">
        <f t="shared" ca="1" si="53"/>
        <v>1</v>
      </c>
      <c r="BA99" s="2"/>
      <c r="BB99" s="2"/>
      <c r="BC99" s="2"/>
      <c r="BD99" s="2"/>
      <c r="BE99" s="2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</row>
    <row r="100" spans="1:142" s="24" customFormat="1" ht="15" customHeight="1">
      <c r="A100" s="4">
        <v>39</v>
      </c>
      <c r="B100" s="268">
        <f t="shared" ca="1" si="54"/>
        <v>46497</v>
      </c>
      <c r="C100" s="268"/>
      <c r="D100" s="269">
        <f ca="1">IF(N100=0,IF(N99=1,SUM(D$62:E99)," "),IF(N100=0," ",IF(N101=1,D$62,IF(N101=0,D$4-D$62*(M$50-1)," "))))</f>
        <v>66.67</v>
      </c>
      <c r="E100" s="269"/>
      <c r="F100" s="87">
        <f ca="1">IF(N100=0,IF(N99=1,SUM(F$62:F99)," "),IF(M$37=1,P100,IF(M$37=2,Q100," ")))</f>
        <v>20.272404444444412</v>
      </c>
      <c r="G100" s="87">
        <v>0</v>
      </c>
      <c r="H100" s="87">
        <f t="shared" ca="1" si="55"/>
        <v>86.942404444444406</v>
      </c>
      <c r="I100" s="87">
        <f t="shared" ca="1" si="56"/>
        <v>83.34</v>
      </c>
      <c r="J100" s="87">
        <f t="shared" ca="1" si="41"/>
        <v>25.340326666666627</v>
      </c>
      <c r="K100" s="87">
        <v>0</v>
      </c>
      <c r="L100" s="87">
        <f t="shared" ca="1" si="57"/>
        <v>108.68032666666663</v>
      </c>
      <c r="M100" s="2">
        <v>39</v>
      </c>
      <c r="N100" s="2">
        <f t="shared" ca="1" si="34"/>
        <v>1</v>
      </c>
      <c r="O100" s="2">
        <f t="shared" ca="1" si="42"/>
        <v>20</v>
      </c>
      <c r="P100" s="134">
        <f t="shared" ca="1" si="19"/>
        <v>20.272404444444412</v>
      </c>
      <c r="Q100" s="134">
        <f t="shared" ca="1" si="20"/>
        <v>20.272404444444412</v>
      </c>
      <c r="R100" s="134">
        <f t="shared" ca="1" si="58"/>
        <v>1466.5399999999972</v>
      </c>
      <c r="S100" s="134">
        <f t="shared" ca="1" si="59"/>
        <v>66.67</v>
      </c>
      <c r="T100" s="134">
        <f t="shared" ca="1" si="33"/>
        <v>66.67</v>
      </c>
      <c r="U100" s="134">
        <f t="shared" ca="1" si="67"/>
        <v>20.272404444444412</v>
      </c>
      <c r="V100" s="134">
        <f t="shared" ca="1" si="68"/>
        <v>20.272404444444412</v>
      </c>
      <c r="W100" s="134">
        <f t="shared" ca="1" si="60"/>
        <v>53.666666666666679</v>
      </c>
      <c r="X100" s="134">
        <f t="shared" ca="1" si="61"/>
        <v>50</v>
      </c>
      <c r="Y100" s="134">
        <f t="shared" ca="1" si="43"/>
        <v>1833.1599999999969</v>
      </c>
      <c r="Z100" s="134">
        <f t="shared" ca="1" si="69"/>
        <v>25.340326666666627</v>
      </c>
      <c r="AA100" s="134">
        <f t="shared" ca="1" si="25"/>
        <v>25.340326666666627</v>
      </c>
      <c r="AB100" s="134">
        <f t="shared" ca="1" si="35"/>
        <v>45329.599999999919</v>
      </c>
      <c r="AC100" s="134"/>
      <c r="AD100" s="134">
        <f t="shared" ca="1" si="44"/>
        <v>0</v>
      </c>
      <c r="AE100" s="134">
        <f t="shared" ca="1" si="45"/>
        <v>0</v>
      </c>
      <c r="AF100" s="134">
        <f t="shared" ca="1" si="62"/>
        <v>0</v>
      </c>
      <c r="AG100" s="134">
        <f t="shared" ca="1" si="46"/>
        <v>0</v>
      </c>
      <c r="AH100" s="134">
        <f t="shared" ca="1" si="63"/>
        <v>0</v>
      </c>
      <c r="AI100" s="134">
        <f t="shared" ca="1" si="29"/>
        <v>0</v>
      </c>
      <c r="AJ100" s="134">
        <f t="shared" ca="1" si="47"/>
        <v>1466.5399999999972</v>
      </c>
      <c r="AK100" s="134">
        <f t="shared" ca="1" si="70"/>
        <v>0</v>
      </c>
      <c r="AL100" s="134">
        <f t="shared" ca="1" si="71"/>
        <v>0</v>
      </c>
      <c r="AM100" s="132">
        <f t="shared" ca="1" si="64"/>
        <v>4</v>
      </c>
      <c r="AN100" s="132">
        <f t="shared" ca="1" si="48"/>
        <v>4</v>
      </c>
      <c r="AO100" s="2">
        <f t="shared" ca="1" si="65"/>
        <v>2027</v>
      </c>
      <c r="AP100" s="2">
        <f t="shared" ca="1" si="49"/>
        <v>2027</v>
      </c>
      <c r="AQ100" s="2">
        <f t="shared" ca="1" si="50"/>
        <v>0</v>
      </c>
      <c r="AR100" s="2">
        <f t="shared" ca="1" si="51"/>
        <v>30</v>
      </c>
      <c r="AS100" s="2">
        <f t="shared" si="52"/>
        <v>20</v>
      </c>
      <c r="AT100" s="2">
        <f t="shared" ca="1" si="66"/>
        <v>30</v>
      </c>
      <c r="AU100" s="2"/>
      <c r="AV100" s="2"/>
      <c r="AW100" s="2"/>
      <c r="AX100" s="2"/>
      <c r="AY100" s="2"/>
      <c r="AZ100" s="2">
        <f t="shared" ca="1" si="53"/>
        <v>1</v>
      </c>
      <c r="BA100" s="2"/>
      <c r="BB100" s="2"/>
      <c r="BC100" s="2"/>
      <c r="BD100" s="2"/>
      <c r="BE100" s="2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</row>
    <row r="101" spans="1:142" s="24" customFormat="1" ht="15" customHeight="1">
      <c r="A101" s="4">
        <v>40</v>
      </c>
      <c r="B101" s="268">
        <f t="shared" ca="1" si="54"/>
        <v>46527</v>
      </c>
      <c r="C101" s="268"/>
      <c r="D101" s="269">
        <f ca="1">IF(N101=0,IF(N100=1,SUM(D$62:E100)," "),IF(N101=0," ",IF(N102=1,D$62,IF(N102=0,D$4-D$62*(M$50-1)," "))))</f>
        <v>66.67</v>
      </c>
      <c r="E101" s="269"/>
      <c r="F101" s="87">
        <f ca="1">IF(N101=0,IF(N100=1,SUM(F$62:F100)," "),IF(M$37=1,P101,IF(M$37=2,Q101," ")))</f>
        <v>19.377915277777742</v>
      </c>
      <c r="G101" s="87">
        <v>0</v>
      </c>
      <c r="H101" s="87">
        <f t="shared" ca="1" si="55"/>
        <v>86.047915277777747</v>
      </c>
      <c r="I101" s="87">
        <f t="shared" ca="1" si="56"/>
        <v>83.34</v>
      </c>
      <c r="J101" s="87">
        <f t="shared" ca="1" si="41"/>
        <v>24.222181666666629</v>
      </c>
      <c r="K101" s="87">
        <v>0</v>
      </c>
      <c r="L101" s="87">
        <f t="shared" ca="1" si="57"/>
        <v>107.56218166666663</v>
      </c>
      <c r="M101" s="2">
        <v>40</v>
      </c>
      <c r="N101" s="2">
        <f t="shared" ca="1" si="34"/>
        <v>1</v>
      </c>
      <c r="O101" s="2">
        <f t="shared" ca="1" si="42"/>
        <v>20</v>
      </c>
      <c r="P101" s="134">
        <f t="shared" ca="1" si="19"/>
        <v>19.377915277777742</v>
      </c>
      <c r="Q101" s="134">
        <f t="shared" ca="1" si="20"/>
        <v>19.377915277777742</v>
      </c>
      <c r="R101" s="134">
        <f t="shared" ca="1" si="58"/>
        <v>1399.8699999999972</v>
      </c>
      <c r="S101" s="134">
        <f t="shared" ca="1" si="59"/>
        <v>66.67</v>
      </c>
      <c r="T101" s="134">
        <f t="shared" ca="1" si="33"/>
        <v>66.67</v>
      </c>
      <c r="U101" s="134">
        <f t="shared" ca="1" si="67"/>
        <v>19.377915277777742</v>
      </c>
      <c r="V101" s="134">
        <f t="shared" ca="1" si="68"/>
        <v>19.377915277777742</v>
      </c>
      <c r="W101" s="134">
        <f t="shared" ca="1" si="60"/>
        <v>53.666666666666679</v>
      </c>
      <c r="X101" s="134">
        <f t="shared" ca="1" si="61"/>
        <v>50</v>
      </c>
      <c r="Y101" s="134">
        <f t="shared" ca="1" si="43"/>
        <v>1749.819999999997</v>
      </c>
      <c r="Z101" s="134">
        <f t="shared" ca="1" si="69"/>
        <v>24.222181666666629</v>
      </c>
      <c r="AA101" s="134">
        <f t="shared" ca="1" si="25"/>
        <v>24.222181666666629</v>
      </c>
      <c r="AB101" s="134">
        <f t="shared" ca="1" si="35"/>
        <v>43329.499999999913</v>
      </c>
      <c r="AC101" s="134"/>
      <c r="AD101" s="134">
        <f t="shared" ca="1" si="44"/>
        <v>0</v>
      </c>
      <c r="AE101" s="134">
        <f t="shared" ca="1" si="45"/>
        <v>0</v>
      </c>
      <c r="AF101" s="134">
        <f t="shared" ca="1" si="62"/>
        <v>0</v>
      </c>
      <c r="AG101" s="134">
        <f t="shared" ca="1" si="46"/>
        <v>0</v>
      </c>
      <c r="AH101" s="134">
        <f t="shared" ca="1" si="63"/>
        <v>0</v>
      </c>
      <c r="AI101" s="134">
        <f t="shared" ca="1" si="29"/>
        <v>0</v>
      </c>
      <c r="AJ101" s="134">
        <f t="shared" ca="1" si="47"/>
        <v>1399.8699999999972</v>
      </c>
      <c r="AK101" s="134">
        <f t="shared" ca="1" si="70"/>
        <v>0</v>
      </c>
      <c r="AL101" s="134">
        <f t="shared" ca="1" si="71"/>
        <v>0</v>
      </c>
      <c r="AM101" s="132">
        <f t="shared" ca="1" si="64"/>
        <v>5</v>
      </c>
      <c r="AN101" s="132">
        <f t="shared" ca="1" si="48"/>
        <v>5</v>
      </c>
      <c r="AO101" s="2">
        <f t="shared" ca="1" si="65"/>
        <v>2027</v>
      </c>
      <c r="AP101" s="2">
        <f t="shared" ca="1" si="49"/>
        <v>2027</v>
      </c>
      <c r="AQ101" s="2">
        <f t="shared" ca="1" si="50"/>
        <v>0</v>
      </c>
      <c r="AR101" s="2">
        <f t="shared" ca="1" si="51"/>
        <v>30</v>
      </c>
      <c r="AS101" s="2">
        <f t="shared" si="52"/>
        <v>20</v>
      </c>
      <c r="AT101" s="2">
        <f t="shared" ca="1" si="66"/>
        <v>30</v>
      </c>
      <c r="AU101" s="2"/>
      <c r="AV101" s="2"/>
      <c r="AW101" s="2"/>
      <c r="AX101" s="2"/>
      <c r="AY101" s="2"/>
      <c r="AZ101" s="2">
        <f t="shared" ca="1" si="53"/>
        <v>1</v>
      </c>
      <c r="BA101" s="2"/>
      <c r="BB101" s="2"/>
      <c r="BC101" s="2"/>
      <c r="BD101" s="2"/>
      <c r="BE101" s="2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</row>
    <row r="102" spans="1:142" s="24" customFormat="1" ht="15" customHeight="1">
      <c r="A102" s="4">
        <v>41</v>
      </c>
      <c r="B102" s="268">
        <f t="shared" ca="1" si="54"/>
        <v>46558</v>
      </c>
      <c r="C102" s="268"/>
      <c r="D102" s="269">
        <f ca="1">IF(N102=0,IF(N101=1,SUM(D$62:E101)," "),IF(N102=0," ",IF(N103=1,D$62,IF(N103=0,D$4-D$62*(M$50-1)," "))))</f>
        <v>66.67</v>
      </c>
      <c r="E102" s="269"/>
      <c r="F102" s="87">
        <f ca="1">IF(N102=0,IF(N101=1,SUM(F$62:F101)," "),IF(M$37=1,P102,IF(M$37=2,Q102," ")))</f>
        <v>18.483426111111072</v>
      </c>
      <c r="G102" s="87">
        <v>0</v>
      </c>
      <c r="H102" s="87">
        <f t="shared" ca="1" si="55"/>
        <v>85.153426111111074</v>
      </c>
      <c r="I102" s="87">
        <f t="shared" ca="1" si="56"/>
        <v>83.34</v>
      </c>
      <c r="J102" s="87">
        <f t="shared" ca="1" si="41"/>
        <v>23.10403666666663</v>
      </c>
      <c r="K102" s="87">
        <v>0</v>
      </c>
      <c r="L102" s="87">
        <f t="shared" ca="1" si="57"/>
        <v>106.44403666666663</v>
      </c>
      <c r="M102" s="2">
        <v>41</v>
      </c>
      <c r="N102" s="2">
        <f t="shared" ca="1" si="34"/>
        <v>1</v>
      </c>
      <c r="O102" s="2">
        <f t="shared" ca="1" si="42"/>
        <v>20</v>
      </c>
      <c r="P102" s="134">
        <f t="shared" ca="1" si="19"/>
        <v>18.483426111111072</v>
      </c>
      <c r="Q102" s="134">
        <f t="shared" ca="1" si="20"/>
        <v>18.483426111111072</v>
      </c>
      <c r="R102" s="134">
        <f t="shared" ca="1" si="58"/>
        <v>1333.1999999999971</v>
      </c>
      <c r="S102" s="134">
        <f t="shared" ca="1" si="59"/>
        <v>66.67</v>
      </c>
      <c r="T102" s="134">
        <f t="shared" ca="1" si="33"/>
        <v>66.67</v>
      </c>
      <c r="U102" s="134">
        <f t="shared" ca="1" si="67"/>
        <v>18.483426111111072</v>
      </c>
      <c r="V102" s="134">
        <f t="shared" ca="1" si="68"/>
        <v>18.483426111111072</v>
      </c>
      <c r="W102" s="134">
        <f t="shared" ca="1" si="60"/>
        <v>53.666666666666679</v>
      </c>
      <c r="X102" s="134">
        <f t="shared" ca="1" si="61"/>
        <v>50</v>
      </c>
      <c r="Y102" s="134">
        <f t="shared" ca="1" si="43"/>
        <v>1666.4799999999971</v>
      </c>
      <c r="Z102" s="134">
        <f t="shared" ca="1" si="69"/>
        <v>23.10403666666663</v>
      </c>
      <c r="AA102" s="134">
        <f t="shared" ca="1" si="25"/>
        <v>23.10403666666663</v>
      </c>
      <c r="AB102" s="134">
        <f t="shared" ca="1" si="35"/>
        <v>41329.399999999914</v>
      </c>
      <c r="AC102" s="134"/>
      <c r="AD102" s="134">
        <f t="shared" ca="1" si="44"/>
        <v>0</v>
      </c>
      <c r="AE102" s="134">
        <f t="shared" ca="1" si="45"/>
        <v>0</v>
      </c>
      <c r="AF102" s="134">
        <f t="shared" ca="1" si="62"/>
        <v>0</v>
      </c>
      <c r="AG102" s="134">
        <f t="shared" ca="1" si="46"/>
        <v>0</v>
      </c>
      <c r="AH102" s="134">
        <f t="shared" ca="1" si="63"/>
        <v>0</v>
      </c>
      <c r="AI102" s="134">
        <f t="shared" ca="1" si="29"/>
        <v>0</v>
      </c>
      <c r="AJ102" s="134">
        <f t="shared" ca="1" si="47"/>
        <v>1333.1999999999971</v>
      </c>
      <c r="AK102" s="134">
        <f t="shared" ca="1" si="70"/>
        <v>0</v>
      </c>
      <c r="AL102" s="134">
        <f t="shared" ca="1" si="71"/>
        <v>0</v>
      </c>
      <c r="AM102" s="132">
        <f t="shared" ca="1" si="64"/>
        <v>6</v>
      </c>
      <c r="AN102" s="132">
        <f t="shared" ca="1" si="48"/>
        <v>6</v>
      </c>
      <c r="AO102" s="2">
        <f t="shared" ca="1" si="65"/>
        <v>2027</v>
      </c>
      <c r="AP102" s="2">
        <f t="shared" ca="1" si="49"/>
        <v>2027</v>
      </c>
      <c r="AQ102" s="2">
        <f t="shared" ca="1" si="50"/>
        <v>0</v>
      </c>
      <c r="AR102" s="2">
        <f t="shared" ca="1" si="51"/>
        <v>30</v>
      </c>
      <c r="AS102" s="2">
        <f t="shared" si="52"/>
        <v>20</v>
      </c>
      <c r="AT102" s="2">
        <f t="shared" ca="1" si="66"/>
        <v>30</v>
      </c>
      <c r="AU102" s="2"/>
      <c r="AV102" s="2"/>
      <c r="AW102" s="2"/>
      <c r="AX102" s="2"/>
      <c r="AY102" s="2"/>
      <c r="AZ102" s="2">
        <f t="shared" ca="1" si="53"/>
        <v>1</v>
      </c>
      <c r="BA102" s="2"/>
      <c r="BB102" s="2"/>
      <c r="BC102" s="2"/>
      <c r="BD102" s="2"/>
      <c r="BE102" s="2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</row>
    <row r="103" spans="1:142" s="24" customFormat="1" ht="15" customHeight="1">
      <c r="A103" s="4">
        <v>42</v>
      </c>
      <c r="B103" s="268">
        <f t="shared" ca="1" si="54"/>
        <v>46588</v>
      </c>
      <c r="C103" s="268"/>
      <c r="D103" s="269">
        <f ca="1">IF(N103=0,IF(N102=1,SUM(D$62:E102)," "),IF(N103=0," ",IF(N104=1,D$62,IF(N104=0,D$4-D$62*(M$50-1)," "))))</f>
        <v>66.67</v>
      </c>
      <c r="E103" s="269"/>
      <c r="F103" s="87">
        <f ca="1">IF(N103=0,IF(N102=1,SUM(F$62:F102)," "),IF(M$37=1,P103,IF(M$37=2,Q103," ")))</f>
        <v>17.588936944444406</v>
      </c>
      <c r="G103" s="87">
        <v>0</v>
      </c>
      <c r="H103" s="87">
        <f t="shared" ca="1" si="55"/>
        <v>84.2589369444444</v>
      </c>
      <c r="I103" s="87">
        <f t="shared" ca="1" si="56"/>
        <v>83.34</v>
      </c>
      <c r="J103" s="87">
        <f t="shared" ca="1" si="41"/>
        <v>21.985891666666632</v>
      </c>
      <c r="K103" s="87">
        <v>0</v>
      </c>
      <c r="L103" s="87">
        <f t="shared" ca="1" si="57"/>
        <v>105.32589166666664</v>
      </c>
      <c r="M103" s="2">
        <v>42</v>
      </c>
      <c r="N103" s="2">
        <f t="shared" ca="1" si="34"/>
        <v>1</v>
      </c>
      <c r="O103" s="2">
        <f t="shared" ca="1" si="42"/>
        <v>20</v>
      </c>
      <c r="P103" s="134">
        <f t="shared" ca="1" si="19"/>
        <v>17.588936944444406</v>
      </c>
      <c r="Q103" s="134">
        <f t="shared" ca="1" si="20"/>
        <v>17.588936944444406</v>
      </c>
      <c r="R103" s="134">
        <f t="shared" ca="1" si="58"/>
        <v>1266.529999999997</v>
      </c>
      <c r="S103" s="134">
        <f t="shared" ca="1" si="59"/>
        <v>66.67</v>
      </c>
      <c r="T103" s="134">
        <f t="shared" ca="1" si="33"/>
        <v>66.67</v>
      </c>
      <c r="U103" s="134">
        <f t="shared" ca="1" si="67"/>
        <v>17.588936944444406</v>
      </c>
      <c r="V103" s="134">
        <f t="shared" ca="1" si="68"/>
        <v>17.588936944444406</v>
      </c>
      <c r="W103" s="134">
        <f t="shared" ca="1" si="60"/>
        <v>53.666666666666679</v>
      </c>
      <c r="X103" s="134">
        <f t="shared" ca="1" si="61"/>
        <v>50</v>
      </c>
      <c r="Y103" s="134">
        <f t="shared" ca="1" si="43"/>
        <v>1583.1399999999971</v>
      </c>
      <c r="Z103" s="134">
        <f t="shared" ca="1" si="69"/>
        <v>21.985891666666632</v>
      </c>
      <c r="AA103" s="134">
        <f t="shared" ca="1" si="25"/>
        <v>21.985891666666632</v>
      </c>
      <c r="AB103" s="134">
        <f t="shared" ca="1" si="35"/>
        <v>39329.299999999916</v>
      </c>
      <c r="AC103" s="134"/>
      <c r="AD103" s="134">
        <f t="shared" ca="1" si="44"/>
        <v>0</v>
      </c>
      <c r="AE103" s="134">
        <f t="shared" ca="1" si="45"/>
        <v>0</v>
      </c>
      <c r="AF103" s="134">
        <f t="shared" ca="1" si="62"/>
        <v>0</v>
      </c>
      <c r="AG103" s="134">
        <f t="shared" ca="1" si="46"/>
        <v>0</v>
      </c>
      <c r="AH103" s="134">
        <f t="shared" ca="1" si="63"/>
        <v>0</v>
      </c>
      <c r="AI103" s="134">
        <f t="shared" ca="1" si="29"/>
        <v>0</v>
      </c>
      <c r="AJ103" s="134">
        <f t="shared" ca="1" si="47"/>
        <v>1266.529999999997</v>
      </c>
      <c r="AK103" s="134">
        <f t="shared" ca="1" si="70"/>
        <v>0</v>
      </c>
      <c r="AL103" s="134">
        <f t="shared" ca="1" si="71"/>
        <v>0</v>
      </c>
      <c r="AM103" s="132">
        <f t="shared" ca="1" si="64"/>
        <v>7</v>
      </c>
      <c r="AN103" s="132">
        <f t="shared" ca="1" si="48"/>
        <v>7</v>
      </c>
      <c r="AO103" s="2">
        <f t="shared" ca="1" si="65"/>
        <v>2027</v>
      </c>
      <c r="AP103" s="2">
        <f t="shared" ca="1" si="49"/>
        <v>2027</v>
      </c>
      <c r="AQ103" s="2">
        <f t="shared" ca="1" si="50"/>
        <v>0</v>
      </c>
      <c r="AR103" s="2">
        <f t="shared" ca="1" si="51"/>
        <v>30</v>
      </c>
      <c r="AS103" s="2">
        <f t="shared" si="52"/>
        <v>20</v>
      </c>
      <c r="AT103" s="2">
        <f t="shared" ca="1" si="66"/>
        <v>30</v>
      </c>
      <c r="AU103" s="2"/>
      <c r="AV103" s="2"/>
      <c r="AW103" s="2"/>
      <c r="AX103" s="2"/>
      <c r="AY103" s="2"/>
      <c r="AZ103" s="2">
        <f t="shared" ca="1" si="53"/>
        <v>1</v>
      </c>
      <c r="BA103" s="2"/>
      <c r="BB103" s="2"/>
      <c r="BC103" s="2"/>
      <c r="BD103" s="2"/>
      <c r="BE103" s="2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</row>
    <row r="104" spans="1:142" s="24" customFormat="1" ht="15" customHeight="1">
      <c r="A104" s="4">
        <v>43</v>
      </c>
      <c r="B104" s="268">
        <f t="shared" ca="1" si="54"/>
        <v>46619</v>
      </c>
      <c r="C104" s="268"/>
      <c r="D104" s="269">
        <f ca="1">IF(N104=0,IF(N103=1,SUM(D$62:E103)," "),IF(N104=0," ",IF(N105=1,D$62,IF(N105=0,D$4-D$62*(M$50-1)," "))))</f>
        <v>66.67</v>
      </c>
      <c r="E104" s="269"/>
      <c r="F104" s="87">
        <f ca="1">IF(N104=0,IF(N103=1,SUM(F$62:F103)," "),IF(M$37=1,P104,IF(M$37=2,Q104," ")))</f>
        <v>16.694447777777739</v>
      </c>
      <c r="G104" s="87">
        <v>0</v>
      </c>
      <c r="H104" s="87">
        <f t="shared" ca="1" si="55"/>
        <v>83.364447777777741</v>
      </c>
      <c r="I104" s="87">
        <f t="shared" ca="1" si="56"/>
        <v>83.34</v>
      </c>
      <c r="J104" s="87">
        <f t="shared" ca="1" si="41"/>
        <v>20.867746666666633</v>
      </c>
      <c r="K104" s="87">
        <v>0</v>
      </c>
      <c r="L104" s="87">
        <f t="shared" ca="1" si="57"/>
        <v>104.20774666666664</v>
      </c>
      <c r="M104" s="2">
        <v>43</v>
      </c>
      <c r="N104" s="2">
        <f t="shared" ca="1" si="34"/>
        <v>1</v>
      </c>
      <c r="O104" s="2">
        <f t="shared" ca="1" si="42"/>
        <v>20</v>
      </c>
      <c r="P104" s="134">
        <f t="shared" ca="1" si="19"/>
        <v>16.694447777777739</v>
      </c>
      <c r="Q104" s="134">
        <f t="shared" ca="1" si="20"/>
        <v>16.694447777777739</v>
      </c>
      <c r="R104" s="134">
        <f t="shared" ca="1" si="58"/>
        <v>1199.8599999999969</v>
      </c>
      <c r="S104" s="134">
        <f t="shared" ca="1" si="59"/>
        <v>66.67</v>
      </c>
      <c r="T104" s="134">
        <f t="shared" ca="1" si="33"/>
        <v>66.67</v>
      </c>
      <c r="U104" s="134">
        <f t="shared" ca="1" si="67"/>
        <v>16.694447777777739</v>
      </c>
      <c r="V104" s="134">
        <f t="shared" ca="1" si="68"/>
        <v>16.694447777777739</v>
      </c>
      <c r="W104" s="134">
        <f t="shared" ca="1" si="60"/>
        <v>53.666666666666679</v>
      </c>
      <c r="X104" s="134">
        <f t="shared" ca="1" si="61"/>
        <v>50</v>
      </c>
      <c r="Y104" s="134">
        <f t="shared" ca="1" si="43"/>
        <v>1499.7999999999972</v>
      </c>
      <c r="Z104" s="134">
        <f t="shared" ca="1" si="69"/>
        <v>20.867746666666633</v>
      </c>
      <c r="AA104" s="134">
        <f t="shared" ca="1" si="25"/>
        <v>20.867746666666633</v>
      </c>
      <c r="AB104" s="134">
        <f t="shared" ca="1" si="35"/>
        <v>37329.19999999991</v>
      </c>
      <c r="AC104" s="134"/>
      <c r="AD104" s="134">
        <f t="shared" ca="1" si="44"/>
        <v>0</v>
      </c>
      <c r="AE104" s="134">
        <f t="shared" ca="1" si="45"/>
        <v>0</v>
      </c>
      <c r="AF104" s="134">
        <f t="shared" ca="1" si="62"/>
        <v>0</v>
      </c>
      <c r="AG104" s="134">
        <f t="shared" ca="1" si="46"/>
        <v>0</v>
      </c>
      <c r="AH104" s="134">
        <f t="shared" ca="1" si="63"/>
        <v>0</v>
      </c>
      <c r="AI104" s="134">
        <f t="shared" ca="1" si="29"/>
        <v>0</v>
      </c>
      <c r="AJ104" s="134">
        <f t="shared" ca="1" si="47"/>
        <v>1199.8599999999969</v>
      </c>
      <c r="AK104" s="134">
        <f t="shared" ca="1" si="70"/>
        <v>0</v>
      </c>
      <c r="AL104" s="134">
        <f t="shared" ca="1" si="71"/>
        <v>0</v>
      </c>
      <c r="AM104" s="132">
        <f t="shared" ca="1" si="64"/>
        <v>8</v>
      </c>
      <c r="AN104" s="132">
        <f t="shared" ca="1" si="48"/>
        <v>8</v>
      </c>
      <c r="AO104" s="2">
        <f t="shared" ca="1" si="65"/>
        <v>2027</v>
      </c>
      <c r="AP104" s="2">
        <f t="shared" ca="1" si="49"/>
        <v>2027</v>
      </c>
      <c r="AQ104" s="2">
        <f t="shared" ca="1" si="50"/>
        <v>0</v>
      </c>
      <c r="AR104" s="2">
        <f t="shared" ca="1" si="51"/>
        <v>30</v>
      </c>
      <c r="AS104" s="2">
        <f t="shared" si="52"/>
        <v>20</v>
      </c>
      <c r="AT104" s="2">
        <f t="shared" ca="1" si="66"/>
        <v>30</v>
      </c>
      <c r="AU104" s="2"/>
      <c r="AV104" s="2"/>
      <c r="AW104" s="2"/>
      <c r="AX104" s="2"/>
      <c r="AY104" s="2"/>
      <c r="AZ104" s="2">
        <f t="shared" ca="1" si="53"/>
        <v>1</v>
      </c>
      <c r="BA104" s="2"/>
      <c r="BB104" s="2"/>
      <c r="BC104" s="2"/>
      <c r="BD104" s="2"/>
      <c r="BE104" s="2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</row>
    <row r="105" spans="1:142" s="24" customFormat="1" ht="15" customHeight="1">
      <c r="A105" s="4">
        <v>44</v>
      </c>
      <c r="B105" s="268">
        <f t="shared" ca="1" si="54"/>
        <v>46650</v>
      </c>
      <c r="C105" s="268"/>
      <c r="D105" s="269">
        <f ca="1">IF(N105=0,IF(N104=1,SUM(D$62:E104)," "),IF(N105=0," ",IF(N106=1,D$62,IF(N106=0,D$4-D$62*(M$50-1)," "))))</f>
        <v>66.67</v>
      </c>
      <c r="E105" s="269"/>
      <c r="F105" s="87">
        <f ca="1">IF(N105=0,IF(N104=1,SUM(F$62:F104)," "),IF(M$37=1,P105,IF(M$37=2,Q105," ")))</f>
        <v>15.799958611111073</v>
      </c>
      <c r="G105" s="87">
        <v>0</v>
      </c>
      <c r="H105" s="87">
        <f t="shared" ca="1" si="55"/>
        <v>82.469958611111082</v>
      </c>
      <c r="I105" s="87">
        <f t="shared" ca="1" si="56"/>
        <v>83.34</v>
      </c>
      <c r="J105" s="87">
        <f t="shared" ca="1" si="41"/>
        <v>19.749601666666631</v>
      </c>
      <c r="K105" s="87">
        <v>0</v>
      </c>
      <c r="L105" s="87">
        <f t="shared" ca="1" si="57"/>
        <v>103.08960166666664</v>
      </c>
      <c r="M105" s="2">
        <v>44</v>
      </c>
      <c r="N105" s="2">
        <f t="shared" ca="1" si="34"/>
        <v>1</v>
      </c>
      <c r="O105" s="2">
        <f t="shared" ca="1" si="42"/>
        <v>20</v>
      </c>
      <c r="P105" s="134">
        <f t="shared" ca="1" si="19"/>
        <v>15.799958611111073</v>
      </c>
      <c r="Q105" s="134">
        <f t="shared" ca="1" si="20"/>
        <v>15.799958611111073</v>
      </c>
      <c r="R105" s="134">
        <f t="shared" ca="1" si="58"/>
        <v>1133.1899999999969</v>
      </c>
      <c r="S105" s="134">
        <f t="shared" ca="1" si="59"/>
        <v>66.67</v>
      </c>
      <c r="T105" s="134">
        <f t="shared" ca="1" si="33"/>
        <v>66.67</v>
      </c>
      <c r="U105" s="134">
        <f t="shared" ca="1" si="67"/>
        <v>15.799958611111073</v>
      </c>
      <c r="V105" s="134">
        <f t="shared" ca="1" si="68"/>
        <v>15.799958611111073</v>
      </c>
      <c r="W105" s="134">
        <f t="shared" ca="1" si="60"/>
        <v>53.666666666666679</v>
      </c>
      <c r="X105" s="134">
        <f t="shared" ca="1" si="61"/>
        <v>50</v>
      </c>
      <c r="Y105" s="134">
        <f t="shared" ca="1" si="43"/>
        <v>1416.4599999999973</v>
      </c>
      <c r="Z105" s="134">
        <f t="shared" ca="1" si="69"/>
        <v>19.749601666666631</v>
      </c>
      <c r="AA105" s="134">
        <f t="shared" ca="1" si="25"/>
        <v>19.749601666666631</v>
      </c>
      <c r="AB105" s="134">
        <f t="shared" ca="1" si="35"/>
        <v>35329.099999999904</v>
      </c>
      <c r="AC105" s="134"/>
      <c r="AD105" s="134">
        <f t="shared" ca="1" si="44"/>
        <v>0</v>
      </c>
      <c r="AE105" s="134">
        <f t="shared" ca="1" si="45"/>
        <v>0</v>
      </c>
      <c r="AF105" s="134">
        <f t="shared" ca="1" si="62"/>
        <v>0</v>
      </c>
      <c r="AG105" s="134">
        <f t="shared" ca="1" si="46"/>
        <v>0</v>
      </c>
      <c r="AH105" s="134">
        <f t="shared" ca="1" si="63"/>
        <v>0</v>
      </c>
      <c r="AI105" s="134">
        <f t="shared" ca="1" si="29"/>
        <v>0</v>
      </c>
      <c r="AJ105" s="134">
        <f t="shared" ca="1" si="47"/>
        <v>1133.1899999999969</v>
      </c>
      <c r="AK105" s="134">
        <f t="shared" ca="1" si="70"/>
        <v>0</v>
      </c>
      <c r="AL105" s="134">
        <f t="shared" ca="1" si="71"/>
        <v>0</v>
      </c>
      <c r="AM105" s="132">
        <f t="shared" ca="1" si="64"/>
        <v>9</v>
      </c>
      <c r="AN105" s="132">
        <f t="shared" ca="1" si="48"/>
        <v>9</v>
      </c>
      <c r="AO105" s="2">
        <f t="shared" ca="1" si="65"/>
        <v>2027</v>
      </c>
      <c r="AP105" s="2">
        <f t="shared" ca="1" si="49"/>
        <v>2027</v>
      </c>
      <c r="AQ105" s="2">
        <f t="shared" ca="1" si="50"/>
        <v>0</v>
      </c>
      <c r="AR105" s="2">
        <f t="shared" ca="1" si="51"/>
        <v>30</v>
      </c>
      <c r="AS105" s="2">
        <f t="shared" si="52"/>
        <v>20</v>
      </c>
      <c r="AT105" s="2">
        <f t="shared" ca="1" si="66"/>
        <v>30</v>
      </c>
      <c r="AU105" s="2"/>
      <c r="AV105" s="2"/>
      <c r="AW105" s="2"/>
      <c r="AX105" s="2"/>
      <c r="AY105" s="2"/>
      <c r="AZ105" s="2">
        <f t="shared" ca="1" si="53"/>
        <v>1</v>
      </c>
      <c r="BA105" s="2"/>
      <c r="BB105" s="2"/>
      <c r="BC105" s="2"/>
      <c r="BD105" s="2"/>
      <c r="BE105" s="2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</row>
    <row r="106" spans="1:142" s="24" customFormat="1" ht="15" customHeight="1">
      <c r="A106" s="4">
        <v>45</v>
      </c>
      <c r="B106" s="268">
        <f t="shared" ca="1" si="54"/>
        <v>46680</v>
      </c>
      <c r="C106" s="268"/>
      <c r="D106" s="269">
        <f ca="1">IF(N106=0,IF(N105=1,SUM(D$62:E105)," "),IF(N106=0," ",IF(N107=1,D$62,IF(N107=0,D$4-D$62*(M$50-1)," "))))</f>
        <v>66.67</v>
      </c>
      <c r="E106" s="269"/>
      <c r="F106" s="87">
        <f ca="1">IF(N106=0,IF(N105=1,SUM(F$62:F105)," "),IF(M$37=1,P106,IF(M$37=2,Q106," ")))</f>
        <v>14.905469444444403</v>
      </c>
      <c r="G106" s="87">
        <v>0</v>
      </c>
      <c r="H106" s="87">
        <f t="shared" ca="1" si="55"/>
        <v>81.575469444444408</v>
      </c>
      <c r="I106" s="87">
        <f t="shared" ca="1" si="56"/>
        <v>83.34</v>
      </c>
      <c r="J106" s="87">
        <f t="shared" ca="1" si="41"/>
        <v>18.631456666666633</v>
      </c>
      <c r="K106" s="87">
        <v>0</v>
      </c>
      <c r="L106" s="87">
        <f t="shared" ca="1" si="57"/>
        <v>101.97145666666664</v>
      </c>
      <c r="M106" s="2">
        <v>45</v>
      </c>
      <c r="N106" s="2">
        <f t="shared" ca="1" si="34"/>
        <v>1</v>
      </c>
      <c r="O106" s="2">
        <f t="shared" ca="1" si="42"/>
        <v>20</v>
      </c>
      <c r="P106" s="134">
        <f t="shared" ca="1" si="19"/>
        <v>14.905469444444403</v>
      </c>
      <c r="Q106" s="134">
        <f t="shared" ca="1" si="20"/>
        <v>14.905469444444403</v>
      </c>
      <c r="R106" s="134">
        <f t="shared" ca="1" si="58"/>
        <v>1066.5199999999968</v>
      </c>
      <c r="S106" s="134">
        <f t="shared" ca="1" si="59"/>
        <v>66.67</v>
      </c>
      <c r="T106" s="134">
        <f t="shared" ca="1" si="33"/>
        <v>66.67</v>
      </c>
      <c r="U106" s="134">
        <f t="shared" ca="1" si="67"/>
        <v>14.905469444444403</v>
      </c>
      <c r="V106" s="134">
        <f t="shared" ca="1" si="68"/>
        <v>14.905469444444403</v>
      </c>
      <c r="W106" s="134">
        <f t="shared" ca="1" si="60"/>
        <v>53.666666666666679</v>
      </c>
      <c r="X106" s="134">
        <f t="shared" ca="1" si="61"/>
        <v>50</v>
      </c>
      <c r="Y106" s="134">
        <f t="shared" ca="1" si="43"/>
        <v>1333.1199999999974</v>
      </c>
      <c r="Z106" s="134">
        <f t="shared" ca="1" si="69"/>
        <v>18.631456666666633</v>
      </c>
      <c r="AA106" s="134">
        <f t="shared" ca="1" si="25"/>
        <v>18.631456666666633</v>
      </c>
      <c r="AB106" s="134">
        <f t="shared" ca="1" si="35"/>
        <v>33328.999999999905</v>
      </c>
      <c r="AC106" s="134"/>
      <c r="AD106" s="134">
        <f t="shared" ca="1" si="44"/>
        <v>0</v>
      </c>
      <c r="AE106" s="134">
        <f t="shared" ca="1" si="45"/>
        <v>0</v>
      </c>
      <c r="AF106" s="134">
        <f t="shared" ca="1" si="62"/>
        <v>0</v>
      </c>
      <c r="AG106" s="134">
        <f t="shared" ca="1" si="46"/>
        <v>0</v>
      </c>
      <c r="AH106" s="134">
        <f t="shared" ca="1" si="63"/>
        <v>0</v>
      </c>
      <c r="AI106" s="134">
        <f t="shared" ca="1" si="29"/>
        <v>0</v>
      </c>
      <c r="AJ106" s="134">
        <f t="shared" ca="1" si="47"/>
        <v>1066.5199999999968</v>
      </c>
      <c r="AK106" s="134">
        <f t="shared" ca="1" si="70"/>
        <v>0</v>
      </c>
      <c r="AL106" s="134">
        <f t="shared" ca="1" si="71"/>
        <v>0</v>
      </c>
      <c r="AM106" s="132">
        <f t="shared" ca="1" si="64"/>
        <v>10</v>
      </c>
      <c r="AN106" s="132">
        <f t="shared" ca="1" si="48"/>
        <v>10</v>
      </c>
      <c r="AO106" s="2">
        <f t="shared" ca="1" si="65"/>
        <v>2027</v>
      </c>
      <c r="AP106" s="2">
        <f t="shared" ca="1" si="49"/>
        <v>2027</v>
      </c>
      <c r="AQ106" s="2">
        <f t="shared" ca="1" si="50"/>
        <v>0</v>
      </c>
      <c r="AR106" s="2">
        <f t="shared" ca="1" si="51"/>
        <v>30</v>
      </c>
      <c r="AS106" s="2">
        <f t="shared" si="52"/>
        <v>20</v>
      </c>
      <c r="AT106" s="2">
        <f t="shared" ca="1" si="66"/>
        <v>30</v>
      </c>
      <c r="AU106" s="2"/>
      <c r="AV106" s="2"/>
      <c r="AW106" s="2"/>
      <c r="AX106" s="2"/>
      <c r="AY106" s="2"/>
      <c r="AZ106" s="2">
        <f t="shared" ca="1" si="53"/>
        <v>1</v>
      </c>
      <c r="BA106" s="2"/>
      <c r="BB106" s="2"/>
      <c r="BC106" s="2"/>
      <c r="BD106" s="2"/>
      <c r="BE106" s="2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</row>
    <row r="107" spans="1:142" s="24" customFormat="1" ht="15" customHeight="1">
      <c r="A107" s="4">
        <v>46</v>
      </c>
      <c r="B107" s="268">
        <f t="shared" ca="1" si="54"/>
        <v>46711</v>
      </c>
      <c r="C107" s="268"/>
      <c r="D107" s="269">
        <f ca="1">IF(N107=0,IF(N106=1,SUM(D$62:E106)," "),IF(N107=0," ",IF(N108=1,D$62,IF(N108=0,D$4-D$62*(M$50-1)," "))))</f>
        <v>66.67</v>
      </c>
      <c r="E107" s="269"/>
      <c r="F107" s="87">
        <f ca="1">IF(N107=0,IF(N106=1,SUM(F$62:F106)," "),IF(M$37=1,P107,IF(M$37=2,Q107," ")))</f>
        <v>14.010980277777737</v>
      </c>
      <c r="G107" s="87">
        <v>0</v>
      </c>
      <c r="H107" s="87">
        <f t="shared" ca="1" si="55"/>
        <v>80.680980277777735</v>
      </c>
      <c r="I107" s="87">
        <f t="shared" ca="1" si="56"/>
        <v>83.34</v>
      </c>
      <c r="J107" s="87">
        <f t="shared" ca="1" si="41"/>
        <v>17.513311666666635</v>
      </c>
      <c r="K107" s="87">
        <v>0</v>
      </c>
      <c r="L107" s="87">
        <f t="shared" ca="1" si="57"/>
        <v>100.85331166666664</v>
      </c>
      <c r="M107" s="2">
        <v>46</v>
      </c>
      <c r="N107" s="2">
        <f t="shared" ca="1" si="34"/>
        <v>1</v>
      </c>
      <c r="O107" s="2">
        <f t="shared" ca="1" si="42"/>
        <v>20</v>
      </c>
      <c r="P107" s="134">
        <f t="shared" ca="1" si="19"/>
        <v>14.010980277777737</v>
      </c>
      <c r="Q107" s="134">
        <f t="shared" ca="1" si="20"/>
        <v>14.010980277777737</v>
      </c>
      <c r="R107" s="134">
        <f t="shared" ca="1" si="58"/>
        <v>999.84999999999684</v>
      </c>
      <c r="S107" s="134">
        <f t="shared" ca="1" si="59"/>
        <v>66.67</v>
      </c>
      <c r="T107" s="134">
        <f t="shared" ca="1" si="33"/>
        <v>66.67</v>
      </c>
      <c r="U107" s="134">
        <f t="shared" ca="1" si="67"/>
        <v>14.010980277777737</v>
      </c>
      <c r="V107" s="134">
        <f t="shared" ca="1" si="68"/>
        <v>14.010980277777737</v>
      </c>
      <c r="W107" s="134">
        <f t="shared" ca="1" si="60"/>
        <v>53.666666666666679</v>
      </c>
      <c r="X107" s="134">
        <f t="shared" ca="1" si="61"/>
        <v>50</v>
      </c>
      <c r="Y107" s="134">
        <f t="shared" ca="1" si="43"/>
        <v>1249.7799999999975</v>
      </c>
      <c r="Z107" s="134">
        <f t="shared" ca="1" si="69"/>
        <v>17.513311666666635</v>
      </c>
      <c r="AA107" s="134">
        <f t="shared" ca="1" si="25"/>
        <v>17.513311666666635</v>
      </c>
      <c r="AB107" s="134">
        <f t="shared" ca="1" si="35"/>
        <v>31328.899999999907</v>
      </c>
      <c r="AC107" s="134"/>
      <c r="AD107" s="134">
        <f t="shared" ca="1" si="44"/>
        <v>0</v>
      </c>
      <c r="AE107" s="134">
        <f t="shared" ca="1" si="45"/>
        <v>0</v>
      </c>
      <c r="AF107" s="134">
        <f t="shared" ca="1" si="62"/>
        <v>0</v>
      </c>
      <c r="AG107" s="134">
        <f t="shared" ca="1" si="46"/>
        <v>0</v>
      </c>
      <c r="AH107" s="134">
        <f t="shared" ca="1" si="63"/>
        <v>0</v>
      </c>
      <c r="AI107" s="134">
        <f t="shared" ca="1" si="29"/>
        <v>0</v>
      </c>
      <c r="AJ107" s="134">
        <f t="shared" ca="1" si="47"/>
        <v>999.84999999999684</v>
      </c>
      <c r="AK107" s="134">
        <f t="shared" ca="1" si="70"/>
        <v>0</v>
      </c>
      <c r="AL107" s="134">
        <f t="shared" ca="1" si="71"/>
        <v>0</v>
      </c>
      <c r="AM107" s="132">
        <f t="shared" ca="1" si="64"/>
        <v>11</v>
      </c>
      <c r="AN107" s="132">
        <f t="shared" ca="1" si="48"/>
        <v>11</v>
      </c>
      <c r="AO107" s="2">
        <f t="shared" ca="1" si="65"/>
        <v>2027</v>
      </c>
      <c r="AP107" s="2">
        <f t="shared" ca="1" si="49"/>
        <v>2027</v>
      </c>
      <c r="AQ107" s="2">
        <f t="shared" ca="1" si="50"/>
        <v>0</v>
      </c>
      <c r="AR107" s="2">
        <f t="shared" ca="1" si="51"/>
        <v>30</v>
      </c>
      <c r="AS107" s="2">
        <f t="shared" si="52"/>
        <v>20</v>
      </c>
      <c r="AT107" s="2">
        <f t="shared" ca="1" si="66"/>
        <v>30</v>
      </c>
      <c r="AU107" s="2"/>
      <c r="AV107" s="2"/>
      <c r="AW107" s="2"/>
      <c r="AX107" s="2"/>
      <c r="AY107" s="2"/>
      <c r="AZ107" s="2">
        <f t="shared" ca="1" si="53"/>
        <v>1</v>
      </c>
      <c r="BA107" s="2"/>
      <c r="BB107" s="2"/>
      <c r="BC107" s="2"/>
      <c r="BD107" s="2"/>
      <c r="BE107" s="2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</row>
    <row r="108" spans="1:142" s="24" customFormat="1" ht="15" customHeight="1">
      <c r="A108" s="4">
        <v>47</v>
      </c>
      <c r="B108" s="268">
        <f t="shared" ca="1" si="54"/>
        <v>46741</v>
      </c>
      <c r="C108" s="268"/>
      <c r="D108" s="269">
        <f ca="1">IF(N108=0,IF(N107=1,SUM(D$62:E107)," "),IF(N108=0," ",IF(N109=1,D$62,IF(N109=0,D$4-D$62*(M$50-1)," "))))</f>
        <v>66.67</v>
      </c>
      <c r="E108" s="269"/>
      <c r="F108" s="87">
        <f ca="1">IF(N108=0,IF(N107=1,SUM(F$62:F107)," "),IF(M$37=1,P108,IF(M$37=2,Q108," ")))</f>
        <v>13.11649111111107</v>
      </c>
      <c r="G108" s="87">
        <v>0</v>
      </c>
      <c r="H108" s="87">
        <f t="shared" ca="1" si="55"/>
        <v>79.786491111111076</v>
      </c>
      <c r="I108" s="87">
        <f t="shared" ca="1" si="56"/>
        <v>83.34</v>
      </c>
      <c r="J108" s="87">
        <f t="shared" ca="1" si="41"/>
        <v>16.395166666666633</v>
      </c>
      <c r="K108" s="87">
        <v>0</v>
      </c>
      <c r="L108" s="87">
        <f t="shared" ca="1" si="57"/>
        <v>99.735166666666629</v>
      </c>
      <c r="M108" s="2">
        <v>47</v>
      </c>
      <c r="N108" s="2">
        <f t="shared" ca="1" si="34"/>
        <v>1</v>
      </c>
      <c r="O108" s="2">
        <f t="shared" ca="1" si="42"/>
        <v>20</v>
      </c>
      <c r="P108" s="134">
        <f t="shared" ca="1" si="19"/>
        <v>13.11649111111107</v>
      </c>
      <c r="Q108" s="134">
        <f t="shared" ca="1" si="20"/>
        <v>13.11649111111107</v>
      </c>
      <c r="R108" s="134">
        <f t="shared" ca="1" si="58"/>
        <v>933.17999999999688</v>
      </c>
      <c r="S108" s="134">
        <f t="shared" ca="1" si="59"/>
        <v>66.67</v>
      </c>
      <c r="T108" s="134">
        <f t="shared" ca="1" si="33"/>
        <v>66.67</v>
      </c>
      <c r="U108" s="134">
        <f t="shared" ca="1" si="67"/>
        <v>13.11649111111107</v>
      </c>
      <c r="V108" s="134">
        <f t="shared" ca="1" si="68"/>
        <v>13.11649111111107</v>
      </c>
      <c r="W108" s="134">
        <f t="shared" ca="1" si="60"/>
        <v>53.666666666666679</v>
      </c>
      <c r="X108" s="134">
        <f t="shared" ca="1" si="61"/>
        <v>50</v>
      </c>
      <c r="Y108" s="134">
        <f t="shared" ca="1" si="43"/>
        <v>1166.4399999999976</v>
      </c>
      <c r="Z108" s="134">
        <f t="shared" ca="1" si="69"/>
        <v>16.395166666666633</v>
      </c>
      <c r="AA108" s="134">
        <f t="shared" ca="1" si="25"/>
        <v>16.395166666666633</v>
      </c>
      <c r="AB108" s="134">
        <f t="shared" ca="1" si="35"/>
        <v>29328.799999999908</v>
      </c>
      <c r="AC108" s="134"/>
      <c r="AD108" s="134">
        <f t="shared" ca="1" si="44"/>
        <v>0</v>
      </c>
      <c r="AE108" s="134">
        <f t="shared" ca="1" si="45"/>
        <v>0</v>
      </c>
      <c r="AF108" s="134">
        <f t="shared" ca="1" si="62"/>
        <v>0</v>
      </c>
      <c r="AG108" s="134">
        <f t="shared" ca="1" si="46"/>
        <v>0</v>
      </c>
      <c r="AH108" s="134">
        <f t="shared" ca="1" si="63"/>
        <v>0</v>
      </c>
      <c r="AI108" s="134">
        <f t="shared" ca="1" si="29"/>
        <v>0</v>
      </c>
      <c r="AJ108" s="134">
        <f t="shared" ca="1" si="47"/>
        <v>933.17999999999688</v>
      </c>
      <c r="AK108" s="134">
        <f t="shared" ca="1" si="70"/>
        <v>0</v>
      </c>
      <c r="AL108" s="134">
        <f t="shared" ca="1" si="71"/>
        <v>0</v>
      </c>
      <c r="AM108" s="132">
        <f t="shared" ca="1" si="64"/>
        <v>12</v>
      </c>
      <c r="AN108" s="132">
        <f t="shared" ca="1" si="48"/>
        <v>12</v>
      </c>
      <c r="AO108" s="2">
        <f t="shared" ca="1" si="65"/>
        <v>2027</v>
      </c>
      <c r="AP108" s="2">
        <f t="shared" ca="1" si="49"/>
        <v>2027</v>
      </c>
      <c r="AQ108" s="2">
        <f t="shared" ca="1" si="50"/>
        <v>0</v>
      </c>
      <c r="AR108" s="2">
        <f t="shared" ca="1" si="51"/>
        <v>30</v>
      </c>
      <c r="AS108" s="2">
        <f t="shared" si="52"/>
        <v>20</v>
      </c>
      <c r="AT108" s="2">
        <f t="shared" ca="1" si="66"/>
        <v>30</v>
      </c>
      <c r="AU108" s="2"/>
      <c r="AV108" s="2"/>
      <c r="AW108" s="2"/>
      <c r="AX108" s="2"/>
      <c r="AY108" s="2"/>
      <c r="AZ108" s="2">
        <f t="shared" ca="1" si="53"/>
        <v>1</v>
      </c>
      <c r="BA108" s="2"/>
      <c r="BB108" s="2"/>
      <c r="BC108" s="2"/>
      <c r="BD108" s="2"/>
      <c r="BE108" s="2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</row>
    <row r="109" spans="1:142" s="24" customFormat="1" ht="15" customHeight="1">
      <c r="A109" s="4">
        <v>48</v>
      </c>
      <c r="B109" s="268">
        <f t="shared" ca="1" si="54"/>
        <v>46772</v>
      </c>
      <c r="C109" s="268"/>
      <c r="D109" s="269">
        <f ca="1">IF(N109=0,IF(N108=1,SUM(D$62:E108)," "),IF(N109=0," ",IF(N110=1,D$62,IF(N110=0,D$4-D$62*(M$50-1)," "))))</f>
        <v>66.67</v>
      </c>
      <c r="E109" s="269"/>
      <c r="F109" s="87">
        <f ca="1">IF(N109=0,IF(N108=1,SUM(F$62:F108)," "),IF(M$37=1,P109,IF(M$37=2,Q109," ")))</f>
        <v>12.222001944444404</v>
      </c>
      <c r="G109" s="87">
        <v>0</v>
      </c>
      <c r="H109" s="87">
        <f t="shared" ca="1" si="55"/>
        <v>78.892001944444402</v>
      </c>
      <c r="I109" s="87">
        <f t="shared" ca="1" si="56"/>
        <v>83.34</v>
      </c>
      <c r="J109" s="87">
        <f t="shared" ca="1" si="41"/>
        <v>15.277021666666634</v>
      </c>
      <c r="K109" s="87">
        <v>0</v>
      </c>
      <c r="L109" s="87">
        <f t="shared" ca="1" si="57"/>
        <v>98.617021666666631</v>
      </c>
      <c r="M109" s="2">
        <v>48</v>
      </c>
      <c r="N109" s="2">
        <f t="shared" ca="1" si="34"/>
        <v>1</v>
      </c>
      <c r="O109" s="2">
        <f t="shared" ca="1" si="42"/>
        <v>20</v>
      </c>
      <c r="P109" s="134">
        <f t="shared" ca="1" si="19"/>
        <v>12.222001944444404</v>
      </c>
      <c r="Q109" s="134">
        <f t="shared" ca="1" si="20"/>
        <v>12.222001944444404</v>
      </c>
      <c r="R109" s="134">
        <f t="shared" ca="1" si="58"/>
        <v>866.50999999999692</v>
      </c>
      <c r="S109" s="134">
        <f t="shared" ca="1" si="59"/>
        <v>66.67</v>
      </c>
      <c r="T109" s="134">
        <f t="shared" ca="1" si="33"/>
        <v>66.67</v>
      </c>
      <c r="U109" s="134">
        <f t="shared" ca="1" si="67"/>
        <v>12.222001944444404</v>
      </c>
      <c r="V109" s="134">
        <f t="shared" ca="1" si="68"/>
        <v>12.222001944444404</v>
      </c>
      <c r="W109" s="134">
        <f t="shared" ca="1" si="60"/>
        <v>53.666666666666679</v>
      </c>
      <c r="X109" s="134">
        <f t="shared" ca="1" si="61"/>
        <v>50</v>
      </c>
      <c r="Y109" s="134">
        <f t="shared" ca="1" si="43"/>
        <v>1083.0999999999976</v>
      </c>
      <c r="Z109" s="134">
        <f t="shared" ca="1" si="69"/>
        <v>15.277021666666634</v>
      </c>
      <c r="AA109" s="134">
        <f t="shared" ca="1" si="25"/>
        <v>15.277021666666634</v>
      </c>
      <c r="AB109" s="134">
        <f t="shared" ca="1" si="35"/>
        <v>27328.699999999906</v>
      </c>
      <c r="AC109" s="134"/>
      <c r="AD109" s="134">
        <f t="shared" ca="1" si="44"/>
        <v>0</v>
      </c>
      <c r="AE109" s="134">
        <f t="shared" ca="1" si="45"/>
        <v>0</v>
      </c>
      <c r="AF109" s="134">
        <f t="shared" ca="1" si="62"/>
        <v>0</v>
      </c>
      <c r="AG109" s="134">
        <f t="shared" ca="1" si="46"/>
        <v>0</v>
      </c>
      <c r="AH109" s="134">
        <f t="shared" ca="1" si="63"/>
        <v>0</v>
      </c>
      <c r="AI109" s="134">
        <f t="shared" ca="1" si="29"/>
        <v>0</v>
      </c>
      <c r="AJ109" s="134">
        <f t="shared" ca="1" si="47"/>
        <v>866.50999999999692</v>
      </c>
      <c r="AK109" s="134">
        <f t="shared" ca="1" si="70"/>
        <v>0</v>
      </c>
      <c r="AL109" s="134">
        <f t="shared" ca="1" si="71"/>
        <v>0</v>
      </c>
      <c r="AM109" s="132">
        <f t="shared" ca="1" si="64"/>
        <v>13</v>
      </c>
      <c r="AN109" s="132">
        <f t="shared" ca="1" si="48"/>
        <v>1</v>
      </c>
      <c r="AO109" s="2">
        <f t="shared" ca="1" si="65"/>
        <v>2027</v>
      </c>
      <c r="AP109" s="2">
        <f t="shared" ca="1" si="49"/>
        <v>2028</v>
      </c>
      <c r="AQ109" s="2">
        <f t="shared" ca="1" si="50"/>
        <v>0</v>
      </c>
      <c r="AR109" s="2">
        <f t="shared" ca="1" si="51"/>
        <v>30</v>
      </c>
      <c r="AS109" s="2">
        <f t="shared" si="52"/>
        <v>20</v>
      </c>
      <c r="AT109" s="2">
        <f t="shared" ca="1" si="66"/>
        <v>30</v>
      </c>
      <c r="AU109" s="2"/>
      <c r="AV109" s="2"/>
      <c r="AW109" s="2"/>
      <c r="AX109" s="2"/>
      <c r="AY109" s="2"/>
      <c r="AZ109" s="2">
        <f t="shared" ca="1" si="53"/>
        <v>1</v>
      </c>
      <c r="BA109" s="2"/>
      <c r="BB109" s="2"/>
      <c r="BC109" s="2"/>
      <c r="BD109" s="2"/>
      <c r="BE109" s="2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</row>
    <row r="110" spans="1:142" s="24" customFormat="1" ht="15" customHeight="1">
      <c r="A110" s="4">
        <v>49</v>
      </c>
      <c r="B110" s="268">
        <f t="shared" ca="1" si="54"/>
        <v>46803</v>
      </c>
      <c r="C110" s="268"/>
      <c r="D110" s="269">
        <f ca="1">IF(N110=0,IF(N109=1,SUM(D$62:E109)," "),IF(N110=0," ",IF(N111=1,D$62,IF(N111=0,D$4-D$62*(M$50-1)," "))))</f>
        <v>66.67</v>
      </c>
      <c r="E110" s="269"/>
      <c r="F110" s="87">
        <f ca="1">IF(N110=0,IF(N109=1,SUM(F$62:F109)," "),IF(M$37=1,P110,IF(M$37=2,Q110," ")))</f>
        <v>11.327512777777738</v>
      </c>
      <c r="G110" s="87">
        <v>0</v>
      </c>
      <c r="H110" s="87">
        <f t="shared" ca="1" si="55"/>
        <v>77.997512777777743</v>
      </c>
      <c r="I110" s="87">
        <f t="shared" ca="1" si="56"/>
        <v>83.34</v>
      </c>
      <c r="J110" s="87">
        <f t="shared" ca="1" si="41"/>
        <v>14.158876666666636</v>
      </c>
      <c r="K110" s="87">
        <v>0</v>
      </c>
      <c r="L110" s="87">
        <f t="shared" ca="1" si="57"/>
        <v>97.498876666666632</v>
      </c>
      <c r="M110" s="2">
        <v>49</v>
      </c>
      <c r="N110" s="2">
        <f t="shared" ca="1" si="34"/>
        <v>1</v>
      </c>
      <c r="O110" s="2">
        <f t="shared" ca="1" si="42"/>
        <v>20</v>
      </c>
      <c r="P110" s="134">
        <f t="shared" ca="1" si="19"/>
        <v>11.327512777777738</v>
      </c>
      <c r="Q110" s="134">
        <f t="shared" ca="1" si="20"/>
        <v>11.327512777777738</v>
      </c>
      <c r="R110" s="134">
        <f t="shared" ca="1" si="58"/>
        <v>799.83999999999696</v>
      </c>
      <c r="S110" s="134">
        <f t="shared" ca="1" si="59"/>
        <v>66.67</v>
      </c>
      <c r="T110" s="134">
        <f t="shared" ca="1" si="33"/>
        <v>66.67</v>
      </c>
      <c r="U110" s="134">
        <f ca="1">IF(N111=1,R109*D$5*20/36000+R110*D$5*10/36000,IF(N111=0,IF(N110=0,0,IF(D$10&gt;20,R109*D$5*20/36000+R110*D$5*(Q$48-20)/36000,R110*D$5*Q$48/36000))))</f>
        <v>11.327512777777738</v>
      </c>
      <c r="V110" s="134">
        <f ca="1">IF(N111=1,R109*D$5*20/36000+R110*D$5*10/36000,IF(N111=0,IF(N110=0,0,IF(D$10&gt;20,R109*D$5*20/36000+R110*D$5*(Q$48-20)/36000,R110*D$5*Q$48/36000))))</f>
        <v>11.327512777777738</v>
      </c>
      <c r="W110" s="134">
        <f t="shared" ca="1" si="60"/>
        <v>53.666666666666679</v>
      </c>
      <c r="X110" s="134">
        <f t="shared" ca="1" si="61"/>
        <v>50</v>
      </c>
      <c r="Y110" s="134">
        <f t="shared" ca="1" si="43"/>
        <v>999.7599999999976</v>
      </c>
      <c r="Z110" s="134">
        <f ca="1">IF(N111=1,Y109*D$5*20/36000+Y110*D$5*10/36000,IF(N111=0,IF(N110=0,0,IF(D$10&gt;20,Y109*D$5*20/36000+Y110*D$5*(Q$48-20)/36000,Y110*D$5*Q$48/36000))))</f>
        <v>14.158876666666636</v>
      </c>
      <c r="AA110" s="134">
        <f t="shared" ca="1" si="25"/>
        <v>14.158876666666636</v>
      </c>
      <c r="AB110" s="134">
        <f t="shared" ca="1" si="35"/>
        <v>25328.599999999908</v>
      </c>
      <c r="AC110" s="134"/>
      <c r="AD110" s="134">
        <f t="shared" ca="1" si="44"/>
        <v>0</v>
      </c>
      <c r="AE110" s="134">
        <f t="shared" ca="1" si="45"/>
        <v>0</v>
      </c>
      <c r="AF110" s="134">
        <f t="shared" ca="1" si="62"/>
        <v>0</v>
      </c>
      <c r="AG110" s="134">
        <f t="shared" ca="1" si="46"/>
        <v>0</v>
      </c>
      <c r="AH110" s="134">
        <f t="shared" ca="1" si="63"/>
        <v>0</v>
      </c>
      <c r="AI110" s="134">
        <f t="shared" ca="1" si="29"/>
        <v>0</v>
      </c>
      <c r="AJ110" s="134">
        <f t="shared" ca="1" si="47"/>
        <v>799.83999999999696</v>
      </c>
      <c r="AK110" s="134">
        <f ca="1">IF(N111=1,AJ109*G$48*20/36000+AJ110*G$48*10/36000,IF(N111=0,IF(N110=0,0,AJ110*G$48*Q$48/36000)))</f>
        <v>0</v>
      </c>
      <c r="AL110" s="134">
        <f ca="1">IF(N111=1,AJ109*G$48*20/36000+AJ110*G$48*10/36000,IF(N111=0,IF(N110=0,0,AJ110*G$48*Q$48/36000)))</f>
        <v>0</v>
      </c>
      <c r="AM110" s="132">
        <f t="shared" ca="1" si="64"/>
        <v>2</v>
      </c>
      <c r="AN110" s="132">
        <f t="shared" ca="1" si="48"/>
        <v>2</v>
      </c>
      <c r="AO110" s="2">
        <f t="shared" ca="1" si="65"/>
        <v>2028</v>
      </c>
      <c r="AP110" s="2">
        <f t="shared" ca="1" si="49"/>
        <v>2028</v>
      </c>
      <c r="AQ110" s="2">
        <f t="shared" ca="1" si="50"/>
        <v>1</v>
      </c>
      <c r="AR110" s="2">
        <f t="shared" ca="1" si="51"/>
        <v>29</v>
      </c>
      <c r="AS110" s="2">
        <f t="shared" si="52"/>
        <v>20</v>
      </c>
      <c r="AT110" s="2">
        <f t="shared" ca="1" si="66"/>
        <v>30</v>
      </c>
      <c r="AU110" s="2"/>
      <c r="AV110" s="2"/>
      <c r="AW110" s="2"/>
      <c r="AX110" s="2"/>
      <c r="AY110" s="2"/>
      <c r="AZ110" s="2">
        <f t="shared" ca="1" si="53"/>
        <v>1</v>
      </c>
      <c r="BA110" s="2"/>
      <c r="BB110" s="2"/>
      <c r="BC110" s="2"/>
      <c r="BD110" s="2"/>
      <c r="BE110" s="2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</row>
    <row r="111" spans="1:142" s="24" customFormat="1" ht="15" customHeight="1">
      <c r="A111" s="4"/>
      <c r="B111" s="268">
        <f t="shared" ca="1" si="54"/>
        <v>46832</v>
      </c>
      <c r="C111" s="268"/>
      <c r="D111" s="269">
        <f ca="1">IF(N111=0,IF(N110=1,SUM(D$62:E110)," "),IF(N111=0," ",IF(N112=1,D$62,IF(N112=0,D$4-D$62*(M$50-1)," "))))</f>
        <v>66.67</v>
      </c>
      <c r="E111" s="269"/>
      <c r="F111" s="87">
        <f ca="1">IF(N111=0,IF(N110=1,SUM(F$62:F110)," "),IF(M$37=1,P111,IF(M$37=2,Q111," ")))</f>
        <v>10.433023611111071</v>
      </c>
      <c r="G111" s="87">
        <v>0</v>
      </c>
      <c r="H111" s="87">
        <f t="shared" ca="1" si="55"/>
        <v>77.10302361111107</v>
      </c>
      <c r="I111" s="87">
        <f t="shared" ca="1" si="56"/>
        <v>83.34</v>
      </c>
      <c r="J111" s="87">
        <f t="shared" ca="1" si="41"/>
        <v>13.040731666666634</v>
      </c>
      <c r="K111" s="87">
        <v>0</v>
      </c>
      <c r="L111" s="87">
        <f t="shared" ca="1" si="57"/>
        <v>96.380731666666634</v>
      </c>
      <c r="M111" s="2">
        <v>50</v>
      </c>
      <c r="N111" s="2">
        <f t="shared" ca="1" si="34"/>
        <v>1</v>
      </c>
      <c r="O111" s="2">
        <f t="shared" ca="1" si="42"/>
        <v>20</v>
      </c>
      <c r="P111" s="134">
        <f t="shared" ca="1" si="19"/>
        <v>10.433023611111071</v>
      </c>
      <c r="Q111" s="134">
        <f t="shared" ca="1" si="20"/>
        <v>10.433023611111071</v>
      </c>
      <c r="R111" s="134">
        <f t="shared" ca="1" si="58"/>
        <v>733.169999999997</v>
      </c>
      <c r="S111" s="134">
        <f t="shared" ca="1" si="59"/>
        <v>66.67</v>
      </c>
      <c r="T111" s="134">
        <f t="shared" ca="1" si="33"/>
        <v>66.67</v>
      </c>
      <c r="U111" s="134">
        <f t="shared" ref="U111:U121" ca="1" si="72">IF(N112=1,R110*D$5*20/36000+R111*D$5*10/36000,IF(N112=0,IF(N111=0,0,R111*D$5*Q$48/36000+R110*D$5*20/36000+R111*D$5*10/36000)))</f>
        <v>10.433023611111071</v>
      </c>
      <c r="V111" s="134">
        <f t="shared" ref="V111:V121" ca="1" si="73">IF(N112=1,R110*D$5*20/36000+R111*D$5*10/36000,IF(N112=0,IF(N111=0,0,R111*D$5*Q$48/36000+R110*D$5*20/36000+R111*D$5*10/36000)))</f>
        <v>10.433023611111071</v>
      </c>
      <c r="W111" s="134">
        <f t="shared" ca="1" si="60"/>
        <v>53.666666666666679</v>
      </c>
      <c r="X111" s="134">
        <f t="shared" ca="1" si="61"/>
        <v>50</v>
      </c>
      <c r="Y111" s="134">
        <f t="shared" ca="1" si="43"/>
        <v>916.41999999999757</v>
      </c>
      <c r="Z111" s="134">
        <f t="shared" ref="Z111:Z121" ca="1" si="74">IF(N112=1,Y110*D$5*20/36000+Y111*D$5*10/36000,IF(N112=0,IF(N111=0,0,Y111*D$5*Q$48/36000+Y110*D$5*20/36000+Y111*D$5*10/36000)))</f>
        <v>13.040731666666634</v>
      </c>
      <c r="AA111" s="134">
        <f t="shared" ca="1" si="25"/>
        <v>13.040731666666634</v>
      </c>
      <c r="AB111" s="134">
        <f t="shared" ca="1" si="35"/>
        <v>23328.499999999909</v>
      </c>
      <c r="AC111" s="134"/>
      <c r="AD111" s="134">
        <f t="shared" ca="1" si="44"/>
        <v>0</v>
      </c>
      <c r="AE111" s="134">
        <f t="shared" ca="1" si="45"/>
        <v>0</v>
      </c>
      <c r="AF111" s="134">
        <f t="shared" ca="1" si="62"/>
        <v>0</v>
      </c>
      <c r="AG111" s="134">
        <f t="shared" ca="1" si="46"/>
        <v>0</v>
      </c>
      <c r="AH111" s="134">
        <f t="shared" ca="1" si="63"/>
        <v>0</v>
      </c>
      <c r="AI111" s="134">
        <f t="shared" ca="1" si="29"/>
        <v>0</v>
      </c>
      <c r="AJ111" s="134">
        <f t="shared" ca="1" si="47"/>
        <v>733.169999999997</v>
      </c>
      <c r="AK111" s="134">
        <f t="shared" ref="AK111:AK121" ca="1" si="75">IF(N112=1,AJ110*G$48*20/36000+AJ111*G$48*10/36000,IF(N112=0,IF(N111=0,0,AJ111*G$48*Q$48/36000+AJ110*G$48*20/36000+AJ111*G$48*10/36000)))</f>
        <v>0</v>
      </c>
      <c r="AL111" s="134">
        <f t="shared" ref="AL111:AL121" ca="1" si="76">IF(N112=1,AJ110*G$48*20/36000+AJ111*G$48*10/36000,IF(N112=0,IF(N111=0,0,AJ111*G$48*Q$48/36000+AJ110*G$48*20/36000+AJ111*G$48*10/36000)))</f>
        <v>0</v>
      </c>
      <c r="AM111" s="132">
        <f t="shared" ca="1" si="64"/>
        <v>3</v>
      </c>
      <c r="AN111" s="132">
        <f t="shared" ca="1" si="48"/>
        <v>3</v>
      </c>
      <c r="AO111" s="2">
        <f t="shared" ca="1" si="65"/>
        <v>2028</v>
      </c>
      <c r="AP111" s="2">
        <f t="shared" ca="1" si="49"/>
        <v>2028</v>
      </c>
      <c r="AQ111" s="2">
        <f t="shared" ca="1" si="50"/>
        <v>1</v>
      </c>
      <c r="AR111" s="2">
        <f t="shared" ca="1" si="51"/>
        <v>30</v>
      </c>
      <c r="AS111" s="2">
        <f t="shared" si="52"/>
        <v>20</v>
      </c>
      <c r="AT111" s="2">
        <f t="shared" ca="1" si="66"/>
        <v>29</v>
      </c>
      <c r="AU111" s="2"/>
      <c r="AV111" s="2"/>
      <c r="AW111" s="2"/>
      <c r="AX111" s="2"/>
      <c r="AY111" s="2"/>
      <c r="AZ111" s="2">
        <f t="shared" ca="1" si="53"/>
        <v>1</v>
      </c>
      <c r="BA111" s="2"/>
      <c r="BB111" s="2"/>
      <c r="BC111" s="2"/>
      <c r="BD111" s="2"/>
      <c r="BE111" s="2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</row>
    <row r="112" spans="1:142" s="24" customFormat="1" ht="15" customHeight="1">
      <c r="A112" s="4"/>
      <c r="B112" s="268">
        <f t="shared" ca="1" si="54"/>
        <v>46863</v>
      </c>
      <c r="C112" s="268"/>
      <c r="D112" s="269">
        <f ca="1">IF(N112=0,IF(N111=1,SUM(D$62:E111)," "),IF(N112=0," ",IF(N113=1,D$62,IF(N113=0,D$4-D$62*(M$50-1)," "))))</f>
        <v>66.67</v>
      </c>
      <c r="E112" s="269"/>
      <c r="F112" s="87">
        <f ca="1">IF(N112=0,IF(N111=1,SUM(F$62:F111)," "),IF(M$37=1,P112,IF(M$37=2,Q112," ")))</f>
        <v>9.5385344444444051</v>
      </c>
      <c r="G112" s="87">
        <v>0</v>
      </c>
      <c r="H112" s="87">
        <f t="shared" ca="1" si="55"/>
        <v>76.20853444444441</v>
      </c>
      <c r="I112" s="87">
        <f t="shared" ca="1" si="56"/>
        <v>83.34</v>
      </c>
      <c r="J112" s="87">
        <f t="shared" ca="1" si="41"/>
        <v>11.922586666666636</v>
      </c>
      <c r="K112" s="87">
        <v>0</v>
      </c>
      <c r="L112" s="87">
        <f t="shared" ca="1" si="57"/>
        <v>95.262586666666635</v>
      </c>
      <c r="M112" s="2">
        <v>51</v>
      </c>
      <c r="N112" s="2">
        <f t="shared" ca="1" si="34"/>
        <v>1</v>
      </c>
      <c r="O112" s="2">
        <f t="shared" ca="1" si="42"/>
        <v>20</v>
      </c>
      <c r="P112" s="134">
        <f t="shared" ca="1" si="19"/>
        <v>9.5385344444444051</v>
      </c>
      <c r="Q112" s="134">
        <f t="shared" ca="1" si="20"/>
        <v>9.5385344444444051</v>
      </c>
      <c r="R112" s="134">
        <f t="shared" ca="1" si="58"/>
        <v>666.49999999999704</v>
      </c>
      <c r="S112" s="134">
        <f t="shared" ca="1" si="59"/>
        <v>66.67</v>
      </c>
      <c r="T112" s="134">
        <f t="shared" ca="1" si="33"/>
        <v>66.67</v>
      </c>
      <c r="U112" s="134">
        <f t="shared" ca="1" si="72"/>
        <v>9.5385344444444051</v>
      </c>
      <c r="V112" s="134">
        <f t="shared" ca="1" si="73"/>
        <v>9.5385344444444051</v>
      </c>
      <c r="W112" s="134">
        <f t="shared" ca="1" si="60"/>
        <v>53.666666666666679</v>
      </c>
      <c r="X112" s="134">
        <f t="shared" ca="1" si="61"/>
        <v>50</v>
      </c>
      <c r="Y112" s="134">
        <f t="shared" ca="1" si="43"/>
        <v>833.07999999999754</v>
      </c>
      <c r="Z112" s="134">
        <f t="shared" ca="1" si="74"/>
        <v>11.922586666666636</v>
      </c>
      <c r="AA112" s="134">
        <f t="shared" ca="1" si="25"/>
        <v>11.922586666666636</v>
      </c>
      <c r="AB112" s="134">
        <f t="shared" ca="1" si="35"/>
        <v>21328.399999999911</v>
      </c>
      <c r="AC112" s="134"/>
      <c r="AD112" s="134">
        <f t="shared" ca="1" si="44"/>
        <v>0</v>
      </c>
      <c r="AE112" s="134">
        <f t="shared" ca="1" si="45"/>
        <v>0</v>
      </c>
      <c r="AF112" s="134">
        <f t="shared" ca="1" si="62"/>
        <v>0</v>
      </c>
      <c r="AG112" s="134">
        <f t="shared" ca="1" si="46"/>
        <v>0</v>
      </c>
      <c r="AH112" s="134">
        <f t="shared" ca="1" si="63"/>
        <v>0</v>
      </c>
      <c r="AI112" s="134">
        <f t="shared" ca="1" si="29"/>
        <v>0</v>
      </c>
      <c r="AJ112" s="134">
        <f t="shared" ca="1" si="47"/>
        <v>666.49999999999704</v>
      </c>
      <c r="AK112" s="134">
        <f t="shared" ca="1" si="75"/>
        <v>0</v>
      </c>
      <c r="AL112" s="134">
        <f t="shared" ca="1" si="76"/>
        <v>0</v>
      </c>
      <c r="AM112" s="132">
        <f t="shared" ca="1" si="64"/>
        <v>4</v>
      </c>
      <c r="AN112" s="132">
        <f t="shared" ca="1" si="48"/>
        <v>4</v>
      </c>
      <c r="AO112" s="2">
        <f t="shared" ca="1" si="65"/>
        <v>2028</v>
      </c>
      <c r="AP112" s="2">
        <f t="shared" ca="1" si="49"/>
        <v>2028</v>
      </c>
      <c r="AQ112" s="2">
        <f t="shared" ca="1" si="50"/>
        <v>1</v>
      </c>
      <c r="AR112" s="2">
        <f t="shared" ca="1" si="51"/>
        <v>30</v>
      </c>
      <c r="AS112" s="2">
        <f t="shared" si="52"/>
        <v>20</v>
      </c>
      <c r="AT112" s="2">
        <f t="shared" ca="1" si="66"/>
        <v>30</v>
      </c>
      <c r="AU112" s="2"/>
      <c r="AV112" s="2"/>
      <c r="AW112" s="2"/>
      <c r="AX112" s="2"/>
      <c r="AY112" s="2"/>
      <c r="AZ112" s="2">
        <f t="shared" ca="1" si="53"/>
        <v>1</v>
      </c>
      <c r="BA112" s="2"/>
      <c r="BB112" s="2"/>
      <c r="BC112" s="2"/>
      <c r="BD112" s="2"/>
      <c r="BE112" s="2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</row>
    <row r="113" spans="1:142" s="24" customFormat="1" ht="15" customHeight="1">
      <c r="A113" s="4"/>
      <c r="B113" s="268">
        <f t="shared" ca="1" si="54"/>
        <v>46893</v>
      </c>
      <c r="C113" s="268"/>
      <c r="D113" s="269">
        <f ca="1">IF(N113=0,IF(N112=1,SUM(D$62:E112)," "),IF(N113=0," ",IF(N114=1,D$62,IF(N114=0,D$4-D$62*(M$50-1)," "))))</f>
        <v>66.67</v>
      </c>
      <c r="E113" s="269"/>
      <c r="F113" s="87">
        <f ca="1">IF(N113=0,IF(N112=1,SUM(F$62:F112)," "),IF(M$37=1,P113,IF(M$37=2,Q113," ")))</f>
        <v>8.6440452777777388</v>
      </c>
      <c r="G113" s="87">
        <v>0</v>
      </c>
      <c r="H113" s="87">
        <f t="shared" ca="1" si="55"/>
        <v>75.314045277777737</v>
      </c>
      <c r="I113" s="87">
        <f t="shared" ca="1" si="56"/>
        <v>83.34</v>
      </c>
      <c r="J113" s="87">
        <f t="shared" ca="1" si="41"/>
        <v>10.804441666666635</v>
      </c>
      <c r="K113" s="87">
        <v>0</v>
      </c>
      <c r="L113" s="87">
        <f t="shared" ca="1" si="57"/>
        <v>94.144441666666637</v>
      </c>
      <c r="M113" s="2">
        <v>52</v>
      </c>
      <c r="N113" s="2">
        <f t="shared" ca="1" si="34"/>
        <v>1</v>
      </c>
      <c r="O113" s="2">
        <f t="shared" ca="1" si="42"/>
        <v>20</v>
      </c>
      <c r="P113" s="134">
        <f t="shared" ca="1" si="19"/>
        <v>8.6440452777777388</v>
      </c>
      <c r="Q113" s="134">
        <f t="shared" ca="1" si="20"/>
        <v>8.6440452777777388</v>
      </c>
      <c r="R113" s="134">
        <f t="shared" ca="1" si="58"/>
        <v>599.82999999999709</v>
      </c>
      <c r="S113" s="134">
        <f t="shared" ca="1" si="59"/>
        <v>66.67</v>
      </c>
      <c r="T113" s="134">
        <f t="shared" ca="1" si="33"/>
        <v>66.67</v>
      </c>
      <c r="U113" s="134">
        <f t="shared" ca="1" si="72"/>
        <v>8.6440452777777388</v>
      </c>
      <c r="V113" s="134">
        <f t="shared" ca="1" si="73"/>
        <v>8.6440452777777388</v>
      </c>
      <c r="W113" s="134">
        <f t="shared" ca="1" si="60"/>
        <v>53.666666666666679</v>
      </c>
      <c r="X113" s="134">
        <f t="shared" ca="1" si="61"/>
        <v>50</v>
      </c>
      <c r="Y113" s="134">
        <f t="shared" ca="1" si="43"/>
        <v>749.73999999999751</v>
      </c>
      <c r="Z113" s="134">
        <f t="shared" ca="1" si="74"/>
        <v>10.804441666666635</v>
      </c>
      <c r="AA113" s="134">
        <f t="shared" ca="1" si="25"/>
        <v>10.804441666666635</v>
      </c>
      <c r="AB113" s="134">
        <f t="shared" ca="1" si="35"/>
        <v>19328.299999999912</v>
      </c>
      <c r="AC113" s="134"/>
      <c r="AD113" s="134">
        <f t="shared" ca="1" si="44"/>
        <v>0</v>
      </c>
      <c r="AE113" s="134">
        <f t="shared" ca="1" si="45"/>
        <v>0</v>
      </c>
      <c r="AF113" s="134">
        <f t="shared" ca="1" si="62"/>
        <v>0</v>
      </c>
      <c r="AG113" s="134">
        <f t="shared" ca="1" si="46"/>
        <v>0</v>
      </c>
      <c r="AH113" s="134">
        <f t="shared" ca="1" si="63"/>
        <v>0</v>
      </c>
      <c r="AI113" s="134">
        <f t="shared" ca="1" si="29"/>
        <v>0</v>
      </c>
      <c r="AJ113" s="134">
        <f t="shared" ca="1" si="47"/>
        <v>599.82999999999709</v>
      </c>
      <c r="AK113" s="134">
        <f t="shared" ca="1" si="75"/>
        <v>0</v>
      </c>
      <c r="AL113" s="134">
        <f t="shared" ca="1" si="76"/>
        <v>0</v>
      </c>
      <c r="AM113" s="132">
        <f t="shared" ca="1" si="64"/>
        <v>5</v>
      </c>
      <c r="AN113" s="132">
        <f t="shared" ca="1" si="48"/>
        <v>5</v>
      </c>
      <c r="AO113" s="2">
        <f t="shared" ca="1" si="65"/>
        <v>2028</v>
      </c>
      <c r="AP113" s="2">
        <f t="shared" ca="1" si="49"/>
        <v>2028</v>
      </c>
      <c r="AQ113" s="2">
        <f t="shared" ca="1" si="50"/>
        <v>1</v>
      </c>
      <c r="AR113" s="2">
        <f t="shared" ca="1" si="51"/>
        <v>30</v>
      </c>
      <c r="AS113" s="2">
        <f t="shared" si="52"/>
        <v>20</v>
      </c>
      <c r="AT113" s="2">
        <f t="shared" ca="1" si="66"/>
        <v>30</v>
      </c>
      <c r="AU113" s="2"/>
      <c r="AV113" s="2"/>
      <c r="AW113" s="2"/>
      <c r="AX113" s="2"/>
      <c r="AY113" s="2"/>
      <c r="AZ113" s="2">
        <f t="shared" ca="1" si="53"/>
        <v>1</v>
      </c>
      <c r="BA113" s="2"/>
      <c r="BB113" s="2"/>
      <c r="BC113" s="2"/>
      <c r="BD113" s="2"/>
      <c r="BE113" s="2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</row>
    <row r="114" spans="1:142" s="24" customFormat="1" ht="15" customHeight="1">
      <c r="A114" s="4"/>
      <c r="B114" s="268">
        <f t="shared" ca="1" si="54"/>
        <v>46924</v>
      </c>
      <c r="C114" s="268"/>
      <c r="D114" s="269">
        <f ca="1">IF(N114=0,IF(N113=1,SUM(D$62:E113)," "),IF(N114=0," ",IF(N115=1,D$62,IF(N115=0,D$4-D$62*(M$50-1)," "))))</f>
        <v>66.67</v>
      </c>
      <c r="E114" s="269"/>
      <c r="F114" s="87">
        <f ca="1">IF(N114=0,IF(N113=1,SUM(F$62:F113)," "),IF(M$37=1,P114,IF(M$37=2,Q114," ")))</f>
        <v>7.7495561111110733</v>
      </c>
      <c r="G114" s="87">
        <v>0</v>
      </c>
      <c r="H114" s="87">
        <f t="shared" ca="1" si="55"/>
        <v>74.419556111111078</v>
      </c>
      <c r="I114" s="87">
        <f t="shared" ca="1" si="56"/>
        <v>83.34</v>
      </c>
      <c r="J114" s="87">
        <f t="shared" ca="1" si="41"/>
        <v>9.6862966666666335</v>
      </c>
      <c r="K114" s="87">
        <v>0</v>
      </c>
      <c r="L114" s="87">
        <f t="shared" ca="1" si="57"/>
        <v>93.026296666666639</v>
      </c>
      <c r="M114" s="2">
        <v>53</v>
      </c>
      <c r="N114" s="2">
        <f t="shared" ca="1" si="34"/>
        <v>1</v>
      </c>
      <c r="O114" s="2">
        <f t="shared" ca="1" si="42"/>
        <v>20</v>
      </c>
      <c r="P114" s="134">
        <f t="shared" ca="1" si="19"/>
        <v>7.7495561111110733</v>
      </c>
      <c r="Q114" s="134">
        <f t="shared" ca="1" si="20"/>
        <v>7.7495561111110733</v>
      </c>
      <c r="R114" s="134">
        <f t="shared" ca="1" si="58"/>
        <v>533.15999999999713</v>
      </c>
      <c r="S114" s="134">
        <f t="shared" ca="1" si="59"/>
        <v>66.67</v>
      </c>
      <c r="T114" s="134">
        <f t="shared" ca="1" si="33"/>
        <v>66.67</v>
      </c>
      <c r="U114" s="134">
        <f t="shared" ca="1" si="72"/>
        <v>7.7495561111110733</v>
      </c>
      <c r="V114" s="134">
        <f t="shared" ca="1" si="73"/>
        <v>7.7495561111110733</v>
      </c>
      <c r="W114" s="134">
        <f t="shared" ca="1" si="60"/>
        <v>53.666666666666679</v>
      </c>
      <c r="X114" s="134">
        <f t="shared" ca="1" si="61"/>
        <v>50</v>
      </c>
      <c r="Y114" s="134">
        <f t="shared" ca="1" si="43"/>
        <v>666.39999999999748</v>
      </c>
      <c r="Z114" s="134">
        <f t="shared" ca="1" si="74"/>
        <v>9.6862966666666335</v>
      </c>
      <c r="AA114" s="134">
        <f t="shared" ca="1" si="25"/>
        <v>9.6862966666666335</v>
      </c>
      <c r="AB114" s="134">
        <f t="shared" ca="1" si="35"/>
        <v>17328.199999999913</v>
      </c>
      <c r="AC114" s="134"/>
      <c r="AD114" s="134">
        <f t="shared" ca="1" si="44"/>
        <v>0</v>
      </c>
      <c r="AE114" s="134">
        <f t="shared" ca="1" si="45"/>
        <v>0</v>
      </c>
      <c r="AF114" s="134">
        <f t="shared" ca="1" si="62"/>
        <v>0</v>
      </c>
      <c r="AG114" s="134">
        <f t="shared" ca="1" si="46"/>
        <v>0</v>
      </c>
      <c r="AH114" s="134">
        <f t="shared" ca="1" si="63"/>
        <v>0</v>
      </c>
      <c r="AI114" s="134">
        <f t="shared" ca="1" si="29"/>
        <v>0</v>
      </c>
      <c r="AJ114" s="134">
        <f t="shared" ca="1" si="47"/>
        <v>533.15999999999713</v>
      </c>
      <c r="AK114" s="134">
        <f t="shared" ca="1" si="75"/>
        <v>0</v>
      </c>
      <c r="AL114" s="134">
        <f t="shared" ca="1" si="76"/>
        <v>0</v>
      </c>
      <c r="AM114" s="132">
        <f t="shared" ca="1" si="64"/>
        <v>6</v>
      </c>
      <c r="AN114" s="132">
        <f t="shared" ca="1" si="48"/>
        <v>6</v>
      </c>
      <c r="AO114" s="2">
        <f t="shared" ca="1" si="65"/>
        <v>2028</v>
      </c>
      <c r="AP114" s="2">
        <f t="shared" ca="1" si="49"/>
        <v>2028</v>
      </c>
      <c r="AQ114" s="2">
        <f t="shared" ca="1" si="50"/>
        <v>1</v>
      </c>
      <c r="AR114" s="2">
        <f t="shared" ca="1" si="51"/>
        <v>30</v>
      </c>
      <c r="AS114" s="2">
        <f t="shared" si="52"/>
        <v>20</v>
      </c>
      <c r="AT114" s="2">
        <f t="shared" ca="1" si="66"/>
        <v>30</v>
      </c>
      <c r="AU114" s="2"/>
      <c r="AV114" s="2"/>
      <c r="AW114" s="2"/>
      <c r="AX114" s="2"/>
      <c r="AY114" s="2"/>
      <c r="AZ114" s="2">
        <f t="shared" ca="1" si="53"/>
        <v>1</v>
      </c>
      <c r="BA114" s="2"/>
      <c r="BB114" s="2"/>
      <c r="BC114" s="2"/>
      <c r="BD114" s="2"/>
      <c r="BE114" s="2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</row>
    <row r="115" spans="1:142" s="24" customFormat="1" ht="15" customHeight="1">
      <c r="A115" s="4"/>
      <c r="B115" s="268">
        <f t="shared" ca="1" si="54"/>
        <v>46954</v>
      </c>
      <c r="C115" s="268"/>
      <c r="D115" s="269">
        <f ca="1">IF(N115=0,IF(N114=1,SUM(D$62:E114)," "),IF(N115=0," ",IF(N116=1,D$62,IF(N116=0,D$4-D$62*(M$50-1)," "))))</f>
        <v>66.67</v>
      </c>
      <c r="E115" s="269"/>
      <c r="F115" s="87">
        <f ca="1">IF(N115=0,IF(N114=1,SUM(F$62:F114)," "),IF(M$37=1,P115,IF(M$37=2,Q115," ")))</f>
        <v>6.855066944444407</v>
      </c>
      <c r="G115" s="87">
        <v>0</v>
      </c>
      <c r="H115" s="87">
        <f t="shared" ca="1" si="55"/>
        <v>73.525066944444404</v>
      </c>
      <c r="I115" s="87">
        <f t="shared" ca="1" si="56"/>
        <v>83.34</v>
      </c>
      <c r="J115" s="87">
        <f t="shared" ca="1" si="41"/>
        <v>8.5681516666666333</v>
      </c>
      <c r="K115" s="87">
        <v>0</v>
      </c>
      <c r="L115" s="87">
        <f t="shared" ca="1" si="57"/>
        <v>91.90815166666664</v>
      </c>
      <c r="M115" s="2">
        <v>54</v>
      </c>
      <c r="N115" s="2">
        <f t="shared" ca="1" si="34"/>
        <v>1</v>
      </c>
      <c r="O115" s="2">
        <f t="shared" ca="1" si="42"/>
        <v>20</v>
      </c>
      <c r="P115" s="134">
        <f t="shared" ca="1" si="19"/>
        <v>6.855066944444407</v>
      </c>
      <c r="Q115" s="134">
        <f t="shared" ca="1" si="20"/>
        <v>6.855066944444407</v>
      </c>
      <c r="R115" s="134">
        <f t="shared" ca="1" si="58"/>
        <v>466.48999999999711</v>
      </c>
      <c r="S115" s="134">
        <f t="shared" ca="1" si="59"/>
        <v>66.67</v>
      </c>
      <c r="T115" s="134">
        <f t="shared" ca="1" si="33"/>
        <v>66.67</v>
      </c>
      <c r="U115" s="134">
        <f t="shared" ca="1" si="72"/>
        <v>6.855066944444407</v>
      </c>
      <c r="V115" s="134">
        <f t="shared" ca="1" si="73"/>
        <v>6.855066944444407</v>
      </c>
      <c r="W115" s="134">
        <f t="shared" ca="1" si="60"/>
        <v>53.666666666666679</v>
      </c>
      <c r="X115" s="134">
        <f t="shared" ca="1" si="61"/>
        <v>50</v>
      </c>
      <c r="Y115" s="134">
        <f t="shared" ca="1" si="43"/>
        <v>583.05999999999744</v>
      </c>
      <c r="Z115" s="134">
        <f t="shared" ca="1" si="74"/>
        <v>8.5681516666666333</v>
      </c>
      <c r="AA115" s="134">
        <f t="shared" ca="1" si="25"/>
        <v>8.5681516666666333</v>
      </c>
      <c r="AB115" s="134">
        <f t="shared" ca="1" si="35"/>
        <v>15328.099999999915</v>
      </c>
      <c r="AC115" s="134"/>
      <c r="AD115" s="134">
        <f t="shared" ca="1" si="44"/>
        <v>0</v>
      </c>
      <c r="AE115" s="134">
        <f t="shared" ca="1" si="45"/>
        <v>0</v>
      </c>
      <c r="AF115" s="134">
        <f t="shared" ca="1" si="62"/>
        <v>0</v>
      </c>
      <c r="AG115" s="134">
        <f t="shared" ca="1" si="46"/>
        <v>0</v>
      </c>
      <c r="AH115" s="134">
        <f t="shared" ca="1" si="63"/>
        <v>0</v>
      </c>
      <c r="AI115" s="134">
        <f t="shared" ca="1" si="29"/>
        <v>0</v>
      </c>
      <c r="AJ115" s="134">
        <f t="shared" ca="1" si="47"/>
        <v>466.48999999999711</v>
      </c>
      <c r="AK115" s="134">
        <f t="shared" ca="1" si="75"/>
        <v>0</v>
      </c>
      <c r="AL115" s="134">
        <f t="shared" ca="1" si="76"/>
        <v>0</v>
      </c>
      <c r="AM115" s="132">
        <f t="shared" ca="1" si="64"/>
        <v>7</v>
      </c>
      <c r="AN115" s="132">
        <f t="shared" ca="1" si="48"/>
        <v>7</v>
      </c>
      <c r="AO115" s="2">
        <f t="shared" ca="1" si="65"/>
        <v>2028</v>
      </c>
      <c r="AP115" s="2">
        <f t="shared" ca="1" si="49"/>
        <v>2028</v>
      </c>
      <c r="AQ115" s="2">
        <f t="shared" ca="1" si="50"/>
        <v>1</v>
      </c>
      <c r="AR115" s="2">
        <f t="shared" ca="1" si="51"/>
        <v>30</v>
      </c>
      <c r="AS115" s="2">
        <f t="shared" si="52"/>
        <v>20</v>
      </c>
      <c r="AT115" s="2">
        <f t="shared" ca="1" si="66"/>
        <v>30</v>
      </c>
      <c r="AU115" s="2"/>
      <c r="AV115" s="2"/>
      <c r="AW115" s="2"/>
      <c r="AX115" s="2"/>
      <c r="AY115" s="2"/>
      <c r="AZ115" s="2">
        <f t="shared" ca="1" si="53"/>
        <v>1</v>
      </c>
      <c r="BA115" s="2"/>
      <c r="BB115" s="2"/>
      <c r="BC115" s="2"/>
      <c r="BD115" s="2"/>
      <c r="BE115" s="2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</row>
    <row r="116" spans="1:142" s="24" customFormat="1" ht="15" customHeight="1">
      <c r="A116" s="4"/>
      <c r="B116" s="268">
        <f t="shared" ca="1" si="54"/>
        <v>46985</v>
      </c>
      <c r="C116" s="268"/>
      <c r="D116" s="269">
        <f ca="1">IF(N116=0,IF(N115=1,SUM(D$62:E115)," "),IF(N116=0," ",IF(N117=1,D$62,IF(N117=0,D$4-D$62*(M$50-1)," "))))</f>
        <v>66.67</v>
      </c>
      <c r="E116" s="269"/>
      <c r="F116" s="87">
        <f ca="1">IF(N116=0,IF(N115=1,SUM(F$62:F115)," "),IF(M$37=1,P116,IF(M$37=2,Q116," ")))</f>
        <v>5.9605777777777398</v>
      </c>
      <c r="G116" s="87">
        <v>0</v>
      </c>
      <c r="H116" s="87">
        <f t="shared" ca="1" si="55"/>
        <v>72.630577777777745</v>
      </c>
      <c r="I116" s="87">
        <f t="shared" ca="1" si="56"/>
        <v>83.34</v>
      </c>
      <c r="J116" s="87">
        <f t="shared" ca="1" si="41"/>
        <v>7.4500066666666331</v>
      </c>
      <c r="K116" s="87">
        <v>0</v>
      </c>
      <c r="L116" s="87">
        <f t="shared" ca="1" si="57"/>
        <v>90.790006666666642</v>
      </c>
      <c r="M116" s="2">
        <v>55</v>
      </c>
      <c r="N116" s="2">
        <f t="shared" ca="1" si="34"/>
        <v>1</v>
      </c>
      <c r="O116" s="2">
        <f t="shared" ca="1" si="42"/>
        <v>20</v>
      </c>
      <c r="P116" s="134">
        <f t="shared" ca="1" si="19"/>
        <v>5.9605777777777398</v>
      </c>
      <c r="Q116" s="134">
        <f t="shared" ca="1" si="20"/>
        <v>5.9605777777777398</v>
      </c>
      <c r="R116" s="134">
        <f t="shared" ca="1" si="58"/>
        <v>399.81999999999709</v>
      </c>
      <c r="S116" s="134">
        <f t="shared" ca="1" si="59"/>
        <v>66.67</v>
      </c>
      <c r="T116" s="134">
        <f t="shared" ca="1" si="33"/>
        <v>66.67</v>
      </c>
      <c r="U116" s="134">
        <f t="shared" ca="1" si="72"/>
        <v>5.9605777777777398</v>
      </c>
      <c r="V116" s="134">
        <f t="shared" ca="1" si="73"/>
        <v>5.9605777777777398</v>
      </c>
      <c r="W116" s="134">
        <f t="shared" ca="1" si="60"/>
        <v>53.666666666666679</v>
      </c>
      <c r="X116" s="134">
        <f t="shared" ca="1" si="61"/>
        <v>50</v>
      </c>
      <c r="Y116" s="134">
        <f t="shared" ca="1" si="43"/>
        <v>499.71999999999741</v>
      </c>
      <c r="Z116" s="134">
        <f t="shared" ca="1" si="74"/>
        <v>7.4500066666666331</v>
      </c>
      <c r="AA116" s="134">
        <f t="shared" ca="1" si="25"/>
        <v>7.4500066666666331</v>
      </c>
      <c r="AB116" s="134">
        <f t="shared" ca="1" si="35"/>
        <v>13327.999999999913</v>
      </c>
      <c r="AC116" s="134"/>
      <c r="AD116" s="134">
        <f t="shared" ca="1" si="44"/>
        <v>0</v>
      </c>
      <c r="AE116" s="134">
        <f t="shared" ca="1" si="45"/>
        <v>0</v>
      </c>
      <c r="AF116" s="134">
        <f t="shared" ca="1" si="62"/>
        <v>0</v>
      </c>
      <c r="AG116" s="134">
        <f t="shared" ca="1" si="46"/>
        <v>0</v>
      </c>
      <c r="AH116" s="134">
        <f t="shared" ca="1" si="63"/>
        <v>0</v>
      </c>
      <c r="AI116" s="134">
        <f t="shared" ca="1" si="29"/>
        <v>0</v>
      </c>
      <c r="AJ116" s="134">
        <f t="shared" ca="1" si="47"/>
        <v>399.81999999999709</v>
      </c>
      <c r="AK116" s="134">
        <f t="shared" ca="1" si="75"/>
        <v>0</v>
      </c>
      <c r="AL116" s="134">
        <f t="shared" ca="1" si="76"/>
        <v>0</v>
      </c>
      <c r="AM116" s="132">
        <f t="shared" ca="1" si="64"/>
        <v>8</v>
      </c>
      <c r="AN116" s="132">
        <f t="shared" ca="1" si="48"/>
        <v>8</v>
      </c>
      <c r="AO116" s="2">
        <f t="shared" ca="1" si="65"/>
        <v>2028</v>
      </c>
      <c r="AP116" s="2">
        <f t="shared" ca="1" si="49"/>
        <v>2028</v>
      </c>
      <c r="AQ116" s="2">
        <f t="shared" ca="1" si="50"/>
        <v>1</v>
      </c>
      <c r="AR116" s="2">
        <f t="shared" ca="1" si="51"/>
        <v>30</v>
      </c>
      <c r="AS116" s="2">
        <f t="shared" si="52"/>
        <v>20</v>
      </c>
      <c r="AT116" s="2">
        <f t="shared" ca="1" si="66"/>
        <v>30</v>
      </c>
      <c r="AU116" s="2"/>
      <c r="AV116" s="2"/>
      <c r="AW116" s="2"/>
      <c r="AX116" s="2"/>
      <c r="AY116" s="2"/>
      <c r="AZ116" s="2">
        <f t="shared" ca="1" si="53"/>
        <v>1</v>
      </c>
      <c r="BA116" s="2"/>
      <c r="BB116" s="2"/>
      <c r="BC116" s="2"/>
      <c r="BD116" s="2"/>
      <c r="BE116" s="2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</row>
    <row r="117" spans="1:142" s="24" customFormat="1" ht="15" customHeight="1">
      <c r="A117" s="4"/>
      <c r="B117" s="268">
        <f t="shared" ca="1" si="54"/>
        <v>47016</v>
      </c>
      <c r="C117" s="268"/>
      <c r="D117" s="269">
        <f ca="1">IF(N117=0,IF(N116=1,SUM(D$62:E116)," "),IF(N117=0," ",IF(N118=1,D$62,IF(N118=0,D$4-D$62*(M$50-1)," "))))</f>
        <v>66.67</v>
      </c>
      <c r="E117" s="269"/>
      <c r="F117" s="87">
        <f ca="1">IF(N117=0,IF(N116=1,SUM(F$62:F116)," "),IF(M$37=1,P117,IF(M$37=2,Q117," ")))</f>
        <v>5.0660886111110726</v>
      </c>
      <c r="G117" s="87">
        <v>0</v>
      </c>
      <c r="H117" s="87">
        <f t="shared" ca="1" si="55"/>
        <v>71.736088611111072</v>
      </c>
      <c r="I117" s="87">
        <f t="shared" ca="1" si="56"/>
        <v>83.34</v>
      </c>
      <c r="J117" s="87">
        <f t="shared" ca="1" si="41"/>
        <v>6.331861666666633</v>
      </c>
      <c r="K117" s="87">
        <v>0</v>
      </c>
      <c r="L117" s="87">
        <f t="shared" ca="1" si="57"/>
        <v>89.671861666666643</v>
      </c>
      <c r="M117" s="2">
        <v>56</v>
      </c>
      <c r="N117" s="2">
        <f t="shared" ca="1" si="34"/>
        <v>1</v>
      </c>
      <c r="O117" s="2">
        <f t="shared" ca="1" si="42"/>
        <v>20</v>
      </c>
      <c r="P117" s="134">
        <f t="shared" ca="1" si="19"/>
        <v>5.0660886111110726</v>
      </c>
      <c r="Q117" s="134">
        <f t="shared" ca="1" si="20"/>
        <v>5.0660886111110726</v>
      </c>
      <c r="R117" s="134">
        <f t="shared" ca="1" si="58"/>
        <v>333.14999999999708</v>
      </c>
      <c r="S117" s="134">
        <f t="shared" ca="1" si="59"/>
        <v>66.67</v>
      </c>
      <c r="T117" s="134">
        <f t="shared" ca="1" si="33"/>
        <v>66.67</v>
      </c>
      <c r="U117" s="134">
        <f t="shared" ca="1" si="72"/>
        <v>5.0660886111110726</v>
      </c>
      <c r="V117" s="134">
        <f t="shared" ca="1" si="73"/>
        <v>5.0660886111110726</v>
      </c>
      <c r="W117" s="134">
        <f t="shared" ca="1" si="60"/>
        <v>53.666666666666679</v>
      </c>
      <c r="X117" s="134">
        <f t="shared" ca="1" si="61"/>
        <v>50</v>
      </c>
      <c r="Y117" s="134">
        <f t="shared" ca="1" si="43"/>
        <v>416.37999999999738</v>
      </c>
      <c r="Z117" s="134">
        <f t="shared" ca="1" si="74"/>
        <v>6.331861666666633</v>
      </c>
      <c r="AA117" s="134">
        <f t="shared" ca="1" si="25"/>
        <v>6.331861666666633</v>
      </c>
      <c r="AB117" s="134">
        <f t="shared" ca="1" si="35"/>
        <v>11327.899999999912</v>
      </c>
      <c r="AC117" s="134"/>
      <c r="AD117" s="134">
        <f t="shared" ca="1" si="44"/>
        <v>0</v>
      </c>
      <c r="AE117" s="134">
        <f t="shared" ca="1" si="45"/>
        <v>0</v>
      </c>
      <c r="AF117" s="134">
        <f t="shared" ca="1" si="62"/>
        <v>0</v>
      </c>
      <c r="AG117" s="134">
        <f t="shared" ca="1" si="46"/>
        <v>0</v>
      </c>
      <c r="AH117" s="134">
        <f t="shared" ca="1" si="63"/>
        <v>0</v>
      </c>
      <c r="AI117" s="134">
        <f t="shared" ca="1" si="29"/>
        <v>0</v>
      </c>
      <c r="AJ117" s="134">
        <f t="shared" ca="1" si="47"/>
        <v>333.14999999999708</v>
      </c>
      <c r="AK117" s="134">
        <f t="shared" ca="1" si="75"/>
        <v>0</v>
      </c>
      <c r="AL117" s="134">
        <f t="shared" ca="1" si="76"/>
        <v>0</v>
      </c>
      <c r="AM117" s="132">
        <f t="shared" ca="1" si="64"/>
        <v>9</v>
      </c>
      <c r="AN117" s="132">
        <f t="shared" ca="1" si="48"/>
        <v>9</v>
      </c>
      <c r="AO117" s="2">
        <f t="shared" ca="1" si="65"/>
        <v>2028</v>
      </c>
      <c r="AP117" s="2">
        <f t="shared" ca="1" si="49"/>
        <v>2028</v>
      </c>
      <c r="AQ117" s="2">
        <f t="shared" ca="1" si="50"/>
        <v>1</v>
      </c>
      <c r="AR117" s="2">
        <f t="shared" ca="1" si="51"/>
        <v>30</v>
      </c>
      <c r="AS117" s="2">
        <f t="shared" si="52"/>
        <v>20</v>
      </c>
      <c r="AT117" s="2">
        <f t="shared" ca="1" si="66"/>
        <v>30</v>
      </c>
      <c r="AU117" s="2"/>
      <c r="AV117" s="2"/>
      <c r="AW117" s="2"/>
      <c r="AX117" s="2"/>
      <c r="AY117" s="2"/>
      <c r="AZ117" s="2">
        <f t="shared" ca="1" si="53"/>
        <v>1</v>
      </c>
      <c r="BA117" s="2"/>
      <c r="BB117" s="2"/>
      <c r="BC117" s="2"/>
      <c r="BD117" s="2"/>
      <c r="BE117" s="2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</row>
    <row r="118" spans="1:142" s="24" customFormat="1" ht="15" customHeight="1">
      <c r="A118" s="4"/>
      <c r="B118" s="268">
        <f t="shared" ca="1" si="54"/>
        <v>47046</v>
      </c>
      <c r="C118" s="268"/>
      <c r="D118" s="269">
        <f ca="1">IF(N118=0,IF(N117=1,SUM(D$62:E117)," "),IF(N118=0," ",IF(N119=1,D$62,IF(N119=0,D$4-D$62*(M$50-1)," "))))</f>
        <v>66.67</v>
      </c>
      <c r="E118" s="269"/>
      <c r="F118" s="87">
        <f ca="1">IF(N118=0,IF(N117=1,SUM(F$62:F117)," "),IF(M$37=1,P118,IF(M$37=2,Q118," ")))</f>
        <v>4.1715994444444053</v>
      </c>
      <c r="G118" s="87">
        <v>0</v>
      </c>
      <c r="H118" s="87">
        <f t="shared" ca="1" si="55"/>
        <v>70.841599444444412</v>
      </c>
      <c r="I118" s="87">
        <f t="shared" ca="1" si="56"/>
        <v>83.34</v>
      </c>
      <c r="J118" s="87">
        <f t="shared" ca="1" si="41"/>
        <v>5.2137166666666319</v>
      </c>
      <c r="K118" s="87">
        <v>0</v>
      </c>
      <c r="L118" s="87">
        <f t="shared" ca="1" si="57"/>
        <v>88.553716666666631</v>
      </c>
      <c r="M118" s="2">
        <v>57</v>
      </c>
      <c r="N118" s="2">
        <f t="shared" ca="1" si="34"/>
        <v>1</v>
      </c>
      <c r="O118" s="2">
        <f t="shared" ca="1" si="42"/>
        <v>20</v>
      </c>
      <c r="P118" s="134">
        <f t="shared" ca="1" si="19"/>
        <v>4.1715994444444053</v>
      </c>
      <c r="Q118" s="134">
        <f t="shared" ca="1" si="20"/>
        <v>4.1715994444444053</v>
      </c>
      <c r="R118" s="134">
        <f t="shared" ca="1" si="58"/>
        <v>266.47999999999706</v>
      </c>
      <c r="S118" s="134">
        <f t="shared" ca="1" si="59"/>
        <v>66.67</v>
      </c>
      <c r="T118" s="134">
        <f t="shared" ca="1" si="33"/>
        <v>66.67</v>
      </c>
      <c r="U118" s="134">
        <f t="shared" ca="1" si="72"/>
        <v>4.1715994444444053</v>
      </c>
      <c r="V118" s="134">
        <f t="shared" ca="1" si="73"/>
        <v>4.1715994444444053</v>
      </c>
      <c r="W118" s="134">
        <f t="shared" ca="1" si="60"/>
        <v>53.666666666666679</v>
      </c>
      <c r="X118" s="134">
        <f t="shared" ca="1" si="61"/>
        <v>50</v>
      </c>
      <c r="Y118" s="134">
        <f t="shared" ca="1" si="43"/>
        <v>333.03999999999735</v>
      </c>
      <c r="Z118" s="134">
        <f t="shared" ca="1" si="74"/>
        <v>5.2137166666666319</v>
      </c>
      <c r="AA118" s="134">
        <f t="shared" ca="1" si="25"/>
        <v>5.2137166666666319</v>
      </c>
      <c r="AB118" s="134">
        <f t="shared" ca="1" si="35"/>
        <v>9327.799999999912</v>
      </c>
      <c r="AC118" s="134"/>
      <c r="AD118" s="134">
        <f t="shared" ca="1" si="44"/>
        <v>0</v>
      </c>
      <c r="AE118" s="134">
        <f t="shared" ca="1" si="45"/>
        <v>0</v>
      </c>
      <c r="AF118" s="134">
        <f t="shared" ca="1" si="62"/>
        <v>0</v>
      </c>
      <c r="AG118" s="134">
        <f t="shared" ca="1" si="46"/>
        <v>0</v>
      </c>
      <c r="AH118" s="134">
        <f t="shared" ca="1" si="63"/>
        <v>0</v>
      </c>
      <c r="AI118" s="134">
        <f t="shared" ca="1" si="29"/>
        <v>0</v>
      </c>
      <c r="AJ118" s="134">
        <f t="shared" ca="1" si="47"/>
        <v>266.47999999999706</v>
      </c>
      <c r="AK118" s="134">
        <f t="shared" ca="1" si="75"/>
        <v>0</v>
      </c>
      <c r="AL118" s="134">
        <f t="shared" ca="1" si="76"/>
        <v>0</v>
      </c>
      <c r="AM118" s="132">
        <f t="shared" ca="1" si="64"/>
        <v>10</v>
      </c>
      <c r="AN118" s="132">
        <f t="shared" ca="1" si="48"/>
        <v>10</v>
      </c>
      <c r="AO118" s="2">
        <f t="shared" ca="1" si="65"/>
        <v>2028</v>
      </c>
      <c r="AP118" s="2">
        <f t="shared" ca="1" si="49"/>
        <v>2028</v>
      </c>
      <c r="AQ118" s="2">
        <f t="shared" ca="1" si="50"/>
        <v>1</v>
      </c>
      <c r="AR118" s="2">
        <f t="shared" ca="1" si="51"/>
        <v>30</v>
      </c>
      <c r="AS118" s="2">
        <f t="shared" si="52"/>
        <v>20</v>
      </c>
      <c r="AT118" s="2">
        <f t="shared" ca="1" si="66"/>
        <v>30</v>
      </c>
      <c r="AU118" s="2"/>
      <c r="AV118" s="2"/>
      <c r="AW118" s="2"/>
      <c r="AX118" s="2"/>
      <c r="AY118" s="2"/>
      <c r="AZ118" s="2">
        <f t="shared" ca="1" si="53"/>
        <v>1</v>
      </c>
      <c r="BA118" s="2"/>
      <c r="BB118" s="2"/>
      <c r="BC118" s="2"/>
      <c r="BD118" s="2"/>
      <c r="BE118" s="2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</row>
    <row r="119" spans="1:142" s="24" customFormat="1" ht="15" customHeight="1">
      <c r="A119" s="4"/>
      <c r="B119" s="268">
        <f t="shared" ca="1" si="54"/>
        <v>47077</v>
      </c>
      <c r="C119" s="268"/>
      <c r="D119" s="269">
        <f ca="1">IF(N119=0,IF(N118=1,SUM(D$62:E118)," "),IF(N119=0," ",IF(N120=1,D$62,IF(N120=0,D$4-D$62*(M$50-1)," "))))</f>
        <v>66.67</v>
      </c>
      <c r="E119" s="269"/>
      <c r="F119" s="87">
        <f ca="1">IF(N119=0,IF(N118=1,SUM(F$62:F118)," "),IF(M$37=1,P119,IF(M$37=2,Q119," ")))</f>
        <v>3.2771102777777386</v>
      </c>
      <c r="G119" s="87">
        <v>0</v>
      </c>
      <c r="H119" s="87">
        <f t="shared" ca="1" si="55"/>
        <v>69.947110277777739</v>
      </c>
      <c r="I119" s="87">
        <f t="shared" ca="1" si="56"/>
        <v>83.34</v>
      </c>
      <c r="J119" s="87">
        <f t="shared" ca="1" si="41"/>
        <v>4.0955716666666309</v>
      </c>
      <c r="K119" s="87">
        <v>0</v>
      </c>
      <c r="L119" s="87">
        <f t="shared" ca="1" si="57"/>
        <v>87.435571666666632</v>
      </c>
      <c r="M119" s="2">
        <v>58</v>
      </c>
      <c r="N119" s="2">
        <f t="shared" ca="1" si="34"/>
        <v>1</v>
      </c>
      <c r="O119" s="2">
        <f t="shared" ca="1" si="42"/>
        <v>20</v>
      </c>
      <c r="P119" s="134">
        <f t="shared" ca="1" si="19"/>
        <v>3.2771102777777386</v>
      </c>
      <c r="Q119" s="134">
        <f t="shared" ca="1" si="20"/>
        <v>3.2771102777777386</v>
      </c>
      <c r="R119" s="134">
        <f t="shared" ca="1" si="58"/>
        <v>199.80999999999705</v>
      </c>
      <c r="S119" s="134">
        <f t="shared" ca="1" si="59"/>
        <v>66.67</v>
      </c>
      <c r="T119" s="134">
        <f t="shared" ca="1" si="33"/>
        <v>66.67</v>
      </c>
      <c r="U119" s="134">
        <f t="shared" ca="1" si="72"/>
        <v>3.2771102777777386</v>
      </c>
      <c r="V119" s="134">
        <f t="shared" ca="1" si="73"/>
        <v>3.2771102777777386</v>
      </c>
      <c r="W119" s="134">
        <f t="shared" ca="1" si="60"/>
        <v>53.666666666666679</v>
      </c>
      <c r="X119" s="134">
        <f t="shared" ca="1" si="61"/>
        <v>50</v>
      </c>
      <c r="Y119" s="134">
        <f t="shared" ca="1" si="43"/>
        <v>249.69999999999735</v>
      </c>
      <c r="Z119" s="134">
        <f t="shared" ca="1" si="74"/>
        <v>4.0955716666666309</v>
      </c>
      <c r="AA119" s="134">
        <f t="shared" ca="1" si="25"/>
        <v>4.0955716666666309</v>
      </c>
      <c r="AB119" s="134">
        <f t="shared" ca="1" si="35"/>
        <v>7327.6999999999116</v>
      </c>
      <c r="AC119" s="134"/>
      <c r="AD119" s="134">
        <f t="shared" ca="1" si="44"/>
        <v>0</v>
      </c>
      <c r="AE119" s="134">
        <f t="shared" ca="1" si="45"/>
        <v>0</v>
      </c>
      <c r="AF119" s="134">
        <f t="shared" ca="1" si="62"/>
        <v>0</v>
      </c>
      <c r="AG119" s="134">
        <f t="shared" ca="1" si="46"/>
        <v>0</v>
      </c>
      <c r="AH119" s="134">
        <f t="shared" ca="1" si="63"/>
        <v>0</v>
      </c>
      <c r="AI119" s="134">
        <f t="shared" ca="1" si="29"/>
        <v>0</v>
      </c>
      <c r="AJ119" s="134">
        <f t="shared" ca="1" si="47"/>
        <v>199.80999999999705</v>
      </c>
      <c r="AK119" s="134">
        <f t="shared" ca="1" si="75"/>
        <v>0</v>
      </c>
      <c r="AL119" s="134">
        <f t="shared" ca="1" si="76"/>
        <v>0</v>
      </c>
      <c r="AM119" s="132">
        <f t="shared" ca="1" si="64"/>
        <v>11</v>
      </c>
      <c r="AN119" s="132">
        <f t="shared" ca="1" si="48"/>
        <v>11</v>
      </c>
      <c r="AO119" s="2">
        <f t="shared" ca="1" si="65"/>
        <v>2028</v>
      </c>
      <c r="AP119" s="2">
        <f t="shared" ca="1" si="49"/>
        <v>2028</v>
      </c>
      <c r="AQ119" s="2">
        <f t="shared" ca="1" si="50"/>
        <v>1</v>
      </c>
      <c r="AR119" s="2">
        <f t="shared" ca="1" si="51"/>
        <v>30</v>
      </c>
      <c r="AS119" s="2">
        <f t="shared" si="52"/>
        <v>20</v>
      </c>
      <c r="AT119" s="2">
        <f t="shared" ca="1" si="66"/>
        <v>30</v>
      </c>
      <c r="AU119" s="2"/>
      <c r="AV119" s="2"/>
      <c r="AW119" s="2"/>
      <c r="AX119" s="2"/>
      <c r="AY119" s="2"/>
      <c r="AZ119" s="2">
        <f t="shared" ca="1" si="53"/>
        <v>1</v>
      </c>
      <c r="BA119" s="2"/>
      <c r="BB119" s="2"/>
      <c r="BC119" s="2"/>
      <c r="BD119" s="2"/>
      <c r="BE119" s="2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</row>
    <row r="120" spans="1:142" s="24" customFormat="1" ht="15" customHeight="1">
      <c r="A120" s="4"/>
      <c r="B120" s="268">
        <f t="shared" ca="1" si="54"/>
        <v>47107</v>
      </c>
      <c r="C120" s="268"/>
      <c r="D120" s="269">
        <f ca="1">IF(N120=0,IF(N119=1,SUM(D$62:E119)," "),IF(N120=0," ",IF(N121=1,D$62,IF(N121=0,D$4-D$62*(M$50-1)," "))))</f>
        <v>66.67</v>
      </c>
      <c r="E120" s="269"/>
      <c r="F120" s="87">
        <f ca="1">IF(N120=0,IF(N119=1,SUM(F$62:F119)," "),IF(M$37=1,P120,IF(M$37=2,Q120," ")))</f>
        <v>2.3826211111110713</v>
      </c>
      <c r="G120" s="87">
        <v>0</v>
      </c>
      <c r="H120" s="87">
        <f t="shared" ca="1" si="55"/>
        <v>69.05262111111108</v>
      </c>
      <c r="I120" s="87">
        <f t="shared" ca="1" si="56"/>
        <v>83.34</v>
      </c>
      <c r="J120" s="87">
        <f t="shared" ca="1" si="41"/>
        <v>2.9774266666666311</v>
      </c>
      <c r="K120" s="87">
        <v>0</v>
      </c>
      <c r="L120" s="87">
        <f t="shared" ca="1" si="57"/>
        <v>86.317426666666634</v>
      </c>
      <c r="M120" s="2">
        <v>59</v>
      </c>
      <c r="N120" s="2">
        <f t="shared" ca="1" si="34"/>
        <v>1</v>
      </c>
      <c r="O120" s="2">
        <f t="shared" ca="1" si="42"/>
        <v>20</v>
      </c>
      <c r="P120" s="134">
        <f t="shared" ca="1" si="19"/>
        <v>2.3826211111110713</v>
      </c>
      <c r="Q120" s="134">
        <f t="shared" ca="1" si="20"/>
        <v>2.3826211111110713</v>
      </c>
      <c r="R120" s="134">
        <f t="shared" ca="1" si="58"/>
        <v>133.13999999999703</v>
      </c>
      <c r="S120" s="134">
        <f t="shared" ca="1" si="59"/>
        <v>66.67</v>
      </c>
      <c r="T120" s="134">
        <f t="shared" ca="1" si="33"/>
        <v>66.67</v>
      </c>
      <c r="U120" s="134">
        <f t="shared" ca="1" si="72"/>
        <v>2.3826211111110713</v>
      </c>
      <c r="V120" s="134">
        <f t="shared" ca="1" si="73"/>
        <v>2.3826211111110713</v>
      </c>
      <c r="W120" s="134">
        <f t="shared" ca="1" si="60"/>
        <v>53.666666666666679</v>
      </c>
      <c r="X120" s="134">
        <f t="shared" ca="1" si="61"/>
        <v>50</v>
      </c>
      <c r="Y120" s="134">
        <f t="shared" ca="1" si="43"/>
        <v>166.35999999999734</v>
      </c>
      <c r="Z120" s="134">
        <f t="shared" ca="1" si="74"/>
        <v>2.9774266666666311</v>
      </c>
      <c r="AA120" s="134">
        <f t="shared" ca="1" si="25"/>
        <v>2.9774266666666311</v>
      </c>
      <c r="AB120" s="134">
        <f t="shared" ca="1" si="35"/>
        <v>5327.5999999999112</v>
      </c>
      <c r="AC120" s="134"/>
      <c r="AD120" s="134">
        <f t="shared" ca="1" si="44"/>
        <v>0</v>
      </c>
      <c r="AE120" s="134">
        <f t="shared" ca="1" si="45"/>
        <v>0</v>
      </c>
      <c r="AF120" s="134">
        <f t="shared" ca="1" si="62"/>
        <v>0</v>
      </c>
      <c r="AG120" s="134">
        <f t="shared" ca="1" si="46"/>
        <v>0</v>
      </c>
      <c r="AH120" s="134">
        <f t="shared" ca="1" si="63"/>
        <v>0</v>
      </c>
      <c r="AI120" s="134">
        <f t="shared" ca="1" si="29"/>
        <v>0</v>
      </c>
      <c r="AJ120" s="134">
        <f t="shared" ca="1" si="47"/>
        <v>133.13999999999703</v>
      </c>
      <c r="AK120" s="134">
        <f t="shared" ca="1" si="75"/>
        <v>0</v>
      </c>
      <c r="AL120" s="134">
        <f t="shared" ca="1" si="76"/>
        <v>0</v>
      </c>
      <c r="AM120" s="132">
        <f t="shared" ca="1" si="64"/>
        <v>12</v>
      </c>
      <c r="AN120" s="132">
        <f t="shared" ca="1" si="48"/>
        <v>12</v>
      </c>
      <c r="AO120" s="2">
        <f t="shared" ca="1" si="65"/>
        <v>2028</v>
      </c>
      <c r="AP120" s="2">
        <f t="shared" ca="1" si="49"/>
        <v>2028</v>
      </c>
      <c r="AQ120" s="2">
        <f t="shared" ca="1" si="50"/>
        <v>1</v>
      </c>
      <c r="AR120" s="2">
        <f t="shared" ca="1" si="51"/>
        <v>30</v>
      </c>
      <c r="AS120" s="2">
        <f t="shared" si="52"/>
        <v>20</v>
      </c>
      <c r="AT120" s="2">
        <f t="shared" ca="1" si="66"/>
        <v>30</v>
      </c>
      <c r="AU120" s="2"/>
      <c r="AV120" s="2"/>
      <c r="AW120" s="2"/>
      <c r="AX120" s="2"/>
      <c r="AY120" s="2"/>
      <c r="AZ120" s="2">
        <f t="shared" ca="1" si="53"/>
        <v>1</v>
      </c>
      <c r="BA120" s="2"/>
      <c r="BB120" s="2"/>
      <c r="BC120" s="2"/>
      <c r="BD120" s="2"/>
      <c r="BE120" s="2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</row>
    <row r="121" spans="1:142" s="24" customFormat="1" ht="15" customHeight="1">
      <c r="A121" s="4"/>
      <c r="B121" s="268">
        <f t="shared" ca="1" si="54"/>
        <v>47120</v>
      </c>
      <c r="C121" s="268"/>
      <c r="D121" s="269">
        <f ca="1">IF(N121=0,IF(N120=1,SUM(D$62:E120)," "),IF(N121=0," ",IF(N122=1,D$62,IF(N122=0,D$4-D$62*(M$50-1)," "))))</f>
        <v>66.4699999999998</v>
      </c>
      <c r="E121" s="269"/>
      <c r="F121" s="87">
        <f ca="1">IF(N121=0,IF(N120=1,SUM(F$62:F120)," "),IF(M$37=1,P121,IF(M$37=2,Q121," ")))</f>
        <v>1.5475856666666243</v>
      </c>
      <c r="G121" s="87">
        <v>0</v>
      </c>
      <c r="H121" s="87">
        <f t="shared" ca="1" si="55"/>
        <v>68.01758566666642</v>
      </c>
      <c r="I121" s="87">
        <f t="shared" ca="1" si="56"/>
        <v>83.01999999999984</v>
      </c>
      <c r="J121" s="87">
        <f t="shared" ca="1" si="41"/>
        <v>1.9335384444444064</v>
      </c>
      <c r="K121" s="87">
        <v>0</v>
      </c>
      <c r="L121" s="87">
        <f t="shared" ca="1" si="57"/>
        <v>84.953538444444249</v>
      </c>
      <c r="M121" s="2">
        <v>60</v>
      </c>
      <c r="N121" s="2">
        <f t="shared" ca="1" si="34"/>
        <v>1</v>
      </c>
      <c r="O121" s="2">
        <f t="shared" ca="1" si="42"/>
        <v>2</v>
      </c>
      <c r="P121" s="134">
        <f t="shared" ca="1" si="19"/>
        <v>1.5475856666666243</v>
      </c>
      <c r="Q121" s="134">
        <f t="shared" ca="1" si="20"/>
        <v>1.5475856666666243</v>
      </c>
      <c r="R121" s="134">
        <f t="shared" ca="1" si="58"/>
        <v>66.469999999997029</v>
      </c>
      <c r="S121" s="134">
        <f t="shared" ca="1" si="59"/>
        <v>66.4699999999998</v>
      </c>
      <c r="T121" s="134">
        <f t="shared" ca="1" si="33"/>
        <v>66.4699999999998</v>
      </c>
      <c r="U121" s="134">
        <f t="shared" ca="1" si="72"/>
        <v>1.5475856666666243</v>
      </c>
      <c r="V121" s="134">
        <f t="shared" ca="1" si="73"/>
        <v>1.5475856666666243</v>
      </c>
      <c r="W121" s="134">
        <f t="shared" ca="1" si="60"/>
        <v>57.244444444444454</v>
      </c>
      <c r="X121" s="134">
        <f t="shared" ca="1" si="61"/>
        <v>60</v>
      </c>
      <c r="Y121" s="134">
        <f t="shared" ca="1" si="43"/>
        <v>83.019999999997339</v>
      </c>
      <c r="Z121" s="134">
        <f t="shared" ca="1" si="74"/>
        <v>1.9335384444444064</v>
      </c>
      <c r="AA121" s="134">
        <f t="shared" ca="1" si="25"/>
        <v>1.9335384444444064</v>
      </c>
      <c r="AB121" s="134">
        <f t="shared" ca="1" si="35"/>
        <v>132.93999999999406</v>
      </c>
      <c r="AC121" s="134"/>
      <c r="AD121" s="134">
        <f t="shared" ca="1" si="44"/>
        <v>0</v>
      </c>
      <c r="AE121" s="134">
        <f t="shared" ca="1" si="45"/>
        <v>0</v>
      </c>
      <c r="AF121" s="134">
        <f t="shared" ca="1" si="62"/>
        <v>0</v>
      </c>
      <c r="AG121" s="134">
        <f t="shared" ca="1" si="46"/>
        <v>0</v>
      </c>
      <c r="AH121" s="134">
        <f t="shared" ca="1" si="63"/>
        <v>0</v>
      </c>
      <c r="AI121" s="134">
        <f t="shared" ca="1" si="29"/>
        <v>0</v>
      </c>
      <c r="AJ121" s="134">
        <f t="shared" ca="1" si="47"/>
        <v>66.469999999997029</v>
      </c>
      <c r="AK121" s="134">
        <f t="shared" ca="1" si="75"/>
        <v>0</v>
      </c>
      <c r="AL121" s="134">
        <f t="shared" ca="1" si="76"/>
        <v>0</v>
      </c>
      <c r="AM121" s="132">
        <f t="shared" ca="1" si="64"/>
        <v>13</v>
      </c>
      <c r="AN121" s="132">
        <f t="shared" ca="1" si="48"/>
        <v>1</v>
      </c>
      <c r="AO121" s="2">
        <f t="shared" ca="1" si="65"/>
        <v>2028</v>
      </c>
      <c r="AP121" s="2">
        <f t="shared" ca="1" si="49"/>
        <v>2029</v>
      </c>
      <c r="AQ121" s="2">
        <f t="shared" ca="1" si="50"/>
        <v>1</v>
      </c>
      <c r="AR121" s="2">
        <f t="shared" ca="1" si="51"/>
        <v>30</v>
      </c>
      <c r="AS121" s="2">
        <f t="shared" si="52"/>
        <v>20</v>
      </c>
      <c r="AT121" s="2">
        <f t="shared" ca="1" si="66"/>
        <v>30</v>
      </c>
      <c r="AU121" s="2"/>
      <c r="AV121" s="2"/>
      <c r="AW121" s="2"/>
      <c r="AX121" s="2"/>
      <c r="AY121" s="2"/>
      <c r="AZ121" s="2">
        <f t="shared" ca="1" si="53"/>
        <v>1</v>
      </c>
      <c r="BA121" s="2"/>
      <c r="BB121" s="2"/>
      <c r="BC121" s="2"/>
      <c r="BD121" s="2"/>
      <c r="BE121" s="2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</row>
    <row r="122" spans="1:142" s="24" customFormat="1" ht="15" customHeight="1">
      <c r="A122" s="4"/>
      <c r="B122" s="268" t="str">
        <f t="shared" ca="1" si="54"/>
        <v>ИТОГО</v>
      </c>
      <c r="C122" s="268"/>
      <c r="D122" s="269">
        <f ca="1">IF(N122=0,IF(N121=1,SUM(D$62:E121)," "),IF(N122=0," ",IF(N123=1,D$62,IF(N123=0,D$4-D$62*(M$50-1)," "))))</f>
        <v>4000.0000000000027</v>
      </c>
      <c r="E122" s="269"/>
      <c r="F122" s="87">
        <f ca="1">IF(N122=0,IF(N121=1,SUM(F$62:F121)," "),IF(M$37=1,P122,IF(M$37=2,Q122," ")))</f>
        <v>1666.6302026111098</v>
      </c>
      <c r="G122" s="87">
        <v>0</v>
      </c>
      <c r="H122" s="87">
        <f t="shared" ca="1" si="55"/>
        <v>5666.6302026111125</v>
      </c>
      <c r="I122" s="87">
        <f t="shared" ca="1" si="56"/>
        <v>0</v>
      </c>
      <c r="J122" s="87">
        <f t="shared" ca="1" si="41"/>
        <v>0</v>
      </c>
      <c r="K122" s="87">
        <v>0</v>
      </c>
      <c r="L122" s="87" t="str">
        <f t="shared" ca="1" si="57"/>
        <v xml:space="preserve"> </v>
      </c>
      <c r="M122" s="2">
        <v>61</v>
      </c>
      <c r="N122" s="2">
        <f t="shared" ca="1" si="34"/>
        <v>0</v>
      </c>
      <c r="O122" s="2">
        <f t="shared" ca="1" si="42"/>
        <v>20</v>
      </c>
      <c r="P122" s="134">
        <f t="shared" ca="1" si="19"/>
        <v>0</v>
      </c>
      <c r="Q122" s="134">
        <f t="shared" ca="1" si="20"/>
        <v>0</v>
      </c>
      <c r="R122" s="134">
        <f t="shared" ca="1" si="58"/>
        <v>0</v>
      </c>
      <c r="S122" s="134">
        <f t="shared" ca="1" si="59"/>
        <v>4000.0000000000027</v>
      </c>
      <c r="T122" s="134">
        <f t="shared" ca="1" si="33"/>
        <v>4000.0000000000027</v>
      </c>
      <c r="U122" s="134">
        <f ca="1">IF(N123=1,R121*D$5*20/36000+R122*D$5*10/36000,IF(N123=0,IF(N122=0,0,IF(D$10&gt;20,R121*D$5*20/36000+R122*D$5*(Q$48-20)/36000,R122*D$5*Q$48/36000))))</f>
        <v>0</v>
      </c>
      <c r="V122" s="134">
        <f ca="1">IF(N123=1,R121*D$5*20/36000+R122*D$5*10/36000,IF(N123=0,IF(N122=0,0,IF(D$10&gt;20,R121*D$5*20/36000+R122*D$5*(Q$48-20)/36000,R122*D$5*Q$48/36000))))</f>
        <v>0</v>
      </c>
      <c r="W122" s="134">
        <f ca="1">IF(N123=1,D4*D$5*20/36000+D4*D$5*10/36000,IF(N123=0,IF(N122=0,0,D4*D$5*Q$48/36000)))</f>
        <v>0</v>
      </c>
      <c r="X122" s="134">
        <f t="shared" ca="1" si="61"/>
        <v>0</v>
      </c>
      <c r="Y122" s="134">
        <f t="shared" ca="1" si="43"/>
        <v>-2.5011104298755527E-12</v>
      </c>
      <c r="Z122" s="134">
        <f ca="1">IF(N123=1,Y121*D$5*20/36000+Y122*D$5*10/36000,IF(N123=0,IF(N122=0,0,IF(D$10&gt;20,Y121*D$5*20/36000+Y122*D$5*(Q$48-20)/36000,Y122*D$5*Q$48/36000))))</f>
        <v>0</v>
      </c>
      <c r="AA122" s="134">
        <f t="shared" ca="1" si="25"/>
        <v>0</v>
      </c>
      <c r="AB122" s="134">
        <f ca="1">R122*Q$48</f>
        <v>0</v>
      </c>
      <c r="AC122" s="134"/>
      <c r="AD122" s="134">
        <f t="shared" ca="1" si="44"/>
        <v>0</v>
      </c>
      <c r="AE122" s="134">
        <f t="shared" ca="1" si="45"/>
        <v>0</v>
      </c>
      <c r="AF122" s="134">
        <f ca="1">IF(N123=1,D4*G$48*20/36000+D4*G$48*10/36000,IF(N123=0,IF(N122=0,0,D4*G$48*Q$48/36000)))</f>
        <v>0</v>
      </c>
      <c r="AG122" s="134">
        <f t="shared" ca="1" si="46"/>
        <v>0</v>
      </c>
      <c r="AH122" s="134">
        <f ca="1">IF(N123=1,Y121*G$48*20/36000+Y122*G$48*10/36000,IF(N123=0,IF(N122=0,0,Y122*G$48*Q$48/36000)))</f>
        <v>0</v>
      </c>
      <c r="AI122" s="134">
        <f t="shared" ca="1" si="29"/>
        <v>0</v>
      </c>
      <c r="AJ122" s="134">
        <f t="shared" ca="1" si="47"/>
        <v>0</v>
      </c>
      <c r="AK122" s="134">
        <f ca="1">IF(N123=1,AJ121*G$48*20/36000+AJ122*G$48*10/36000,IF(N123=0,IF(N122=0,0,AJ122*G$48*Q$48/36000)))</f>
        <v>0</v>
      </c>
      <c r="AL122" s="134">
        <f ca="1">IF(N123=1,AJ121*G$48*20/36000+AJ122*G$48*10/36000,IF(N123=0,IF(N122=0,0,AJ122*G$48*Q$48/36000)))</f>
        <v>0</v>
      </c>
      <c r="AM122" s="132">
        <f t="shared" ca="1" si="64"/>
        <v>0</v>
      </c>
      <c r="AN122" s="132">
        <f t="shared" ca="1" si="48"/>
        <v>0</v>
      </c>
      <c r="AO122" s="2">
        <f t="shared" ca="1" si="65"/>
        <v>0</v>
      </c>
      <c r="AP122" s="2">
        <f t="shared" ca="1" si="49"/>
        <v>0</v>
      </c>
      <c r="AQ122" s="2">
        <f t="shared" ca="1" si="50"/>
        <v>0</v>
      </c>
      <c r="AR122" s="2">
        <f t="shared" ca="1" si="51"/>
        <v>30</v>
      </c>
      <c r="AS122" s="2">
        <f t="shared" si="52"/>
        <v>20</v>
      </c>
      <c r="AT122" s="2">
        <f t="shared" ca="1" si="66"/>
        <v>30</v>
      </c>
      <c r="AU122" s="2"/>
      <c r="AV122" s="2"/>
      <c r="AW122" s="2"/>
      <c r="AX122" s="2"/>
      <c r="AY122" s="2"/>
      <c r="AZ122" s="2">
        <f t="shared" ca="1" si="53"/>
        <v>0</v>
      </c>
      <c r="BA122" s="2"/>
      <c r="BB122" s="2"/>
      <c r="BC122" s="2"/>
      <c r="BD122" s="2"/>
      <c r="BE122" s="2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</row>
    <row r="123" spans="1:142" s="26" customFormat="1" ht="15" customHeight="1">
      <c r="B123" s="303" t="s">
        <v>269</v>
      </c>
      <c r="C123" s="303"/>
      <c r="D123" s="304">
        <f ca="1">SUM(D62:E121)</f>
        <v>4000.0000000000027</v>
      </c>
      <c r="E123" s="304"/>
      <c r="F123" s="304">
        <f ca="1">SUM(F62:G121)</f>
        <v>1666.6302026111098</v>
      </c>
      <c r="G123" s="304"/>
      <c r="H123" s="171">
        <f ca="1">SUM(H62:H121)</f>
        <v>5666.6302026111071</v>
      </c>
      <c r="I123" s="171">
        <f ca="1">SUM(I62:I121)</f>
        <v>4884.2962848838124</v>
      </c>
      <c r="J123" s="304">
        <f ca="1">SUM(J62:K121)</f>
        <v>1988.4752401111098</v>
      </c>
      <c r="K123" s="304"/>
      <c r="L123" s="171">
        <f ca="1">SUM(L62:L121)</f>
        <v>6872.7715249949188</v>
      </c>
      <c r="M123" s="170"/>
      <c r="N123" s="135"/>
      <c r="O123" s="135"/>
      <c r="P123" s="136"/>
      <c r="Q123" s="136"/>
      <c r="R123" s="136"/>
      <c r="S123" s="136"/>
      <c r="T123" s="136"/>
      <c r="U123" s="136">
        <f t="shared" ref="U123:AL123" ca="1" si="77">SUM(U62:U122)</f>
        <v>1666.6302026111098</v>
      </c>
      <c r="V123" s="136">
        <f t="shared" ca="1" si="77"/>
        <v>1666.6302026111098</v>
      </c>
      <c r="W123" s="136">
        <f t="shared" ca="1" si="77"/>
        <v>3219.9111111111092</v>
      </c>
      <c r="X123" s="136">
        <f t="shared" ca="1" si="77"/>
        <v>3010</v>
      </c>
      <c r="Y123" s="136"/>
      <c r="Z123" s="136"/>
      <c r="AA123" s="136"/>
      <c r="AB123" s="136">
        <f t="shared" ca="1" si="77"/>
        <v>3723299.0399999958</v>
      </c>
      <c r="AC123" s="136"/>
      <c r="AD123" s="136">
        <f t="shared" ca="1" si="77"/>
        <v>0</v>
      </c>
      <c r="AE123" s="136">
        <f t="shared" ca="1" si="77"/>
        <v>0</v>
      </c>
      <c r="AF123" s="136">
        <f t="shared" ca="1" si="77"/>
        <v>0</v>
      </c>
      <c r="AG123" s="136">
        <f t="shared" ca="1" si="77"/>
        <v>0</v>
      </c>
      <c r="AH123" s="136"/>
      <c r="AI123" s="136"/>
      <c r="AJ123" s="136">
        <f t="shared" ca="1" si="77"/>
        <v>121994.0999999999</v>
      </c>
      <c r="AK123" s="136">
        <f t="shared" ca="1" si="77"/>
        <v>0</v>
      </c>
      <c r="AL123" s="136">
        <f t="shared" ca="1" si="77"/>
        <v>0</v>
      </c>
      <c r="AM123" s="136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</row>
    <row r="124" spans="1:142" ht="66.75" hidden="1" customHeight="1">
      <c r="A124" s="28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29"/>
      <c r="N124" s="29"/>
      <c r="O124" s="29"/>
      <c r="P124" s="29"/>
      <c r="Q124" s="29"/>
    </row>
    <row r="125" spans="1:142" ht="9" hidden="1" customHeight="1">
      <c r="A125" s="28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</row>
    <row r="126" spans="1:142" ht="6.75" hidden="1" customHeight="1">
      <c r="A126" s="28"/>
      <c r="B126" s="301"/>
      <c r="C126" s="301"/>
      <c r="D126" s="301"/>
      <c r="E126" s="301"/>
      <c r="F126" s="301"/>
      <c r="G126" s="301"/>
      <c r="H126" s="301"/>
      <c r="I126" s="79"/>
      <c r="J126" s="79"/>
      <c r="K126" s="79"/>
      <c r="L126" s="79"/>
      <c r="M126" s="29"/>
      <c r="P126" s="29"/>
      <c r="Q126" s="29"/>
    </row>
    <row r="127" spans="1:142" ht="14.25" hidden="1" customHeight="1">
      <c r="A127" s="4"/>
      <c r="B127" s="2"/>
      <c r="C127" s="2"/>
      <c r="D127" s="2"/>
      <c r="E127" s="2"/>
      <c r="F127" s="2"/>
      <c r="G127" s="30"/>
      <c r="H127" s="30"/>
      <c r="I127" s="30"/>
      <c r="J127" s="30"/>
      <c r="K127" s="30"/>
      <c r="L127" s="30"/>
      <c r="M127" s="30"/>
      <c r="N127" s="30"/>
      <c r="O127" s="30"/>
      <c r="P127" s="30"/>
    </row>
    <row r="128" spans="1:142" ht="5.25" hidden="1" customHeight="1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</row>
    <row r="129" spans="1:69" s="19" customFormat="1" ht="19.5" hidden="1" customHeight="1">
      <c r="A129" s="4"/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2"/>
      <c r="N129" s="29"/>
      <c r="O129" s="29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</row>
    <row r="130" spans="1:69" s="19" customFormat="1" ht="30" hidden="1" customHeight="1">
      <c r="A130" s="31"/>
      <c r="B130" s="305"/>
      <c r="C130" s="305"/>
      <c r="D130" s="305"/>
      <c r="E130" s="305"/>
      <c r="F130" s="305"/>
      <c r="G130" s="305"/>
      <c r="H130" s="305"/>
      <c r="I130" s="305"/>
      <c r="J130" s="305"/>
      <c r="K130" s="305"/>
      <c r="L130" s="305"/>
      <c r="M130" s="2"/>
      <c r="N130" s="29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</row>
    <row r="131" spans="1:69" s="19" customFormat="1" ht="5.25" hidden="1" customHeight="1">
      <c r="A131" s="3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2"/>
      <c r="N131" s="300"/>
      <c r="O131" s="300"/>
      <c r="P131" s="300"/>
      <c r="Q131" s="300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</row>
    <row r="132" spans="1:69" s="19" customFormat="1" ht="12.75" hidden="1" customHeight="1">
      <c r="A132" s="31"/>
      <c r="B132" s="302"/>
      <c r="C132" s="302"/>
      <c r="D132" s="302"/>
      <c r="E132" s="302"/>
      <c r="F132" s="302"/>
      <c r="G132" s="302"/>
      <c r="H132" s="302"/>
      <c r="I132" s="302"/>
      <c r="J132" s="302"/>
      <c r="K132" s="104"/>
      <c r="L132" s="104"/>
      <c r="M132" s="2"/>
      <c r="N132" s="2"/>
      <c r="O132" s="2"/>
      <c r="P132" s="2"/>
      <c r="Q132" s="2"/>
      <c r="R132" s="2"/>
      <c r="S132" s="2"/>
      <c r="T132" s="2"/>
      <c r="U132" s="2" t="s">
        <v>42</v>
      </c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</row>
    <row r="133" spans="1:69" s="50" customFormat="1" ht="25.5" hidden="1" customHeight="1">
      <c r="A133" s="32">
        <f t="shared" ref="A133:A139" si="78">IF(LEFT(B133,1)="I",1,0)</f>
        <v>0</v>
      </c>
      <c r="B133" s="299"/>
      <c r="C133" s="299"/>
      <c r="D133" s="299"/>
      <c r="E133" s="299"/>
      <c r="F133" s="299"/>
      <c r="G133" s="299"/>
      <c r="H133" s="299"/>
      <c r="I133" s="67"/>
      <c r="J133" s="67"/>
      <c r="K133" s="67"/>
      <c r="L133" s="67"/>
      <c r="M133" s="137"/>
      <c r="N133" s="138"/>
      <c r="O133" s="138"/>
      <c r="P133" s="138"/>
      <c r="Q133" s="138"/>
      <c r="R133" s="138"/>
      <c r="S133" s="138"/>
      <c r="T133" s="138"/>
      <c r="U133" s="138" t="s">
        <v>43</v>
      </c>
      <c r="V133" s="138" t="s">
        <v>43</v>
      </c>
      <c r="W133" s="138"/>
      <c r="X133" s="138"/>
      <c r="Y133" s="138"/>
      <c r="Z133" s="138"/>
      <c r="AA133" s="138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</row>
    <row r="134" spans="1:69" s="50" customFormat="1" ht="25.5" hidden="1" customHeight="1">
      <c r="A134" s="105">
        <f t="shared" si="78"/>
        <v>0</v>
      </c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137"/>
      <c r="N134" s="139"/>
      <c r="O134" s="139"/>
      <c r="P134" s="139"/>
      <c r="Q134" s="139"/>
      <c r="R134" s="139"/>
      <c r="S134" s="139"/>
      <c r="T134" s="139"/>
      <c r="U134" s="139" t="s">
        <v>45</v>
      </c>
      <c r="V134" s="139" t="s">
        <v>45</v>
      </c>
      <c r="W134" s="139"/>
      <c r="X134" s="139"/>
      <c r="Y134" s="139"/>
      <c r="Z134" s="139"/>
      <c r="AA134" s="139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</row>
    <row r="135" spans="1:69" s="34" customFormat="1" ht="25.5" hidden="1" customHeight="1">
      <c r="A135" s="105">
        <f t="shared" si="78"/>
        <v>0</v>
      </c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137"/>
      <c r="N135" s="139"/>
      <c r="O135" s="139"/>
      <c r="P135" s="139"/>
      <c r="Q135" s="139"/>
      <c r="R135" s="139"/>
      <c r="S135" s="139"/>
      <c r="T135" s="139"/>
      <c r="U135" s="138" t="s">
        <v>48</v>
      </c>
      <c r="V135" s="138" t="s">
        <v>48</v>
      </c>
      <c r="W135" s="138"/>
      <c r="X135" s="138"/>
      <c r="Y135" s="138"/>
      <c r="Z135" s="138"/>
      <c r="AA135" s="138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</row>
    <row r="136" spans="1:69" s="34" customFormat="1" ht="25.5" hidden="1" customHeight="1">
      <c r="A136" s="32">
        <f t="shared" si="78"/>
        <v>0</v>
      </c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137"/>
      <c r="N136" s="139"/>
      <c r="O136" s="139"/>
      <c r="P136" s="139"/>
      <c r="Q136" s="139"/>
      <c r="R136" s="140"/>
      <c r="S136" s="140"/>
      <c r="T136" s="140"/>
      <c r="U136" s="139" t="s">
        <v>98</v>
      </c>
      <c r="V136" s="139" t="s">
        <v>98</v>
      </c>
      <c r="W136" s="139"/>
      <c r="X136" s="139"/>
      <c r="Y136" s="139"/>
      <c r="Z136" s="139"/>
      <c r="AA136" s="139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</row>
    <row r="137" spans="1:69" s="50" customFormat="1" ht="25.5" hidden="1" customHeight="1">
      <c r="A137" s="32">
        <f t="shared" si="78"/>
        <v>0</v>
      </c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137"/>
      <c r="N137" s="139"/>
      <c r="O137" s="139"/>
      <c r="P137" s="139"/>
      <c r="Q137" s="139"/>
      <c r="R137" s="139"/>
      <c r="S137" s="139"/>
      <c r="T137" s="139"/>
      <c r="U137" s="139" t="s">
        <v>54</v>
      </c>
      <c r="V137" s="139" t="s">
        <v>55</v>
      </c>
      <c r="W137" s="139"/>
      <c r="X137" s="139"/>
      <c r="Y137" s="139"/>
      <c r="Z137" s="139"/>
      <c r="AA137" s="139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</row>
    <row r="138" spans="1:69" s="50" customFormat="1" ht="25.5" hidden="1" customHeight="1">
      <c r="A138" s="105">
        <f t="shared" si="78"/>
        <v>0</v>
      </c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137"/>
      <c r="N138" s="139"/>
      <c r="O138" s="139"/>
      <c r="P138" s="139"/>
      <c r="Q138" s="139"/>
      <c r="R138" s="139"/>
      <c r="S138" s="139"/>
      <c r="T138" s="139"/>
      <c r="U138" s="139" t="s">
        <v>106</v>
      </c>
      <c r="V138" s="139" t="s">
        <v>106</v>
      </c>
      <c r="W138" s="139"/>
      <c r="X138" s="139"/>
      <c r="Y138" s="139"/>
      <c r="Z138" s="139"/>
      <c r="AA138" s="139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</row>
    <row r="139" spans="1:69" s="34" customFormat="1" ht="25.5" hidden="1" customHeight="1">
      <c r="A139" s="105">
        <f t="shared" si="78"/>
        <v>0</v>
      </c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137"/>
      <c r="N139" s="139"/>
      <c r="O139" s="139"/>
      <c r="P139" s="139"/>
      <c r="Q139" s="139"/>
      <c r="R139" s="139"/>
      <c r="S139" s="139"/>
      <c r="T139" s="139"/>
      <c r="U139" s="138" t="s">
        <v>61</v>
      </c>
      <c r="V139" s="138" t="s">
        <v>62</v>
      </c>
      <c r="W139" s="138"/>
      <c r="X139" s="138"/>
      <c r="Y139" s="138"/>
      <c r="Z139" s="138"/>
      <c r="AA139" s="138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</row>
    <row r="140" spans="1:69" s="34" customFormat="1" ht="25.5" hidden="1" customHeight="1">
      <c r="A140" s="32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137"/>
      <c r="N140" s="139"/>
      <c r="O140" s="139"/>
      <c r="P140" s="139"/>
      <c r="Q140" s="139"/>
      <c r="R140" s="139"/>
      <c r="S140" s="141"/>
      <c r="T140" s="141"/>
      <c r="U140" s="139"/>
      <c r="V140" s="138"/>
      <c r="W140" s="138"/>
      <c r="X140" s="138"/>
      <c r="Y140" s="138"/>
      <c r="Z140" s="138"/>
      <c r="AA140" s="138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</row>
    <row r="141" spans="1:69" s="50" customFormat="1" ht="25.5" hidden="1" customHeight="1">
      <c r="A141" s="32">
        <f t="shared" ref="A141:A156" si="79">IF(LEFT(B141,1)="I",1,0)</f>
        <v>0</v>
      </c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137"/>
      <c r="N141" s="139"/>
      <c r="O141" s="139"/>
      <c r="P141" s="139"/>
      <c r="Q141" s="139"/>
      <c r="R141" s="139"/>
      <c r="S141" s="139"/>
      <c r="T141" s="139"/>
      <c r="U141" s="139" t="s">
        <v>36</v>
      </c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</row>
    <row r="142" spans="1:69" s="50" customFormat="1" ht="25.5" hidden="1" customHeight="1">
      <c r="A142" s="105">
        <f t="shared" si="79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137"/>
      <c r="N142" s="139"/>
      <c r="O142" s="139"/>
      <c r="P142" s="139"/>
      <c r="Q142" s="139"/>
      <c r="R142" s="139"/>
      <c r="S142" s="139"/>
      <c r="T142" s="139"/>
      <c r="U142" s="139" t="s">
        <v>36</v>
      </c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</row>
    <row r="143" spans="1:69" s="34" customFormat="1" ht="25.5" hidden="1" customHeight="1">
      <c r="A143" s="105">
        <f t="shared" si="79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137"/>
      <c r="N143" s="139"/>
      <c r="O143" s="139"/>
      <c r="P143" s="139"/>
      <c r="Q143" s="139"/>
      <c r="R143" s="138"/>
      <c r="S143" s="138"/>
      <c r="T143" s="138"/>
      <c r="U143" s="139" t="s">
        <v>36</v>
      </c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</row>
    <row r="144" spans="1:69" s="50" customFormat="1" ht="25.5" hidden="1" customHeight="1">
      <c r="A144" s="32">
        <f t="shared" si="79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137"/>
      <c r="N144" s="139"/>
      <c r="O144" s="139"/>
      <c r="P144" s="139"/>
      <c r="Q144" s="139"/>
      <c r="R144" s="139"/>
      <c r="S144" s="139"/>
      <c r="T144" s="139"/>
      <c r="U144" s="139" t="s">
        <v>36</v>
      </c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</row>
    <row r="145" spans="1:69" s="34" customFormat="1" ht="25.5" hidden="1" customHeight="1">
      <c r="A145" s="105">
        <f t="shared" si="79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137"/>
      <c r="N145" s="139"/>
      <c r="O145" s="139"/>
      <c r="P145" s="139"/>
      <c r="Q145" s="139"/>
      <c r="R145" s="139"/>
      <c r="S145" s="139"/>
      <c r="T145" s="139"/>
      <c r="U145" s="137" t="s">
        <v>36</v>
      </c>
      <c r="V145" s="138" t="s">
        <v>48</v>
      </c>
      <c r="W145" s="138"/>
      <c r="X145" s="138"/>
      <c r="Y145" s="138"/>
      <c r="Z145" s="138"/>
      <c r="AA145" s="138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</row>
    <row r="146" spans="1:69" s="34" customFormat="1" ht="25.5" hidden="1" customHeight="1">
      <c r="A146" s="32">
        <f t="shared" si="79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137"/>
      <c r="N146" s="139"/>
      <c r="O146" s="139"/>
      <c r="P146" s="139"/>
      <c r="Q146" s="139"/>
      <c r="R146" s="139"/>
      <c r="S146" s="139"/>
      <c r="T146" s="139"/>
      <c r="U146" s="137" t="s">
        <v>36</v>
      </c>
      <c r="V146" s="139" t="s">
        <v>98</v>
      </c>
      <c r="W146" s="139"/>
      <c r="X146" s="139"/>
      <c r="Y146" s="139"/>
      <c r="Z146" s="139"/>
      <c r="AA146" s="139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</row>
    <row r="147" spans="1:69" s="50" customFormat="1" ht="25.5" hidden="1" customHeight="1">
      <c r="A147" s="32">
        <f t="shared" si="79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137"/>
      <c r="N147" s="139"/>
      <c r="O147" s="139"/>
      <c r="P147" s="139"/>
      <c r="Q147" s="139"/>
      <c r="R147" s="138"/>
      <c r="S147" s="138"/>
      <c r="T147" s="138"/>
      <c r="U147" s="137" t="s">
        <v>36</v>
      </c>
      <c r="V147" s="139" t="s">
        <v>54</v>
      </c>
      <c r="W147" s="139"/>
      <c r="X147" s="139"/>
      <c r="Y147" s="139"/>
      <c r="Z147" s="139"/>
      <c r="AA147" s="139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</row>
    <row r="148" spans="1:69" s="34" customFormat="1" ht="25.5" hidden="1" customHeight="1">
      <c r="A148" s="105">
        <f t="shared" si="79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137"/>
      <c r="N148" s="139"/>
      <c r="O148" s="139"/>
      <c r="P148" s="139"/>
      <c r="Q148" s="139"/>
      <c r="R148" s="137"/>
      <c r="S148" s="137"/>
      <c r="T148" s="137"/>
      <c r="U148" s="137" t="s">
        <v>36</v>
      </c>
      <c r="V148" s="139" t="s">
        <v>73</v>
      </c>
      <c r="W148" s="139"/>
      <c r="X148" s="139"/>
      <c r="Y148" s="139"/>
      <c r="Z148" s="139"/>
      <c r="AA148" s="139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</row>
    <row r="149" spans="1:69" s="50" customFormat="1" ht="25.5" hidden="1" customHeight="1">
      <c r="A149" s="32">
        <f t="shared" si="79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137"/>
      <c r="N149" s="139"/>
      <c r="O149" s="139"/>
      <c r="P149" s="139"/>
      <c r="Q149" s="139"/>
      <c r="R149" s="139"/>
      <c r="S149" s="139"/>
      <c r="T149" s="139"/>
      <c r="U149" s="139" t="s">
        <v>36</v>
      </c>
      <c r="V149" s="139" t="s">
        <v>105</v>
      </c>
      <c r="W149" s="139"/>
      <c r="X149" s="139"/>
      <c r="Y149" s="139"/>
      <c r="Z149" s="139"/>
      <c r="AA149" s="139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</row>
    <row r="150" spans="1:69" s="34" customFormat="1" ht="25.5" hidden="1" customHeight="1">
      <c r="A150" s="105">
        <f t="shared" si="79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137"/>
      <c r="N150" s="139"/>
      <c r="O150" s="139"/>
      <c r="P150" s="139"/>
      <c r="Q150" s="139"/>
      <c r="R150" s="138"/>
      <c r="S150" s="138"/>
      <c r="T150" s="138"/>
      <c r="U150" s="138" t="s">
        <v>36</v>
      </c>
      <c r="V150" s="137" t="s">
        <v>36</v>
      </c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</row>
    <row r="151" spans="1:69" s="50" customFormat="1" ht="25.5" hidden="1" customHeight="1">
      <c r="A151" s="32">
        <f t="shared" si="79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137"/>
      <c r="N151" s="138"/>
      <c r="O151" s="138"/>
      <c r="P151" s="138"/>
      <c r="Q151" s="138"/>
      <c r="R151" s="138"/>
      <c r="S151" s="138"/>
      <c r="T151" s="138"/>
      <c r="U151" s="138" t="s">
        <v>36</v>
      </c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</row>
    <row r="152" spans="1:69" s="34" customFormat="1" ht="25.5" hidden="1" customHeight="1">
      <c r="A152" s="105">
        <f t="shared" si="79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137"/>
      <c r="N152" s="139"/>
      <c r="O152" s="139"/>
      <c r="P152" s="139"/>
      <c r="Q152" s="139"/>
      <c r="R152" s="138"/>
      <c r="S152" s="138"/>
      <c r="T152" s="138"/>
      <c r="U152" s="138" t="s">
        <v>36</v>
      </c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</row>
    <row r="153" spans="1:69" s="34" customFormat="1" ht="25.5" hidden="1" customHeight="1">
      <c r="A153" s="32">
        <f t="shared" si="79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137"/>
      <c r="N153" s="139"/>
      <c r="O153" s="139"/>
      <c r="P153" s="139"/>
      <c r="Q153" s="139"/>
      <c r="R153" s="138"/>
      <c r="S153" s="138"/>
      <c r="T153" s="138"/>
      <c r="U153" s="138" t="s">
        <v>36</v>
      </c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</row>
    <row r="154" spans="1:69" s="34" customFormat="1" ht="25.5" hidden="1" customHeight="1">
      <c r="A154" s="32">
        <f t="shared" si="79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137"/>
      <c r="N154" s="139"/>
      <c r="O154" s="139"/>
      <c r="P154" s="139"/>
      <c r="Q154" s="139"/>
      <c r="R154" s="138"/>
      <c r="S154" s="138"/>
      <c r="T154" s="138"/>
      <c r="U154" s="138" t="s">
        <v>36</v>
      </c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</row>
    <row r="155" spans="1:69" s="34" customFormat="1" ht="25.5" hidden="1" customHeight="1">
      <c r="A155" s="32">
        <f t="shared" si="79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137"/>
      <c r="N155" s="139"/>
      <c r="O155" s="139"/>
      <c r="P155" s="138"/>
      <c r="Q155" s="138"/>
      <c r="R155" s="138"/>
      <c r="S155" s="138"/>
      <c r="T155" s="138"/>
      <c r="U155" s="138" t="s">
        <v>36</v>
      </c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</row>
    <row r="156" spans="1:69" s="50" customFormat="1" ht="25.5" hidden="1" customHeight="1">
      <c r="A156" s="32">
        <f t="shared" si="79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137"/>
      <c r="N156" s="138"/>
      <c r="O156" s="138"/>
      <c r="P156" s="138"/>
      <c r="Q156" s="138"/>
      <c r="R156" s="138"/>
      <c r="S156" s="138"/>
      <c r="T156" s="138"/>
      <c r="U156" s="138" t="s">
        <v>36</v>
      </c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</row>
  </sheetData>
  <sheetProtection password="DDCB" sheet="1" objects="1" scenarios="1"/>
  <mergeCells count="233">
    <mergeCell ref="G19:J19"/>
    <mergeCell ref="F18:J18"/>
    <mergeCell ref="F21:J21"/>
    <mergeCell ref="G20:J20"/>
    <mergeCell ref="D13:F13"/>
    <mergeCell ref="D10:E10"/>
    <mergeCell ref="D12:F12"/>
    <mergeCell ref="B14:J14"/>
    <mergeCell ref="B15:J15"/>
    <mergeCell ref="B16:J16"/>
    <mergeCell ref="B17:J17"/>
    <mergeCell ref="B64:C64"/>
    <mergeCell ref="D64:E64"/>
    <mergeCell ref="M48:P48"/>
    <mergeCell ref="D6:E6"/>
    <mergeCell ref="M47:P47"/>
    <mergeCell ref="D8:E8"/>
    <mergeCell ref="N37:Q37"/>
    <mergeCell ref="B1:C1"/>
    <mergeCell ref="D1:F1"/>
    <mergeCell ref="B41:I41"/>
    <mergeCell ref="F37:H40"/>
    <mergeCell ref="B2:C2"/>
    <mergeCell ref="B7:C7"/>
    <mergeCell ref="B60:C61"/>
    <mergeCell ref="B9:C9"/>
    <mergeCell ref="B10:C10"/>
    <mergeCell ref="B8:C8"/>
    <mergeCell ref="B13:C13"/>
    <mergeCell ref="B11:C11"/>
    <mergeCell ref="B20:B21"/>
    <mergeCell ref="C20:E21"/>
    <mergeCell ref="D9:E9"/>
    <mergeCell ref="D7:F7"/>
    <mergeCell ref="D11:F11"/>
    <mergeCell ref="D2:F2"/>
    <mergeCell ref="B6:C6"/>
    <mergeCell ref="B4:C4"/>
    <mergeCell ref="D4:E4"/>
    <mergeCell ref="B5:C5"/>
    <mergeCell ref="D5:E5"/>
    <mergeCell ref="B62:C62"/>
    <mergeCell ref="D62:E62"/>
    <mergeCell ref="B63:C63"/>
    <mergeCell ref="D63:E63"/>
    <mergeCell ref="F33:J33"/>
    <mergeCell ref="G22:J22"/>
    <mergeCell ref="F23:J23"/>
    <mergeCell ref="G24:J24"/>
    <mergeCell ref="F25:J25"/>
    <mergeCell ref="F26:J26"/>
    <mergeCell ref="F27:J27"/>
    <mergeCell ref="C18:E18"/>
    <mergeCell ref="C26:E26"/>
    <mergeCell ref="B22:B23"/>
    <mergeCell ref="C22:E23"/>
    <mergeCell ref="C19:E19"/>
    <mergeCell ref="B24:B25"/>
    <mergeCell ref="D60:H60"/>
    <mergeCell ref="D73:E73"/>
    <mergeCell ref="B74:C74"/>
    <mergeCell ref="B73:C73"/>
    <mergeCell ref="D74:E74"/>
    <mergeCell ref="B76:C76"/>
    <mergeCell ref="D76:E76"/>
    <mergeCell ref="B70:C70"/>
    <mergeCell ref="D70:E70"/>
    <mergeCell ref="D69:E69"/>
    <mergeCell ref="B69:C69"/>
    <mergeCell ref="D75:E75"/>
    <mergeCell ref="B75:C75"/>
    <mergeCell ref="B83:C83"/>
    <mergeCell ref="D83:E83"/>
    <mergeCell ref="B82:C82"/>
    <mergeCell ref="D82:E82"/>
    <mergeCell ref="B79:C79"/>
    <mergeCell ref="D79:E79"/>
    <mergeCell ref="B77:C77"/>
    <mergeCell ref="D77:E77"/>
    <mergeCell ref="B80:C80"/>
    <mergeCell ref="D80:E80"/>
    <mergeCell ref="B81:C81"/>
    <mergeCell ref="D81:E81"/>
    <mergeCell ref="D93:E93"/>
    <mergeCell ref="B94:C94"/>
    <mergeCell ref="D94:E94"/>
    <mergeCell ref="D101:E101"/>
    <mergeCell ref="D105:E105"/>
    <mergeCell ref="D103:E103"/>
    <mergeCell ref="D99:E99"/>
    <mergeCell ref="B87:C87"/>
    <mergeCell ref="D87:E87"/>
    <mergeCell ref="B88:C88"/>
    <mergeCell ref="D88:E88"/>
    <mergeCell ref="D97:E97"/>
    <mergeCell ref="D98:E98"/>
    <mergeCell ref="B95:C95"/>
    <mergeCell ref="D95:E95"/>
    <mergeCell ref="B90:C90"/>
    <mergeCell ref="D90:E90"/>
    <mergeCell ref="D91:E91"/>
    <mergeCell ref="B96:C96"/>
    <mergeCell ref="D96:E96"/>
    <mergeCell ref="B93:C93"/>
    <mergeCell ref="D106:E106"/>
    <mergeCell ref="D104:E104"/>
    <mergeCell ref="B101:C101"/>
    <mergeCell ref="B102:C102"/>
    <mergeCell ref="B97:C97"/>
    <mergeCell ref="B104:C104"/>
    <mergeCell ref="B103:C103"/>
    <mergeCell ref="B99:C99"/>
    <mergeCell ref="B98:C98"/>
    <mergeCell ref="B106:C106"/>
    <mergeCell ref="B105:C105"/>
    <mergeCell ref="B100:C100"/>
    <mergeCell ref="D100:E100"/>
    <mergeCell ref="D102:E102"/>
    <mergeCell ref="B110:C110"/>
    <mergeCell ref="B114:C114"/>
    <mergeCell ref="D114:E114"/>
    <mergeCell ref="B111:C111"/>
    <mergeCell ref="D109:E109"/>
    <mergeCell ref="D107:E107"/>
    <mergeCell ref="D110:E110"/>
    <mergeCell ref="B109:C109"/>
    <mergeCell ref="B107:C107"/>
    <mergeCell ref="B108:C108"/>
    <mergeCell ref="D108:E108"/>
    <mergeCell ref="B124:L124"/>
    <mergeCell ref="B126:H126"/>
    <mergeCell ref="N131:O131"/>
    <mergeCell ref="B135:L135"/>
    <mergeCell ref="B132:J132"/>
    <mergeCell ref="B134:L134"/>
    <mergeCell ref="B136:L136"/>
    <mergeCell ref="B119:C119"/>
    <mergeCell ref="D119:E119"/>
    <mergeCell ref="B123:C123"/>
    <mergeCell ref="D123:E123"/>
    <mergeCell ref="B121:C121"/>
    <mergeCell ref="D121:E121"/>
    <mergeCell ref="B120:C120"/>
    <mergeCell ref="D120:E120"/>
    <mergeCell ref="B130:L130"/>
    <mergeCell ref="B129:L129"/>
    <mergeCell ref="F123:G123"/>
    <mergeCell ref="D122:E122"/>
    <mergeCell ref="B122:C122"/>
    <mergeCell ref="J123:K123"/>
    <mergeCell ref="B154:L154"/>
    <mergeCell ref="B145:L145"/>
    <mergeCell ref="B156:L156"/>
    <mergeCell ref="P131:Q131"/>
    <mergeCell ref="B133:H133"/>
    <mergeCell ref="B149:L149"/>
    <mergeCell ref="B144:L144"/>
    <mergeCell ref="B139:L139"/>
    <mergeCell ref="B155:L155"/>
    <mergeCell ref="B143:L143"/>
    <mergeCell ref="B148:L148"/>
    <mergeCell ref="B141:L141"/>
    <mergeCell ref="B142:L142"/>
    <mergeCell ref="B151:L151"/>
    <mergeCell ref="B153:L153"/>
    <mergeCell ref="B152:L152"/>
    <mergeCell ref="B137:L137"/>
    <mergeCell ref="B138:L138"/>
    <mergeCell ref="B150:L150"/>
    <mergeCell ref="B146:L146"/>
    <mergeCell ref="B147:L147"/>
    <mergeCell ref="B140:L140"/>
    <mergeCell ref="F35:G35"/>
    <mergeCell ref="B36:E36"/>
    <mergeCell ref="F36:G36"/>
    <mergeCell ref="C33:E33"/>
    <mergeCell ref="B35:E35"/>
    <mergeCell ref="B92:C92"/>
    <mergeCell ref="D92:E92"/>
    <mergeCell ref="D56:F56"/>
    <mergeCell ref="D59:E59"/>
    <mergeCell ref="B71:C71"/>
    <mergeCell ref="B66:C66"/>
    <mergeCell ref="B68:C68"/>
    <mergeCell ref="D66:E66"/>
    <mergeCell ref="B91:C91"/>
    <mergeCell ref="B89:C89"/>
    <mergeCell ref="D89:E89"/>
    <mergeCell ref="D84:E84"/>
    <mergeCell ref="B86:C86"/>
    <mergeCell ref="D86:E86"/>
    <mergeCell ref="B85:C85"/>
    <mergeCell ref="D85:E85"/>
    <mergeCell ref="B84:C84"/>
    <mergeCell ref="B78:C78"/>
    <mergeCell ref="D78:E78"/>
    <mergeCell ref="I60:L60"/>
    <mergeCell ref="D58:F58"/>
    <mergeCell ref="D57:F57"/>
    <mergeCell ref="D72:E72"/>
    <mergeCell ref="D61:E61"/>
    <mergeCell ref="C27:E27"/>
    <mergeCell ref="C24:E25"/>
    <mergeCell ref="C30:E30"/>
    <mergeCell ref="C31:E31"/>
    <mergeCell ref="C32:E32"/>
    <mergeCell ref="F32:J32"/>
    <mergeCell ref="F31:J31"/>
    <mergeCell ref="C29:E29"/>
    <mergeCell ref="F30:J30"/>
    <mergeCell ref="F29:J29"/>
    <mergeCell ref="F28:J28"/>
    <mergeCell ref="C28:E28"/>
    <mergeCell ref="B65:C65"/>
    <mergeCell ref="D65:E65"/>
    <mergeCell ref="B67:C67"/>
    <mergeCell ref="D67:E67"/>
    <mergeCell ref="D68:E68"/>
    <mergeCell ref="B72:C72"/>
    <mergeCell ref="D71:E71"/>
    <mergeCell ref="B117:C117"/>
    <mergeCell ref="D117:E117"/>
    <mergeCell ref="D118:E118"/>
    <mergeCell ref="B118:C118"/>
    <mergeCell ref="D111:E111"/>
    <mergeCell ref="B112:C112"/>
    <mergeCell ref="D113:E113"/>
    <mergeCell ref="D112:E112"/>
    <mergeCell ref="B116:C116"/>
    <mergeCell ref="D116:E116"/>
    <mergeCell ref="B113:C113"/>
    <mergeCell ref="B115:C115"/>
    <mergeCell ref="D115:E115"/>
  </mergeCells>
  <phoneticPr fontId="22" type="noConversion"/>
  <conditionalFormatting sqref="B13 D13">
    <cfRule type="expression" dxfId="771" priority="28" stopIfTrue="1">
      <formula>$M$44</formula>
    </cfRule>
  </conditionalFormatting>
  <conditionalFormatting sqref="B63:C122 D85:F122 H85:H122">
    <cfRule type="expression" dxfId="770" priority="3" stopIfTrue="1">
      <formula>$N63</formula>
    </cfRule>
  </conditionalFormatting>
  <conditionalFormatting sqref="B62:H62">
    <cfRule type="expression" dxfId="769" priority="9" stopIfTrue="1">
      <formula>$N$62</formula>
    </cfRule>
  </conditionalFormatting>
  <conditionalFormatting sqref="B133:I156">
    <cfRule type="expression" dxfId="768" priority="7" stopIfTrue="1">
      <formula>A133</formula>
    </cfRule>
  </conditionalFormatting>
  <conditionalFormatting sqref="D4">
    <cfRule type="cellIs" dxfId="767" priority="1" stopIfTrue="1" operator="greaterThan">
      <formula>5000</formula>
    </cfRule>
  </conditionalFormatting>
  <conditionalFormatting sqref="D6">
    <cfRule type="expression" dxfId="766" priority="35" stopIfTrue="1">
      <formula>$A$61</formula>
    </cfRule>
  </conditionalFormatting>
  <conditionalFormatting sqref="D9">
    <cfRule type="cellIs" dxfId="765" priority="42" stopIfTrue="1" operator="greaterThan">
      <formula>$D$8</formula>
    </cfRule>
  </conditionalFormatting>
  <conditionalFormatting sqref="D82:F82 H82">
    <cfRule type="expression" dxfId="764" priority="32" stopIfTrue="1">
      <formula>$N$82</formula>
    </cfRule>
  </conditionalFormatting>
  <conditionalFormatting sqref="D83:F83 H83">
    <cfRule type="expression" dxfId="763" priority="33" stopIfTrue="1">
      <formula>$N$83</formula>
    </cfRule>
  </conditionalFormatting>
  <conditionalFormatting sqref="D84:F84 H84">
    <cfRule type="expression" dxfId="762" priority="34" stopIfTrue="1">
      <formula>$N$84</formula>
    </cfRule>
  </conditionalFormatting>
  <conditionalFormatting sqref="D63:H63">
    <cfRule type="expression" dxfId="761" priority="10" stopIfTrue="1">
      <formula>$N$63</formula>
    </cfRule>
  </conditionalFormatting>
  <conditionalFormatting sqref="D64:H64">
    <cfRule type="expression" dxfId="760" priority="11" stopIfTrue="1">
      <formula>$N$64</formula>
    </cfRule>
  </conditionalFormatting>
  <conditionalFormatting sqref="D65:H65">
    <cfRule type="expression" dxfId="759" priority="12" stopIfTrue="1">
      <formula>$N$65</formula>
    </cfRule>
  </conditionalFormatting>
  <conditionalFormatting sqref="D66:H66">
    <cfRule type="expression" dxfId="758" priority="13" stopIfTrue="1">
      <formula>$N$66</formula>
    </cfRule>
  </conditionalFormatting>
  <conditionalFormatting sqref="D67:H67">
    <cfRule type="expression" dxfId="757" priority="14" stopIfTrue="1">
      <formula>$N$67</formula>
    </cfRule>
  </conditionalFormatting>
  <conditionalFormatting sqref="D68:H68">
    <cfRule type="expression" dxfId="756" priority="15" stopIfTrue="1">
      <formula>$N$68</formula>
    </cfRule>
  </conditionalFormatting>
  <conditionalFormatting sqref="D69:H69">
    <cfRule type="expression" dxfId="755" priority="16" stopIfTrue="1">
      <formula>$N$69</formula>
    </cfRule>
  </conditionalFormatting>
  <conditionalFormatting sqref="D70:H70">
    <cfRule type="expression" dxfId="754" priority="17" stopIfTrue="1">
      <formula>$N$70</formula>
    </cfRule>
  </conditionalFormatting>
  <conditionalFormatting sqref="D71:H71">
    <cfRule type="expression" dxfId="753" priority="18" stopIfTrue="1">
      <formula>$N$71</formula>
    </cfRule>
  </conditionalFormatting>
  <conditionalFormatting sqref="D72:H72">
    <cfRule type="expression" dxfId="752" priority="19" stopIfTrue="1">
      <formula>$N$72</formula>
    </cfRule>
  </conditionalFormatting>
  <conditionalFormatting sqref="D73:H73">
    <cfRule type="expression" dxfId="751" priority="20" stopIfTrue="1">
      <formula>$N$73</formula>
    </cfRule>
  </conditionalFormatting>
  <conditionalFormatting sqref="D74:H74">
    <cfRule type="expression" dxfId="750" priority="21" stopIfTrue="1">
      <formula>$N$74</formula>
    </cfRule>
  </conditionalFormatting>
  <conditionalFormatting sqref="D75:H75">
    <cfRule type="expression" dxfId="749" priority="22" stopIfTrue="1">
      <formula>$N$75</formula>
    </cfRule>
  </conditionalFormatting>
  <conditionalFormatting sqref="D76:H76">
    <cfRule type="expression" dxfId="748" priority="23" stopIfTrue="1">
      <formula>$N$76</formula>
    </cfRule>
  </conditionalFormatting>
  <conditionalFormatting sqref="D77:H77">
    <cfRule type="expression" dxfId="747" priority="24" stopIfTrue="1">
      <formula>$N$77</formula>
    </cfRule>
  </conditionalFormatting>
  <conditionalFormatting sqref="D78:H78">
    <cfRule type="expression" dxfId="746" priority="25" stopIfTrue="1">
      <formula>$N$78</formula>
    </cfRule>
  </conditionalFormatting>
  <conditionalFormatting sqref="D79:H79">
    <cfRule type="expression" dxfId="745" priority="26" stopIfTrue="1">
      <formula>$N$79</formula>
    </cfRule>
  </conditionalFormatting>
  <conditionalFormatting sqref="D80:H80">
    <cfRule type="expression" dxfId="744" priority="30" stopIfTrue="1">
      <formula>$N$80</formula>
    </cfRule>
  </conditionalFormatting>
  <conditionalFormatting sqref="D81:H81 G82:G122">
    <cfRule type="expression" dxfId="743" priority="31" stopIfTrue="1">
      <formula>$N$81</formula>
    </cfRule>
  </conditionalFormatting>
  <conditionalFormatting sqref="F4 D5">
    <cfRule type="expression" dxfId="742" priority="27" stopIfTrue="1">
      <formula>$M$41</formula>
    </cfRule>
  </conditionalFormatting>
  <conditionalFormatting sqref="G46:L46">
    <cfRule type="expression" dxfId="741" priority="29" stopIfTrue="1">
      <formula>$A$37</formula>
    </cfRule>
  </conditionalFormatting>
  <conditionalFormatting sqref="I61:K61">
    <cfRule type="expression" dxfId="740" priority="71" stopIfTrue="1">
      <formula>$D$9</formula>
    </cfRule>
  </conditionalFormatting>
  <conditionalFormatting sqref="I60:L60 L61">
    <cfRule type="expression" dxfId="739" priority="72" stopIfTrue="1">
      <formula>$D$9</formula>
    </cfRule>
  </conditionalFormatting>
  <conditionalFormatting sqref="I62:L122">
    <cfRule type="expression" dxfId="738" priority="4" stopIfTrue="1">
      <formula>$AZ62</formula>
    </cfRule>
  </conditionalFormatting>
  <conditionalFormatting sqref="J133:J156">
    <cfRule type="expression" dxfId="737" priority="8" stopIfTrue="1">
      <formula>H133</formula>
    </cfRule>
  </conditionalFormatting>
  <conditionalFormatting sqref="K133:K156">
    <cfRule type="expression" dxfId="736" priority="6" stopIfTrue="1">
      <formula>H133</formula>
    </cfRule>
  </conditionalFormatting>
  <conditionalFormatting sqref="L133:L156">
    <cfRule type="expression" dxfId="735" priority="5" stopIfTrue="1">
      <formula>H133</formula>
    </cfRule>
  </conditionalFormatting>
  <dataValidations count="2">
    <dataValidation type="list" allowBlank="1" showInputMessage="1" showErrorMessage="1" sqref="D8" xr:uid="{00000000-0002-0000-0000-000000000000}">
      <formula1>$AD$49:$AD$53</formula1>
    </dataValidation>
    <dataValidation type="list" allowBlank="1" showInputMessage="1" showErrorMessage="1" sqref="D9" xr:uid="{00000000-0002-0000-0000-000001000000}">
      <formula1>$AE$49:$AE$51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122" min="1" max="7" man="1"/>
  </rowBreaks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7.42578125" style="21" customWidth="1"/>
    <col min="5" max="5" width="10" style="21" customWidth="1"/>
    <col min="6" max="6" width="16.5703125" style="21" customWidth="1"/>
    <col min="7" max="7" width="16.5703125" style="21" hidden="1" customWidth="1"/>
    <col min="8" max="8" width="19.85546875" style="21" customWidth="1"/>
    <col min="9" max="10" width="16.5703125" style="21" customWidth="1"/>
    <col min="11" max="11" width="16.5703125" style="21" hidden="1" customWidth="1"/>
    <col min="12" max="12" width="22.28515625" style="21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19" hidden="1" customWidth="1"/>
    <col min="47" max="47" width="7.7109375" style="19" bestFit="1" customWidth="1"/>
    <col min="48" max="48" width="11" style="19" bestFit="1" customWidth="1"/>
    <col min="49" max="49" width="2.140625" style="19" bestFit="1" customWidth="1"/>
    <col min="50" max="50" width="3.28515625" style="19" bestFit="1" customWidth="1"/>
    <col min="51" max="51" width="2.140625" style="4" bestFit="1" customWidth="1"/>
    <col min="52" max="52" width="9.140625" style="19"/>
    <col min="53" max="54" width="9.140625" style="24"/>
    <col min="55" max="58" width="9.140625" style="19"/>
    <col min="59" max="141" width="9.140625" style="20"/>
    <col min="142" max="16384" width="9.140625" style="21"/>
  </cols>
  <sheetData>
    <row r="1" spans="1:24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4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4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4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4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2"/>
      <c r="K5" s="78"/>
      <c r="L5" s="78"/>
      <c r="M5" s="4">
        <f>IF(M1=0,1,0)</f>
        <v>0</v>
      </c>
    </row>
    <row r="6" spans="1:24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4" ht="15" customHeight="1">
      <c r="A7" s="7"/>
      <c r="B7" s="424" t="s">
        <v>2</v>
      </c>
      <c r="C7" s="425"/>
      <c r="D7" s="451" t="s">
        <v>3</v>
      </c>
      <c r="E7" s="451"/>
      <c r="F7" s="452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4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4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</row>
    <row r="10" spans="1:24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20000000</v>
      </c>
      <c r="E10" s="450"/>
      <c r="F10" s="11" t="s">
        <v>189</v>
      </c>
      <c r="G10" s="12" t="s">
        <v>7</v>
      </c>
      <c r="H10" s="13">
        <f ca="1">F22+G22+A92+D10</f>
        <v>62962100</v>
      </c>
      <c r="I10" s="40"/>
      <c r="J10" s="40"/>
      <c r="K10" s="40"/>
      <c r="L10" s="40"/>
    </row>
    <row r="11" spans="1:24" ht="15" customHeight="1">
      <c r="A11" s="17">
        <v>23.5</v>
      </c>
      <c r="B11" s="408" t="s">
        <v>8</v>
      </c>
      <c r="C11" s="409"/>
      <c r="D11" s="413">
        <f>IF(D14&lt;=12,75,83)</f>
        <v>83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">
        <f ca="1">IF(DAY(D16)=31,31,30)</f>
        <v>30</v>
      </c>
    </row>
    <row r="12" spans="1:24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2</v>
      </c>
      <c r="W12" s="4">
        <v>6</v>
      </c>
      <c r="X12" s="4">
        <v>1</v>
      </c>
    </row>
    <row r="13" spans="1:24" ht="30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W13" s="4">
        <v>12</v>
      </c>
      <c r="X13" s="4">
        <v>0</v>
      </c>
    </row>
    <row r="14" spans="1:24" ht="15" customHeight="1">
      <c r="A14" s="17">
        <f ca="1">IF(DAY(D16)&lt;=21,D14,D14+1)</f>
        <v>60</v>
      </c>
      <c r="B14" s="408" t="s">
        <v>13</v>
      </c>
      <c r="C14" s="409"/>
      <c r="D14" s="413">
        <v>60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60</v>
      </c>
      <c r="W14" s="4">
        <v>24</v>
      </c>
      <c r="X14" s="4">
        <v>1</v>
      </c>
    </row>
    <row r="15" spans="1:24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W15" s="4">
        <v>36</v>
      </c>
      <c r="X15" s="4">
        <v>3</v>
      </c>
    </row>
    <row r="16" spans="1:24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57</v>
      </c>
      <c r="W16" s="4">
        <v>48</v>
      </c>
      <c r="X16" s="4">
        <v>6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W17" s="4">
        <v>60</v>
      </c>
      <c r="X17" s="4">
        <v>12</v>
      </c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t="4.5" customHeight="1">
      <c r="A22" s="4"/>
      <c r="B22" s="4"/>
      <c r="C22" s="4"/>
      <c r="D22" s="404">
        <f ca="1">SUM(D25:E85)</f>
        <v>40000000</v>
      </c>
      <c r="E22" s="272"/>
      <c r="F22" s="22">
        <f ca="1">SUM(F25:F86)/2</f>
        <v>42962100</v>
      </c>
      <c r="G22" s="22">
        <v>0</v>
      </c>
      <c r="H22" s="22">
        <f ca="1">SUM(H25:H72)</f>
        <v>56977480</v>
      </c>
      <c r="I22" s="22"/>
      <c r="J22" s="22"/>
      <c r="K22" s="22"/>
      <c r="L22" s="22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9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рублей",IF(AW25&lt;=5,ROUND(AU25,0)-AW25,ROUND(AU25,0)+AX25)," ")))</f>
        <v>333330</v>
      </c>
      <c r="E25" s="443"/>
      <c r="F25" s="84">
        <f ca="1">IF(M1=1,P25,IF(M1=2,Q25," "))</f>
        <v>1245000</v>
      </c>
      <c r="G25" s="84">
        <v>0</v>
      </c>
      <c r="H25" s="84">
        <f ca="1">SUM(D25:G25)+A87</f>
        <v>1578330</v>
      </c>
      <c r="I25" s="84">
        <f ca="1">T25</f>
        <v>333330</v>
      </c>
      <c r="J25" s="84">
        <f t="shared" ref="J25:J56" ca="1" si="0">AA25</f>
        <v>1245000</v>
      </c>
      <c r="K25" s="84">
        <v>0</v>
      </c>
      <c r="L25" s="84">
        <f ca="1">SUM(I25:K25)+A87</f>
        <v>1578330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1245000</v>
      </c>
      <c r="Q25" s="22">
        <f t="shared" ref="Q25:Q56" ca="1" si="3">IF(V25&lt;&gt;0,IF(VALUE(RIGHT(ROUND(V25,0)))&lt;=5,ROUND(V25,0)-VALUE(RIGHT(ROUND(V25,0))),ROUND(V25,0)+10-VALUE(RIGHT(ROUND(V25,0)))),0)</f>
        <v>1245000</v>
      </c>
      <c r="R25" s="22">
        <f>D10</f>
        <v>20000000</v>
      </c>
      <c r="S25" s="22">
        <f ca="1">IF(N25=0,0,IF(F10="USD",ROUND(D10/M14,2),IF(F10="бел. рублей",IF(AW25&lt;=5,ROUND(AU25,0)-AW25,ROUND(AU25,0)+AX25)," ")))</f>
        <v>333330</v>
      </c>
      <c r="T25" s="22">
        <f ca="1">IF(N25=0,0,IF(F10="USD",ROUND(D10/M14,2),IF(F10="бел. рублей",IF(AW25&lt;=5,ROUND(AU25,0)-AW25,ROUND(AU25,0)+AX25)," ")))</f>
        <v>333330</v>
      </c>
      <c r="U25" s="22">
        <f ca="1">R25*Q11*D11/36000</f>
        <v>1245000</v>
      </c>
      <c r="V25" s="22">
        <f ca="1">R25*Q11*D11/36000</f>
        <v>1245000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1245000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1245000</v>
      </c>
      <c r="Y25" s="22">
        <f t="shared" ref="Y25:Y56" si="4">IF(M25&lt;=(D$15+1),D$10,Y24-I24)</f>
        <v>20000000</v>
      </c>
      <c r="Z25" s="22">
        <f ca="1">Y25*Q11*D11/36000</f>
        <v>1245000</v>
      </c>
      <c r="AA25" s="22">
        <f t="shared" ref="AA25:AA56" ca="1" si="5">IF(Z25&lt;&gt;0,IF(VALUE(RIGHT(ROUND(Z25,0)))&lt;=5,ROUND(Z25,0)-VALUE(RIGHT(ROUND(Z25,0))),ROUND(Z25,0)+10-VALUE(RIGHT(ROUND(Z25,0)))),0)</f>
        <v>1245000</v>
      </c>
      <c r="AB25" s="22">
        <f ca="1">R25*Q11</f>
        <v>540000000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20000000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2</v>
      </c>
      <c r="AM25" s="69">
        <f t="shared" ref="AM25:AM56" ca="1" si="11">IF(AL25=13,1,AL25)</f>
        <v>2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29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333333</v>
      </c>
      <c r="AV25" s="94" t="str">
        <f ca="1">RIGHT(AU25)</f>
        <v>3</v>
      </c>
      <c r="AW25" s="19">
        <f ca="1">VALUE(AV25)</f>
        <v>3</v>
      </c>
      <c r="AX25" s="19">
        <f ca="1">10-AW25</f>
        <v>7</v>
      </c>
      <c r="AY25" s="4">
        <f t="shared" ref="AY25:AY56" ca="1" si="16">IF(D$15=0,0,IF(N25=1,1,0))</f>
        <v>1</v>
      </c>
      <c r="AZ25" s="19"/>
      <c r="BC25" s="19"/>
      <c r="BD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333330</v>
      </c>
      <c r="E26" s="443"/>
      <c r="F26" s="84">
        <f ca="1">IF(N26=0,IF(N25=1,F25," "),IF(M1=1,P26,IF(M1=2,Q26," ")))</f>
        <v>1375650</v>
      </c>
      <c r="G26" s="84">
        <v>0</v>
      </c>
      <c r="H26" s="84">
        <f t="shared" ref="H26:H57" ca="1" si="19">IF(SUM(D26:G26)=0," ",SUM(D26:G26))</f>
        <v>1708980</v>
      </c>
      <c r="I26" s="84">
        <f t="shared" ref="I26:I57" ca="1" si="20">IF(N26=1,IF(N27=1,IF(M26&lt;=D$15,T26,AV$26),D$10-AV$26*M$16+AV$26),0)</f>
        <v>338980</v>
      </c>
      <c r="J26" s="84">
        <f t="shared" ca="1" si="0"/>
        <v>1383330</v>
      </c>
      <c r="K26" s="84">
        <v>0</v>
      </c>
      <c r="L26" s="84">
        <f t="shared" ref="L26:L57" ca="1" si="21">IF(SUM(I26:K26)=0," ",SUM(I26:K26))</f>
        <v>1722310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1375650</v>
      </c>
      <c r="Q26" s="22">
        <f t="shared" ca="1" si="3"/>
        <v>1375650</v>
      </c>
      <c r="R26" s="22">
        <f t="shared" ref="R26:R57" ca="1" si="23">IF(N26=0,0,R25-D25)</f>
        <v>19666670</v>
      </c>
      <c r="S26" s="22">
        <f t="shared" ref="S26:S57" si="24">IF(M26&lt;=D$15,D$10/(D$14-M25),D26)</f>
        <v>338983.05084745761</v>
      </c>
      <c r="T26" s="22">
        <f t="shared" ref="T26:T57" si="25">IF(S26&lt;&gt;0,IF(VALUE(RIGHT(ROUND(S26,0)))&lt;=5,ROUND(S26,0)-VALUE(RIGHT(ROUND(S26,0))),ROUND(S26,0)+10-VALUE(RIGHT(ROUND(S26,0)))),0)</f>
        <v>338980</v>
      </c>
      <c r="U26" s="22">
        <f ca="1">IF(N27=1,R25*D11*20/36000+R26*D11*10/36000,IF(N27=0,IF(N26=0,0,R26*D11*Q12/36000+R25*D11*20/36000+R26*D11*10/36000)))</f>
        <v>1375648.2250000001</v>
      </c>
      <c r="V26" s="22">
        <f ca="1">IF(N27=1,R25*D11*20/36000+R26*D11*10/36000,IF(N27=0,IF(N26=0,0,R26*D11*Q12/36000+R25*D11*20/36000+R26*D11*10/36000)))</f>
        <v>1375648.2250000001</v>
      </c>
      <c r="W26" s="22">
        <f t="shared" ref="W26:W57" ca="1" si="26">IF(N27=1,$D$10*$D$11*20/36000+$D$10*$D$11*10/36000,IF(N27=0,IF(N26=0,0,$D$10*$D$11*$Q$12/36000+$D$10*$D$11*20/36000+$D$10*$D$11*10/36000)))</f>
        <v>1383333.3333333335</v>
      </c>
      <c r="X26" s="22">
        <f t="shared" ref="X26:X57" ca="1" si="27">IF(W26&lt;&gt;0,IF(VALUE(RIGHT(ROUND(W26,0)))&lt;=5,ROUND(W26,0)-VALUE(RIGHT(ROUND(W26,0))),ROUND(W26,0)+10-VALUE(RIGHT(ROUND(W26,0)))),0)</f>
        <v>1383330</v>
      </c>
      <c r="Y26" s="22">
        <f t="shared" si="4"/>
        <v>20000000</v>
      </c>
      <c r="Z26" s="22">
        <f ca="1">IF(N27=1,Y25*D$11*20/36000+Y26*D$11*10/36000,IF(N27=0,IF(N26=0,0,Y26*D$11*Q$12/36000+Y25*D$11*20/36000+Y26*D$11*10/36000)))</f>
        <v>1383333.3333333335</v>
      </c>
      <c r="AA26" s="22">
        <f t="shared" ca="1" si="5"/>
        <v>1383330</v>
      </c>
      <c r="AB26" s="22">
        <f ca="1">IF(R27=0,R26*Q12,(R25*20+R26*10))</f>
        <v>596666700</v>
      </c>
      <c r="AC26" s="22">
        <f t="shared" ca="1" si="6"/>
        <v>0</v>
      </c>
      <c r="AD26" s="22">
        <f t="shared" ca="1" si="7"/>
        <v>0</v>
      </c>
      <c r="AE26" s="22">
        <f t="shared" ref="AE26:AE57" ca="1" si="28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29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19666670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0">IF(N26=0,0,MONTH(B25)+1)</f>
        <v>3</v>
      </c>
      <c r="AM26" s="69">
        <f t="shared" ca="1" si="11"/>
        <v>3</v>
      </c>
      <c r="AN26" s="4">
        <f t="shared" ref="AN26:AN57" ca="1" si="31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29</v>
      </c>
      <c r="AT26" s="19"/>
      <c r="AU26" s="4">
        <f ca="1">ROUNDUP(D$10/(A$14-D$15),0)</f>
        <v>350878</v>
      </c>
      <c r="AV26" s="22">
        <f ca="1">IF(AU26&lt;&gt;0,IF(VALUE(RIGHT(ROUND(AU26,0)))&lt;=5,ROUND(AU26,0)-VALUE(RIGHT(ROUND(AU26,0))),ROUND(AU26,0)+10-VALUE(RIGHT(ROUND(AU26,0)))),0)</f>
        <v>350880</v>
      </c>
      <c r="AW26" s="19"/>
      <c r="AX26" s="19"/>
      <c r="AY26" s="4">
        <f t="shared" ca="1" si="16"/>
        <v>1</v>
      </c>
      <c r="AZ26" s="19"/>
      <c r="BC26" s="19"/>
      <c r="BD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45402</v>
      </c>
      <c r="C27" s="401"/>
      <c r="D27" s="443">
        <f ca="1">IF(N27=0,IF(N26=1,D25+D26," "),IF(N27=0,0,IF(N28=1,D25,IF(N28=0,D10-D25*(M14-1)," "))))</f>
        <v>333330</v>
      </c>
      <c r="E27" s="443"/>
      <c r="F27" s="84">
        <f ca="1">IF(N27=0,IF(N26=1,F25+F26," "),IF(M1=1,P27,IF(M1=2,Q27," ")))</f>
        <v>1352590</v>
      </c>
      <c r="G27" s="84">
        <v>0</v>
      </c>
      <c r="H27" s="84">
        <f t="shared" ca="1" si="19"/>
        <v>1685920</v>
      </c>
      <c r="I27" s="84">
        <f t="shared" ca="1" si="20"/>
        <v>344830</v>
      </c>
      <c r="J27" s="84">
        <f t="shared" ca="1" si="0"/>
        <v>1383330</v>
      </c>
      <c r="K27" s="84">
        <v>0</v>
      </c>
      <c r="L27" s="84">
        <f t="shared" ca="1" si="21"/>
        <v>1728160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1352590</v>
      </c>
      <c r="Q27" s="22">
        <f t="shared" ca="1" si="3"/>
        <v>1352590</v>
      </c>
      <c r="R27" s="22">
        <f t="shared" ca="1" si="23"/>
        <v>19333340</v>
      </c>
      <c r="S27" s="22">
        <f t="shared" si="24"/>
        <v>344827.58620689658</v>
      </c>
      <c r="T27" s="22">
        <f t="shared" si="25"/>
        <v>344830</v>
      </c>
      <c r="U27" s="22">
        <f ca="1">IF(N28=1,R26*D11*20/36000+R27*D11*10/36000,IF(N28=0,IF(N27=0,0,R27*D11*Q12/36000+R26*D11*20/36000+R27*D11*10/36000)))</f>
        <v>1352592.9</v>
      </c>
      <c r="V27" s="22">
        <f ca="1">IF(N28=1,R26*D11*20/36000+R27*D11*10/36000,IF(N28=0,IF(N27=0,0,R27*D11*Q12/36000+R26*D11*20/36000+R27*D11*10/36000)))</f>
        <v>1352592.9</v>
      </c>
      <c r="W27" s="22">
        <f t="shared" ca="1" si="26"/>
        <v>1383333.3333333335</v>
      </c>
      <c r="X27" s="22">
        <f t="shared" ca="1" si="27"/>
        <v>1383330</v>
      </c>
      <c r="Y27" s="22">
        <f t="shared" si="4"/>
        <v>20000000</v>
      </c>
      <c r="Z27" s="22">
        <f ca="1">IF(N28=1,Y26*D$11*20/36000+Y27*D$11*10/36000,IF(N28=0,IF(N27=0,0,Y27*D$11*Q$12/36000+Y26*D$11*20/36000+Y27*D$11*10/36000)))</f>
        <v>1383333.3333333335</v>
      </c>
      <c r="AA27" s="22">
        <f t="shared" ca="1" si="5"/>
        <v>1383330</v>
      </c>
      <c r="AB27" s="22">
        <f ca="1">IF(R28=0,R27*Q12,(R26*20+R27*10))</f>
        <v>586666800</v>
      </c>
      <c r="AC27" s="22">
        <f t="shared" ca="1" si="6"/>
        <v>0</v>
      </c>
      <c r="AD27" s="22">
        <f t="shared" ca="1" si="7"/>
        <v>0</v>
      </c>
      <c r="AE27" s="22">
        <f t="shared" ca="1" si="28"/>
        <v>0</v>
      </c>
      <c r="AF27" s="22">
        <f t="shared" ca="1" si="8"/>
        <v>0</v>
      </c>
      <c r="AG27" s="22">
        <f t="shared" ca="1" si="29"/>
        <v>0</v>
      </c>
      <c r="AH27" s="22">
        <f t="shared" ca="1" si="9"/>
        <v>0</v>
      </c>
      <c r="AI27" s="22">
        <f t="shared" ca="1" si="10"/>
        <v>19333340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0"/>
        <v>4</v>
      </c>
      <c r="AM27" s="69">
        <f t="shared" ca="1" si="11"/>
        <v>4</v>
      </c>
      <c r="AN27" s="4">
        <f t="shared" ca="1" si="31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C27" s="19"/>
      <c r="BD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45432</v>
      </c>
      <c r="C28" s="401"/>
      <c r="D28" s="443">
        <f ca="1">IF(N28=0,IF(N27=1,D25+D26+D27," "),IF(N28=0,0,IF(N29=1,D25,IF(N29=0,D10-D25*(M14-1)," "))))</f>
        <v>333330</v>
      </c>
      <c r="E28" s="443"/>
      <c r="F28" s="84">
        <f ca="1">IF(N28=0,IF(N27=1,F25+F26+F27," "),IF(M1=1,P28,IF(M1=2,Q28," ")))</f>
        <v>1329540</v>
      </c>
      <c r="G28" s="84">
        <v>0</v>
      </c>
      <c r="H28" s="84">
        <f t="shared" ca="1" si="19"/>
        <v>1662870</v>
      </c>
      <c r="I28" s="84">
        <f t="shared" ca="1" si="20"/>
        <v>350880</v>
      </c>
      <c r="J28" s="84">
        <f t="shared" ca="1" si="0"/>
        <v>1383330</v>
      </c>
      <c r="K28" s="84">
        <v>0</v>
      </c>
      <c r="L28" s="84">
        <f t="shared" ca="1" si="21"/>
        <v>1734210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1329540</v>
      </c>
      <c r="Q28" s="22">
        <f t="shared" ca="1" si="3"/>
        <v>1329540</v>
      </c>
      <c r="R28" s="22">
        <f t="shared" ca="1" si="23"/>
        <v>19000010</v>
      </c>
      <c r="S28" s="22">
        <f t="shared" ca="1" si="24"/>
        <v>333330</v>
      </c>
      <c r="T28" s="22">
        <f t="shared" ca="1" si="25"/>
        <v>333330</v>
      </c>
      <c r="U28" s="22">
        <f ca="1">IF(N29=1,R27*D11*20/36000+R28*D11*10/36000,IF(N29=0,IF(N28=0,0,R28*D11*Q12/36000+R27*D11*20/36000+R28*D11*10/36000)))</f>
        <v>1329537.575</v>
      </c>
      <c r="V28" s="22">
        <f ca="1">IF(N29=1,R27*D11*20/36000+R28*D11*10/36000,IF(N29=0,IF(N28=0,0,R28*D11*Q12/36000+R27*D11*20/36000+R28*D11*10/36000)))</f>
        <v>1329537.575</v>
      </c>
      <c r="W28" s="22">
        <f t="shared" ca="1" si="26"/>
        <v>1383333.3333333335</v>
      </c>
      <c r="X28" s="22">
        <f t="shared" ca="1" si="27"/>
        <v>1383330</v>
      </c>
      <c r="Y28" s="22">
        <f t="shared" si="4"/>
        <v>20000000</v>
      </c>
      <c r="Z28" s="22">
        <f ca="1">IF(N29=1,Y27*D$11*20/36000+Y28*D$11*10/36000,IF(N29=0,IF(N28=0,0,Y28*D$11*Q$12/36000+Y27*D$11*20/36000+Y28*D$11*10/36000)))</f>
        <v>1383333.3333333335</v>
      </c>
      <c r="AA28" s="22">
        <f t="shared" ca="1" si="5"/>
        <v>1383330</v>
      </c>
      <c r="AB28" s="22">
        <f ca="1">IF(R29=0,R28*Q12,(R27*20+R28*10))</f>
        <v>576666900</v>
      </c>
      <c r="AC28" s="22">
        <f t="shared" ca="1" si="6"/>
        <v>0</v>
      </c>
      <c r="AD28" s="22">
        <f t="shared" ca="1" si="7"/>
        <v>0</v>
      </c>
      <c r="AE28" s="22">
        <f t="shared" ca="1" si="28"/>
        <v>0</v>
      </c>
      <c r="AF28" s="22">
        <f t="shared" ca="1" si="8"/>
        <v>0</v>
      </c>
      <c r="AG28" s="22">
        <f t="shared" ca="1" si="29"/>
        <v>0</v>
      </c>
      <c r="AH28" s="22">
        <f t="shared" ca="1" si="9"/>
        <v>0</v>
      </c>
      <c r="AI28" s="22">
        <f t="shared" ca="1" si="10"/>
        <v>19000010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0"/>
        <v>5</v>
      </c>
      <c r="AM28" s="69">
        <f t="shared" ca="1" si="11"/>
        <v>5</v>
      </c>
      <c r="AN28" s="4">
        <f t="shared" ca="1" si="31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C28" s="19"/>
      <c r="BD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45463</v>
      </c>
      <c r="C29" s="401"/>
      <c r="D29" s="443">
        <f ca="1">IF(N29=0,IF(N28=1,D25+D26+D27+D28," "),IF(N29=0,0,IF(N30=1,D25,IF(N30=0,D10-D25*(M14-1)," "))))</f>
        <v>333330</v>
      </c>
      <c r="E29" s="443"/>
      <c r="F29" s="84">
        <f ca="1">IF(N29=0,IF(N28=1,F25+F26+F27+F28," "),IF(M1=1,P29,IF(M1=2,Q29," ")))</f>
        <v>1306480</v>
      </c>
      <c r="G29" s="84">
        <v>0</v>
      </c>
      <c r="H29" s="84">
        <f t="shared" ca="1" si="19"/>
        <v>1639810</v>
      </c>
      <c r="I29" s="84">
        <f t="shared" ca="1" si="20"/>
        <v>350880</v>
      </c>
      <c r="J29" s="84">
        <f t="shared" ca="1" si="0"/>
        <v>1375240</v>
      </c>
      <c r="K29" s="84">
        <v>0</v>
      </c>
      <c r="L29" s="84">
        <f t="shared" ca="1" si="21"/>
        <v>1726120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1306480</v>
      </c>
      <c r="Q29" s="22">
        <f t="shared" ca="1" si="3"/>
        <v>1306480</v>
      </c>
      <c r="R29" s="22">
        <f t="shared" ca="1" si="23"/>
        <v>18666680</v>
      </c>
      <c r="S29" s="22">
        <f t="shared" ca="1" si="24"/>
        <v>333330</v>
      </c>
      <c r="T29" s="22">
        <f t="shared" ca="1" si="25"/>
        <v>333330</v>
      </c>
      <c r="U29" s="22">
        <f ca="1">IF(N30=1,R28*D11*20/36000+R29*D11*10/36000,IF(N30=0,IF(N29=0,0,R29*D11*Q12/36000+R28*D11*20/36000+R29*D11*10/36000)))</f>
        <v>1306482.25</v>
      </c>
      <c r="V29" s="22">
        <f ca="1">IF(N30=1,R28*D11*20/36000+R29*D11*10/36000,IF(N30=0,IF(N29=0,0,R29*D11*Q12/36000+R28*D11*20/36000+R29*D11*10/36000)))</f>
        <v>1306482.25</v>
      </c>
      <c r="W29" s="22">
        <f t="shared" ca="1" si="26"/>
        <v>1383333.3333333335</v>
      </c>
      <c r="X29" s="22">
        <f t="shared" ca="1" si="27"/>
        <v>1383330</v>
      </c>
      <c r="Y29" s="22">
        <f t="shared" ca="1" si="4"/>
        <v>19649120</v>
      </c>
      <c r="Z29" s="22">
        <f ca="1">IF(N30=1,Y28*D$11*20/36000+Y29*D$11*10/36000,IF(N30=0,IF(N29=0,0,Y29*D$11*Q$12/36000+Y28*D$11*20/36000+Y29*D$11*10/36000)))</f>
        <v>1375243.6</v>
      </c>
      <c r="AA29" s="22">
        <f t="shared" ca="1" si="5"/>
        <v>1375240</v>
      </c>
      <c r="AB29" s="22">
        <f ca="1">IF(R30=0,R29*Q12,(R28*20+R29*10))</f>
        <v>566667000</v>
      </c>
      <c r="AC29" s="22">
        <f t="shared" ca="1" si="6"/>
        <v>0</v>
      </c>
      <c r="AD29" s="22">
        <f t="shared" ca="1" si="7"/>
        <v>0</v>
      </c>
      <c r="AE29" s="22">
        <f t="shared" ca="1" si="28"/>
        <v>0</v>
      </c>
      <c r="AF29" s="22">
        <f t="shared" ca="1" si="8"/>
        <v>0</v>
      </c>
      <c r="AG29" s="22">
        <f t="shared" ca="1" si="29"/>
        <v>0</v>
      </c>
      <c r="AH29" s="22">
        <f t="shared" ca="1" si="9"/>
        <v>0</v>
      </c>
      <c r="AI29" s="22">
        <f t="shared" ca="1" si="10"/>
        <v>18666680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0"/>
        <v>6</v>
      </c>
      <c r="AM29" s="69">
        <f t="shared" ca="1" si="11"/>
        <v>6</v>
      </c>
      <c r="AN29" s="4">
        <f t="shared" ca="1" si="31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C29" s="19"/>
      <c r="BD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45493</v>
      </c>
      <c r="C30" s="401"/>
      <c r="D30" s="443">
        <f ca="1">IF(N30=0,IF(N29=1,D25+D26+D27+D28+D29," "),IF(N30=0,0,IF(N31=1,D25,IF(N31=0,D10-D25*(M14-1)," "))))</f>
        <v>333330</v>
      </c>
      <c r="E30" s="443"/>
      <c r="F30" s="84">
        <f ca="1">IF(N30=0,IF(N29=1,F25+F26+F27+F28+F29," "),IF(M1=1,P30,IF(M1=2,Q30," ")))</f>
        <v>1283430</v>
      </c>
      <c r="G30" s="84">
        <v>0</v>
      </c>
      <c r="H30" s="84">
        <f t="shared" ca="1" si="19"/>
        <v>1616760</v>
      </c>
      <c r="I30" s="84">
        <f t="shared" ca="1" si="20"/>
        <v>350880</v>
      </c>
      <c r="J30" s="84">
        <f t="shared" ca="1" si="0"/>
        <v>1350970</v>
      </c>
      <c r="K30" s="84">
        <v>0</v>
      </c>
      <c r="L30" s="84">
        <f t="shared" ca="1" si="21"/>
        <v>1701850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1283430</v>
      </c>
      <c r="Q30" s="22">
        <f t="shared" ca="1" si="3"/>
        <v>1283430</v>
      </c>
      <c r="R30" s="22">
        <f t="shared" ca="1" si="23"/>
        <v>18333350</v>
      </c>
      <c r="S30" s="22">
        <f t="shared" ca="1" si="24"/>
        <v>333330</v>
      </c>
      <c r="T30" s="22">
        <f t="shared" ca="1" si="25"/>
        <v>333330</v>
      </c>
      <c r="U30" s="22">
        <f ca="1">IF(N31=1,R29*D11*20/36000+R30*D11*10/36000,IF(N31=0,IF(N30=0,0,R30*D11*Q12/36000+R29*D11*20/36000+R30*D11*10/36000)))</f>
        <v>1283426.925</v>
      </c>
      <c r="V30" s="22">
        <f ca="1">IF(N31=1,R29*D11*20/36000+R30*D11*10/36000,IF(N31=0,IF(N30=0,0,R30*D11*Q12/36000+R29*D11*20/36000+R30*D11*10/36000)))</f>
        <v>1283426.925</v>
      </c>
      <c r="W30" s="22">
        <f t="shared" ca="1" si="26"/>
        <v>1383333.3333333335</v>
      </c>
      <c r="X30" s="22">
        <f t="shared" ca="1" si="27"/>
        <v>1383330</v>
      </c>
      <c r="Y30" s="22">
        <f t="shared" ca="1" si="4"/>
        <v>19298240</v>
      </c>
      <c r="Z30" s="22">
        <f ca="1">IF(N31=1,Y29*D$11*20/36000+Y30*D$11*10/36000,IF(N31=0,IF(N30=0,0,Y30*D$11*Q$12/36000+Y29*D$11*20/36000+Y30*D$11*10/36000)))</f>
        <v>1350974.4</v>
      </c>
      <c r="AA30" s="22">
        <f t="shared" ca="1" si="5"/>
        <v>1350970</v>
      </c>
      <c r="AB30" s="22">
        <f ca="1">IF(R31=0,R30*Q12,(R29*20+R30*10))</f>
        <v>556667100</v>
      </c>
      <c r="AC30" s="22">
        <f t="shared" ca="1" si="6"/>
        <v>0</v>
      </c>
      <c r="AD30" s="22">
        <f t="shared" ca="1" si="7"/>
        <v>0</v>
      </c>
      <c r="AE30" s="22">
        <f t="shared" ca="1" si="28"/>
        <v>0</v>
      </c>
      <c r="AF30" s="22">
        <f t="shared" ca="1" si="8"/>
        <v>0</v>
      </c>
      <c r="AG30" s="22">
        <f t="shared" ca="1" si="29"/>
        <v>0</v>
      </c>
      <c r="AH30" s="22">
        <f t="shared" ca="1" si="9"/>
        <v>0</v>
      </c>
      <c r="AI30" s="22">
        <f t="shared" ca="1" si="10"/>
        <v>18333350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0"/>
        <v>7</v>
      </c>
      <c r="AM30" s="69">
        <f t="shared" ca="1" si="11"/>
        <v>7</v>
      </c>
      <c r="AN30" s="4">
        <f t="shared" ca="1" si="31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C30" s="19"/>
      <c r="BD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45524</v>
      </c>
      <c r="C31" s="401"/>
      <c r="D31" s="443">
        <f ca="1">IF(N31=0,IF(N30=1,D25+D26+D27+D28+D29+D30," "),IF(N31=0," ",IF(N32=1,D25,IF(N32=0,D10-D25*(M14-1)," "))))</f>
        <v>333330</v>
      </c>
      <c r="E31" s="443"/>
      <c r="F31" s="84">
        <f ca="1">IF(N31=0,IF(N30=1,F25+F26+F27+F28+F29+F30," "),IF(M1=1,P31,IF(M1=2,Q31," ")))</f>
        <v>1260370</v>
      </c>
      <c r="G31" s="84">
        <v>0</v>
      </c>
      <c r="H31" s="84">
        <f t="shared" ca="1" si="19"/>
        <v>1593700</v>
      </c>
      <c r="I31" s="84">
        <f t="shared" ca="1" si="20"/>
        <v>350880</v>
      </c>
      <c r="J31" s="84">
        <f t="shared" ca="1" si="0"/>
        <v>1326700</v>
      </c>
      <c r="K31" s="84">
        <v>0</v>
      </c>
      <c r="L31" s="84">
        <f t="shared" ca="1" si="21"/>
        <v>1677580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1260370</v>
      </c>
      <c r="Q31" s="22">
        <f t="shared" ca="1" si="3"/>
        <v>1260370</v>
      </c>
      <c r="R31" s="22">
        <f t="shared" ca="1" si="23"/>
        <v>18000020</v>
      </c>
      <c r="S31" s="22">
        <f t="shared" ca="1" si="24"/>
        <v>333330</v>
      </c>
      <c r="T31" s="22">
        <f t="shared" ca="1" si="25"/>
        <v>333330</v>
      </c>
      <c r="U31" s="22">
        <f ca="1">IF(N32=1,R30*D$11*20/36000+R31*D$11*10/36000,IF(N32=0,IF(N31=0,0,IF(D$16&gt;20,R30*D$11*20/36000+R31*D$11*(Q$12-20)/36000,R31*D$11*Q$12/36000))))</f>
        <v>1260371.6000000001</v>
      </c>
      <c r="V31" s="22">
        <f ca="1">IF(N32=1,R30*D$11*20/36000+R31*D$11*10/36000,IF(N32=0,IF(N31=0,0,IF(D$16&gt;20,R30*D$11*20/36000+R31*D$11*(Q$12-20)/36000,R31*D$11*Q$12/36000))))</f>
        <v>1260371.6000000001</v>
      </c>
      <c r="W31" s="22">
        <f t="shared" ca="1" si="26"/>
        <v>1383333.3333333335</v>
      </c>
      <c r="X31" s="22">
        <f t="shared" ca="1" si="27"/>
        <v>1383330</v>
      </c>
      <c r="Y31" s="22">
        <f t="shared" ca="1" si="4"/>
        <v>18947360</v>
      </c>
      <c r="Z31" s="22">
        <f ca="1">IF(N32=1,Y30*D$11*20/36000+Y31*D$11*10/36000,IF(N32=0,IF(N31=0,0,IF(D$16&gt;20,Y30*D$11*20/36000+Y31*D$11*(Q$12-20)/36000,Y31*D$11*Q$12/36000))))</f>
        <v>1326705.2</v>
      </c>
      <c r="AA31" s="22">
        <f t="shared" ca="1" si="5"/>
        <v>1326700</v>
      </c>
      <c r="AB31" s="22">
        <f ca="1">IF(R32=0,R31*Q12,(R30*20+R31*10))</f>
        <v>546667200</v>
      </c>
      <c r="AC31" s="22">
        <f t="shared" ca="1" si="6"/>
        <v>0</v>
      </c>
      <c r="AD31" s="22">
        <f t="shared" ca="1" si="7"/>
        <v>0</v>
      </c>
      <c r="AE31" s="22">
        <f t="shared" ca="1" si="28"/>
        <v>0</v>
      </c>
      <c r="AF31" s="22">
        <f t="shared" ca="1" si="8"/>
        <v>0</v>
      </c>
      <c r="AG31" s="22">
        <f t="shared" ca="1" si="29"/>
        <v>0</v>
      </c>
      <c r="AH31" s="22">
        <f t="shared" ca="1" si="9"/>
        <v>0</v>
      </c>
      <c r="AI31" s="22">
        <f t="shared" ca="1" si="10"/>
        <v>18000020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0"/>
        <v>8</v>
      </c>
      <c r="AM31" s="69">
        <f t="shared" ca="1" si="11"/>
        <v>8</v>
      </c>
      <c r="AN31" s="4">
        <f t="shared" ca="1" si="31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2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C31" s="19"/>
      <c r="BD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45555</v>
      </c>
      <c r="C32" s="401"/>
      <c r="D32" s="443">
        <f ca="1">IF(N32=0,IF(N31=1,D25+D26+D27+D28+D29+D30+D31," "),IF(N32=0," ",IF(N33=1,D25,IF(N33=0,D10-D25*(M14-1)," "))))</f>
        <v>333330</v>
      </c>
      <c r="E32" s="443"/>
      <c r="F32" s="84">
        <f ca="1">IF(N32=0,IF(N31=1,F25+F26+F27+F28+F29+F30+F31," "),IF(M1=1,P32,IF(M1=2,Q32," ")))</f>
        <v>1237320</v>
      </c>
      <c r="G32" s="84">
        <v>0</v>
      </c>
      <c r="H32" s="84">
        <f t="shared" ca="1" si="19"/>
        <v>1570650</v>
      </c>
      <c r="I32" s="84">
        <f t="shared" ca="1" si="20"/>
        <v>350880</v>
      </c>
      <c r="J32" s="84">
        <f t="shared" ca="1" si="0"/>
        <v>1302440</v>
      </c>
      <c r="K32" s="84">
        <v>0</v>
      </c>
      <c r="L32" s="84">
        <f t="shared" ca="1" si="21"/>
        <v>1653320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1237320</v>
      </c>
      <c r="Q32" s="22">
        <f t="shared" ca="1" si="3"/>
        <v>1237320</v>
      </c>
      <c r="R32" s="22">
        <f t="shared" ca="1" si="23"/>
        <v>17666690</v>
      </c>
      <c r="S32" s="22">
        <f t="shared" ca="1" si="24"/>
        <v>333330</v>
      </c>
      <c r="T32" s="22">
        <f t="shared" ca="1" si="25"/>
        <v>333330</v>
      </c>
      <c r="U32" s="22">
        <f ca="1">IF(N33=1,R31*D11*20/36000+R32*D11*10/36000,IF(N33=0,IF(N32=0,0,R32*D11*Q12/36000+R31*D11*20/36000+R32*D11*10/36000)))</f>
        <v>1237316.2749999999</v>
      </c>
      <c r="V32" s="22">
        <f ca="1">IF(N33=1,R31*D11*20/36000+R32*D11*10/36000,IF(N33=0,IF(N32=0,0,R32*D11*Q12/36000+R31*D11*20/36000+R32*D11*10/36000)))</f>
        <v>1237316.2749999999</v>
      </c>
      <c r="W32" s="22">
        <f t="shared" ca="1" si="26"/>
        <v>1383333.3333333335</v>
      </c>
      <c r="X32" s="22">
        <f t="shared" ca="1" si="27"/>
        <v>1383330</v>
      </c>
      <c r="Y32" s="22">
        <f t="shared" ca="1" si="4"/>
        <v>18596480</v>
      </c>
      <c r="Z32" s="22">
        <f ca="1">IF(N33=1,Y31*D$11*20/36000+Y32*D$11*10/36000,IF(N33=0,IF(N32=0,0,Y32*D$11*Q$12/36000+Y31*D$11*20/36000+Y32*D$11*10/36000)))</f>
        <v>1302436</v>
      </c>
      <c r="AA32" s="22">
        <f t="shared" ca="1" si="5"/>
        <v>1302440</v>
      </c>
      <c r="AB32" s="22">
        <f ca="1">IF(R33=0,R32*Q12,(R31*20+R32*10))</f>
        <v>536667300</v>
      </c>
      <c r="AC32" s="22">
        <f t="shared" ca="1" si="6"/>
        <v>0</v>
      </c>
      <c r="AD32" s="22">
        <f t="shared" ca="1" si="7"/>
        <v>0</v>
      </c>
      <c r="AE32" s="22">
        <f t="shared" ca="1" si="28"/>
        <v>0</v>
      </c>
      <c r="AF32" s="22">
        <f t="shared" ca="1" si="8"/>
        <v>0</v>
      </c>
      <c r="AG32" s="22">
        <f t="shared" ca="1" si="29"/>
        <v>0</v>
      </c>
      <c r="AH32" s="22">
        <f t="shared" ca="1" si="9"/>
        <v>0</v>
      </c>
      <c r="AI32" s="22">
        <f t="shared" ca="1" si="10"/>
        <v>17666690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0"/>
        <v>9</v>
      </c>
      <c r="AM32" s="69">
        <f t="shared" ca="1" si="11"/>
        <v>9</v>
      </c>
      <c r="AN32" s="4">
        <f t="shared" ca="1" si="31"/>
        <v>2024</v>
      </c>
      <c r="AO32" s="4">
        <f t="shared" ca="1" si="12"/>
        <v>2024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2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C32" s="19"/>
      <c r="BD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45585</v>
      </c>
      <c r="C33" s="401"/>
      <c r="D33" s="443">
        <f ca="1">IF(N33=0,IF(N32=1,D25+D26+D27+D28+D29+D30+D31+D32," "),IF(N33=0," ",IF(N34=1,D25,IF(N34=0,D10-D25*(M14-1)," "))))</f>
        <v>333330</v>
      </c>
      <c r="E33" s="443"/>
      <c r="F33" s="84">
        <f ca="1">IF(N33=0,IF(N32=1,F25+F26+F27+F28+F29+F30+F31+F32," "),IF(M1=1,P33,IF(M1=2,Q33," ")))</f>
        <v>1214260</v>
      </c>
      <c r="G33" s="84">
        <v>0</v>
      </c>
      <c r="H33" s="84">
        <f t="shared" ca="1" si="19"/>
        <v>1547590</v>
      </c>
      <c r="I33" s="84">
        <f t="shared" ca="1" si="20"/>
        <v>350880</v>
      </c>
      <c r="J33" s="84">
        <f t="shared" ca="1" si="0"/>
        <v>1278170</v>
      </c>
      <c r="K33" s="84">
        <v>0</v>
      </c>
      <c r="L33" s="84">
        <f t="shared" ca="1" si="21"/>
        <v>1629050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1214260</v>
      </c>
      <c r="Q33" s="22">
        <f t="shared" ca="1" si="3"/>
        <v>1214260</v>
      </c>
      <c r="R33" s="22">
        <f t="shared" ca="1" si="23"/>
        <v>17333360</v>
      </c>
      <c r="S33" s="22">
        <f t="shared" ca="1" si="24"/>
        <v>333330</v>
      </c>
      <c r="T33" s="22">
        <f t="shared" ca="1" si="25"/>
        <v>333330</v>
      </c>
      <c r="U33" s="22">
        <f ca="1">IF(N34=1,R32*D11*20/36000+R33*D11*10/36000,IF(N34=0,IF(N33=0,0,R33*D11*Q12/36000+R32*D11*20/36000+R33*D11*10/36000)))</f>
        <v>1214260.95</v>
      </c>
      <c r="V33" s="22">
        <f ca="1">IF(N34=1,R32*D11*20/36000+R33*D11*10/36000,IF(N34=0,IF(N33=0,0,R33*D11*Q12/36000+R32*D11*20/36000+R33*D11*10/36000)))</f>
        <v>1214260.95</v>
      </c>
      <c r="W33" s="22">
        <f t="shared" ca="1" si="26"/>
        <v>1383333.3333333335</v>
      </c>
      <c r="X33" s="22">
        <f t="shared" ca="1" si="27"/>
        <v>1383330</v>
      </c>
      <c r="Y33" s="22">
        <f t="shared" ca="1" si="4"/>
        <v>18245600</v>
      </c>
      <c r="Z33" s="22">
        <f ca="1">IF(N34=1,Y32*D$11*20/36000+Y33*D$11*10/36000,IF(N34=0,IF(N33=0,0,Y33*D$11*Q$12/36000+Y32*D$11*20/36000+Y33*D$11*10/36000)))</f>
        <v>1278166.8</v>
      </c>
      <c r="AA33" s="22">
        <f t="shared" ca="1" si="5"/>
        <v>1278170</v>
      </c>
      <c r="AB33" s="22">
        <f ca="1">IF(R34=0,R33*Q12,(R32*20+R33*10))</f>
        <v>526667400</v>
      </c>
      <c r="AC33" s="22">
        <f t="shared" ca="1" si="6"/>
        <v>0</v>
      </c>
      <c r="AD33" s="22">
        <f t="shared" ca="1" si="7"/>
        <v>0</v>
      </c>
      <c r="AE33" s="22">
        <f t="shared" ca="1" si="28"/>
        <v>0</v>
      </c>
      <c r="AF33" s="22">
        <f t="shared" ca="1" si="8"/>
        <v>0</v>
      </c>
      <c r="AG33" s="22">
        <f t="shared" ca="1" si="29"/>
        <v>0</v>
      </c>
      <c r="AH33" s="22">
        <f t="shared" ca="1" si="9"/>
        <v>0</v>
      </c>
      <c r="AI33" s="22">
        <f t="shared" ca="1" si="10"/>
        <v>17333360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0"/>
        <v>10</v>
      </c>
      <c r="AM33" s="69">
        <f t="shared" ca="1" si="11"/>
        <v>10</v>
      </c>
      <c r="AN33" s="4">
        <f t="shared" ca="1" si="31"/>
        <v>2024</v>
      </c>
      <c r="AO33" s="4">
        <f t="shared" ca="1" si="12"/>
        <v>2024</v>
      </c>
      <c r="AP33" s="4">
        <f t="shared" ca="1" si="13"/>
        <v>1</v>
      </c>
      <c r="AQ33" s="4">
        <f t="shared" ca="1" si="14"/>
        <v>30</v>
      </c>
      <c r="AR33" s="4">
        <f t="shared" si="15"/>
        <v>20</v>
      </c>
      <c r="AS33" s="4">
        <f t="shared" ca="1" si="32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C33" s="19"/>
      <c r="BD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45616</v>
      </c>
      <c r="C34" s="401"/>
      <c r="D34" s="443">
        <f ca="1">IF(N34=0,IF(N33=1,D25+D26+D27+D28+D29+D30+D31+D32+D33," "),IF(N34=0," ",IF(N35=1,D25,IF(N35=0,D10-D25*(M14-1)," "))))</f>
        <v>333330</v>
      </c>
      <c r="E34" s="443"/>
      <c r="F34" s="84">
        <f ca="1">IF(N34=0,IF(N33=1,F25+F26+F27+F28+F29+F30+F31+F32+F33," "),IF(M1=1,P34,IF(M1=2,Q34," ")))</f>
        <v>1191210</v>
      </c>
      <c r="G34" s="84">
        <v>0</v>
      </c>
      <c r="H34" s="84">
        <f t="shared" ca="1" si="19"/>
        <v>1524540</v>
      </c>
      <c r="I34" s="84">
        <f t="shared" ca="1" si="20"/>
        <v>350880</v>
      </c>
      <c r="J34" s="84">
        <f t="shared" ca="1" si="0"/>
        <v>1253900</v>
      </c>
      <c r="K34" s="84">
        <v>0</v>
      </c>
      <c r="L34" s="84">
        <f t="shared" ca="1" si="21"/>
        <v>1604780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1191210</v>
      </c>
      <c r="Q34" s="22">
        <f t="shared" ca="1" si="3"/>
        <v>1191210</v>
      </c>
      <c r="R34" s="22">
        <f t="shared" ca="1" si="23"/>
        <v>17000030</v>
      </c>
      <c r="S34" s="22">
        <f t="shared" ca="1" si="24"/>
        <v>333330</v>
      </c>
      <c r="T34" s="22">
        <f t="shared" ca="1" si="25"/>
        <v>333330</v>
      </c>
      <c r="U34" s="22">
        <f ca="1">IF(N35=1,R33*D11*20/36000+R34*D11*10/36000,IF(N35=0,IF(N34=0,0,R34*D11*Q12/36000+29*D11*20/36000+R34*D11*10/36000)))</f>
        <v>1191205.625</v>
      </c>
      <c r="V34" s="22">
        <f ca="1">IF(N35=1,R33*D11*20/36000+R34*D11*10/36000,IF(N35=0,IF(N34=0,0,R34*D11*Q12/36000+29*D11*20/36000+R34*D11*10/36000)))</f>
        <v>1191205.625</v>
      </c>
      <c r="W34" s="22">
        <f t="shared" ca="1" si="26"/>
        <v>1383333.3333333335</v>
      </c>
      <c r="X34" s="22">
        <f t="shared" ca="1" si="27"/>
        <v>1383330</v>
      </c>
      <c r="Y34" s="22">
        <f t="shared" ca="1" si="4"/>
        <v>17894720</v>
      </c>
      <c r="Z34" s="22">
        <f ca="1">IF(N35=1,Y33*D$11*20/36000+Y34*D$11*10/36000,IF(N35=0,IF(N34=0,0,Y34*D$11*Q$12/36000+Y33*D$11*20/36000+Y34*D$11*10/36000)))</f>
        <v>1253897.6000000001</v>
      </c>
      <c r="AA34" s="22">
        <f t="shared" ca="1" si="5"/>
        <v>1253900</v>
      </c>
      <c r="AB34" s="22">
        <f ca="1">IF(R35=0,R34*Q12,(R33*20+R34*10))</f>
        <v>516667500</v>
      </c>
      <c r="AC34" s="22">
        <f t="shared" ca="1" si="6"/>
        <v>0</v>
      </c>
      <c r="AD34" s="22">
        <f t="shared" ca="1" si="7"/>
        <v>0</v>
      </c>
      <c r="AE34" s="22">
        <f t="shared" ca="1" si="28"/>
        <v>0</v>
      </c>
      <c r="AF34" s="22">
        <f t="shared" ca="1" si="8"/>
        <v>0</v>
      </c>
      <c r="AG34" s="22">
        <f t="shared" ca="1" si="29"/>
        <v>0</v>
      </c>
      <c r="AH34" s="22">
        <f t="shared" ca="1" si="9"/>
        <v>0</v>
      </c>
      <c r="AI34" s="22">
        <f t="shared" ca="1" si="10"/>
        <v>17000030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0"/>
        <v>11</v>
      </c>
      <c r="AM34" s="69">
        <f t="shared" ca="1" si="11"/>
        <v>11</v>
      </c>
      <c r="AN34" s="4">
        <f t="shared" ca="1" si="31"/>
        <v>2024</v>
      </c>
      <c r="AO34" s="4">
        <f t="shared" ca="1" si="12"/>
        <v>2024</v>
      </c>
      <c r="AP34" s="4">
        <f t="shared" ca="1" si="13"/>
        <v>1</v>
      </c>
      <c r="AQ34" s="4">
        <f t="shared" ca="1" si="14"/>
        <v>30</v>
      </c>
      <c r="AR34" s="4">
        <f t="shared" si="15"/>
        <v>20</v>
      </c>
      <c r="AS34" s="4">
        <f t="shared" ca="1" si="32"/>
        <v>30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C34" s="19"/>
      <c r="BD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45646</v>
      </c>
      <c r="C35" s="401"/>
      <c r="D35" s="443">
        <f ca="1">IF(N35=0,IF(N34=1,D25+D26+D27+D28+D29+D30+D31+D32+D33+D34," "),IF(N35=0," ",IF(N36=1,D25,IF(N36=0,D10-D25*(M14-1)," "))))</f>
        <v>333330</v>
      </c>
      <c r="E35" s="443"/>
      <c r="F35" s="84">
        <f ca="1">IF(N35=0,IF(N34=1,F25+F26+F27+F28+F29+F30+F31+F32+F33+F34," "),IF(M1=1,P35,IF(M1=2,Q35," ")))</f>
        <v>1168150</v>
      </c>
      <c r="G35" s="84">
        <v>0</v>
      </c>
      <c r="H35" s="84">
        <f t="shared" ca="1" si="19"/>
        <v>1501480</v>
      </c>
      <c r="I35" s="84">
        <f t="shared" ca="1" si="20"/>
        <v>350880</v>
      </c>
      <c r="J35" s="84">
        <f t="shared" ca="1" si="0"/>
        <v>1229630</v>
      </c>
      <c r="K35" s="84">
        <v>0</v>
      </c>
      <c r="L35" s="84">
        <f t="shared" ca="1" si="21"/>
        <v>1580510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1168150</v>
      </c>
      <c r="Q35" s="22">
        <f t="shared" ca="1" si="3"/>
        <v>1168150</v>
      </c>
      <c r="R35" s="22">
        <f t="shared" ca="1" si="23"/>
        <v>16666700</v>
      </c>
      <c r="S35" s="22">
        <f t="shared" ca="1" si="24"/>
        <v>333330</v>
      </c>
      <c r="T35" s="22">
        <f t="shared" ca="1" si="25"/>
        <v>333330</v>
      </c>
      <c r="U35" s="22">
        <f ca="1">IF(N36=1,R34*D11*20/36000+R35*D11*10/36000,IF(N36=0,IF(N35=0,0,R35*D11*Q12/36000+R34*D11*20/36000+R35*D11*10/36000)))</f>
        <v>1168150.2999999998</v>
      </c>
      <c r="V35" s="22">
        <f ca="1">IF(N36=1,R34*D11*20/36000+R35*D11*10/36000,IF(N36=0,IF(N35=0,0,R35*D11*Q12/36000+R34*D11*20/36000+R35*D11*10/36000)))</f>
        <v>1168150.2999999998</v>
      </c>
      <c r="W35" s="22">
        <f t="shared" ca="1" si="26"/>
        <v>1383333.3333333335</v>
      </c>
      <c r="X35" s="22">
        <f t="shared" ca="1" si="27"/>
        <v>1383330</v>
      </c>
      <c r="Y35" s="22">
        <f t="shared" ca="1" si="4"/>
        <v>17543840</v>
      </c>
      <c r="Z35" s="22">
        <f ca="1">IF(N36=1,Y34*D$11*20/36000+Y35*D$11*10/36000,IF(N36=0,IF(N35=0,0,Y35*D$11*Q$12/36000+Y34*D$11*20/36000+Y35*D$11*10/36000)))</f>
        <v>1229628.3999999999</v>
      </c>
      <c r="AA35" s="22">
        <f t="shared" ca="1" si="5"/>
        <v>1229630</v>
      </c>
      <c r="AB35" s="22">
        <f ca="1">IF(R36=0,R35*Q12,(R34*20+R35*10))</f>
        <v>506667600</v>
      </c>
      <c r="AC35" s="22">
        <f t="shared" ca="1" si="6"/>
        <v>0</v>
      </c>
      <c r="AD35" s="22">
        <f t="shared" ca="1" si="7"/>
        <v>0</v>
      </c>
      <c r="AE35" s="22">
        <f t="shared" ca="1" si="28"/>
        <v>0</v>
      </c>
      <c r="AF35" s="22">
        <f t="shared" ca="1" si="8"/>
        <v>0</v>
      </c>
      <c r="AG35" s="22">
        <f t="shared" ca="1" si="29"/>
        <v>0</v>
      </c>
      <c r="AH35" s="22">
        <f t="shared" ca="1" si="9"/>
        <v>0</v>
      </c>
      <c r="AI35" s="22">
        <f t="shared" ca="1" si="10"/>
        <v>16666700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0"/>
        <v>12</v>
      </c>
      <c r="AM35" s="69">
        <f t="shared" ca="1" si="11"/>
        <v>12</v>
      </c>
      <c r="AN35" s="4">
        <f t="shared" ca="1" si="31"/>
        <v>2024</v>
      </c>
      <c r="AO35" s="4">
        <f t="shared" ca="1" si="12"/>
        <v>2024</v>
      </c>
      <c r="AP35" s="4">
        <f t="shared" ca="1" si="13"/>
        <v>1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C35" s="19"/>
      <c r="BD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45677</v>
      </c>
      <c r="C36" s="401"/>
      <c r="D36" s="443">
        <f ca="1">IF(N36=0,IF(N35=1,D25+D26+D27+D28+D29+D30+D31+D32+D33+D34+D35," "),IF(N36=0," ",IF(N37=1,D25,IF(N37=0,D10-D25*(M14-1)," "))))</f>
        <v>333330</v>
      </c>
      <c r="E36" s="443"/>
      <c r="F36" s="84">
        <f ca="1">IF(N36=0,IF(N35=1,F25+F26+F27+F28+F29+F30+F31+F32+F33+F34+F35," "),IF(M1=1,P36,IF(M1=2,Q36," ")))</f>
        <v>1145090</v>
      </c>
      <c r="G36" s="84">
        <v>0</v>
      </c>
      <c r="H36" s="84">
        <f t="shared" ca="1" si="19"/>
        <v>1478420</v>
      </c>
      <c r="I36" s="84">
        <f t="shared" ca="1" si="20"/>
        <v>350880</v>
      </c>
      <c r="J36" s="84">
        <f t="shared" ca="1" si="0"/>
        <v>1205360</v>
      </c>
      <c r="K36" s="84">
        <v>0</v>
      </c>
      <c r="L36" s="84">
        <f t="shared" ca="1" si="21"/>
        <v>1556240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1145090</v>
      </c>
      <c r="Q36" s="22">
        <f t="shared" ca="1" si="3"/>
        <v>1145090</v>
      </c>
      <c r="R36" s="22">
        <f t="shared" ca="1" si="23"/>
        <v>16333370</v>
      </c>
      <c r="S36" s="22">
        <f t="shared" ca="1" si="24"/>
        <v>333330</v>
      </c>
      <c r="T36" s="22">
        <f t="shared" ca="1" si="25"/>
        <v>333330</v>
      </c>
      <c r="U36" s="22">
        <f ca="1">IF(N37=1,R35*D11*20/36000+R36*D11*10/36000,IF(N37=0,IF(N36=0,0,R36*D11*Q12/36000+R35*D11*20/36000+R36*D11*10/36000)))</f>
        <v>1145094.9750000001</v>
      </c>
      <c r="V36" s="22">
        <f ca="1">IF(N37=1,R35*D11*20/36000+R36*D11*10/36000,IF(N37=0,IF(N36=0,0,R36*D11*Q12/36000+R35*D11*20/36000+R36*D11*10/36000)))</f>
        <v>1145094.9750000001</v>
      </c>
      <c r="W36" s="22">
        <f t="shared" ca="1" si="26"/>
        <v>1383333.3333333335</v>
      </c>
      <c r="X36" s="22">
        <f t="shared" ca="1" si="27"/>
        <v>1383330</v>
      </c>
      <c r="Y36" s="22">
        <f t="shared" ca="1" si="4"/>
        <v>17192960</v>
      </c>
      <c r="Z36" s="22">
        <f ca="1">IF(N37=1,Y35*D$11*20/36000+Y36*D$11*10/36000,IF(N37=0,IF(N36=0,0,Y36*D$11*Q$12/36000+Y35*D$11*20/36000+Y36*D$11*10/36000)))</f>
        <v>1205359.2</v>
      </c>
      <c r="AA36" s="22">
        <f t="shared" ca="1" si="5"/>
        <v>1205360</v>
      </c>
      <c r="AB36" s="22">
        <f ca="1">IF(R37=0,R36*Q12,(R35*20+R36*10))</f>
        <v>496667700</v>
      </c>
      <c r="AC36" s="22">
        <f t="shared" ca="1" si="6"/>
        <v>0</v>
      </c>
      <c r="AD36" s="22">
        <f t="shared" ca="1" si="7"/>
        <v>0</v>
      </c>
      <c r="AE36" s="22">
        <f t="shared" ca="1" si="28"/>
        <v>0</v>
      </c>
      <c r="AF36" s="22">
        <f t="shared" ca="1" si="8"/>
        <v>0</v>
      </c>
      <c r="AG36" s="22">
        <f t="shared" ca="1" si="29"/>
        <v>0</v>
      </c>
      <c r="AH36" s="22">
        <f t="shared" ca="1" si="9"/>
        <v>0</v>
      </c>
      <c r="AI36" s="22">
        <f t="shared" ca="1" si="10"/>
        <v>16333370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0"/>
        <v>13</v>
      </c>
      <c r="AM36" s="69">
        <f t="shared" ca="1" si="11"/>
        <v>1</v>
      </c>
      <c r="AN36" s="4">
        <f t="shared" ca="1" si="31"/>
        <v>2024</v>
      </c>
      <c r="AO36" s="4">
        <f t="shared" ca="1" si="12"/>
        <v>2025</v>
      </c>
      <c r="AP36" s="4">
        <f t="shared" ca="1" si="13"/>
        <v>1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C36" s="19"/>
      <c r="BD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45708</v>
      </c>
      <c r="C37" s="401"/>
      <c r="D37" s="443">
        <f ca="1">IF(N37=0,IF(N36=1,D25+D26+D27+D28+D29+D30+D31+D32+D33+D34+D35+D36," "),IF(N37=0," ",IF(N38=1,D25,IF(N38=0,D10-D25*(M14-1)," "))))</f>
        <v>333330</v>
      </c>
      <c r="E37" s="443"/>
      <c r="F37" s="84">
        <f ca="1">IF(N37=0,IF(N36=1,F25+F26+F27+F28+F29+F30+F31+F32+F33+F34+F35+F36," "),IF(M1=1,P37,IF(M1=2,Q37," ")))</f>
        <v>1122040</v>
      </c>
      <c r="G37" s="84">
        <v>0</v>
      </c>
      <c r="H37" s="84">
        <f t="shared" ca="1" si="19"/>
        <v>1455370</v>
      </c>
      <c r="I37" s="84">
        <f t="shared" ca="1" si="20"/>
        <v>350880</v>
      </c>
      <c r="J37" s="84">
        <f t="shared" ca="1" si="0"/>
        <v>1181090</v>
      </c>
      <c r="K37" s="84">
        <v>0</v>
      </c>
      <c r="L37" s="84">
        <f t="shared" ca="1" si="21"/>
        <v>1531970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1122040</v>
      </c>
      <c r="Q37" s="22">
        <f t="shared" ca="1" si="3"/>
        <v>1122040</v>
      </c>
      <c r="R37" s="22">
        <f t="shared" ca="1" si="23"/>
        <v>16000040</v>
      </c>
      <c r="S37" s="22">
        <f t="shared" ca="1" si="24"/>
        <v>333330</v>
      </c>
      <c r="T37" s="22">
        <f t="shared" ca="1" si="25"/>
        <v>333330</v>
      </c>
      <c r="U37" s="22">
        <f ca="1">IF(N38=1,R36*D$11*20/36000+R37*D$11*10/36000,IF(N38=0,IF(N37=0,0,IF(D$16&gt;20,R36*D$11*20/36000+R37*D$11*(Q$12-20)/36000,R37*D$11*Q$12/36000))))</f>
        <v>1122039.6500000001</v>
      </c>
      <c r="V37" s="22">
        <f ca="1">IF(N38=1,R36*D$11*20/36000+R37*D$11*10/36000,IF(N38=0,IF(N37=0,0,IF(D$16&gt;20,R36*D$11*20/36000+R37*D$11*(Q$12-20)/36000,R37*D$11*Q$12/36000))))</f>
        <v>1122039.6500000001</v>
      </c>
      <c r="W37" s="22">
        <f t="shared" ca="1" si="26"/>
        <v>1383333.3333333335</v>
      </c>
      <c r="X37" s="22">
        <f t="shared" ca="1" si="27"/>
        <v>1383330</v>
      </c>
      <c r="Y37" s="22">
        <f t="shared" ca="1" si="4"/>
        <v>16842080</v>
      </c>
      <c r="Z37" s="22">
        <f ca="1">IF(N38=1,Y36*D$11*20/36000+Y37*D$11*10/36000,IF(N38=0,IF(N37=0,0,IF(D$16&gt;20,Y36*D$11*20/36000+Y37*D$11*(Q$12-20)/36000,Y37*D$11*Q$12/36000))))</f>
        <v>1181090</v>
      </c>
      <c r="AA37" s="22">
        <f t="shared" ca="1" si="5"/>
        <v>1181090</v>
      </c>
      <c r="AB37" s="22">
        <f ca="1">IF(R38=0,R37*Q12,(R36*20+R37*10))</f>
        <v>486667800</v>
      </c>
      <c r="AC37" s="22">
        <f t="shared" ca="1" si="6"/>
        <v>0</v>
      </c>
      <c r="AD37" s="22">
        <f t="shared" ca="1" si="7"/>
        <v>0</v>
      </c>
      <c r="AE37" s="22">
        <f t="shared" ca="1" si="28"/>
        <v>0</v>
      </c>
      <c r="AF37" s="22">
        <f t="shared" ca="1" si="8"/>
        <v>0</v>
      </c>
      <c r="AG37" s="22">
        <f t="shared" ca="1" si="29"/>
        <v>0</v>
      </c>
      <c r="AH37" s="22">
        <f t="shared" ca="1" si="9"/>
        <v>0</v>
      </c>
      <c r="AI37" s="22">
        <f t="shared" ca="1" si="10"/>
        <v>16000040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0"/>
        <v>2</v>
      </c>
      <c r="AM37" s="69">
        <f t="shared" ca="1" si="11"/>
        <v>2</v>
      </c>
      <c r="AN37" s="4">
        <f t="shared" ca="1" si="31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28</v>
      </c>
      <c r="AR37" s="4">
        <f t="shared" si="15"/>
        <v>20</v>
      </c>
      <c r="AS37" s="4">
        <f t="shared" ca="1" si="32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C37" s="19"/>
      <c r="BD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45736</v>
      </c>
      <c r="C38" s="401"/>
      <c r="D38" s="443">
        <f ca="1">IF(N38=0,IF(N37=1,D25+D26+D27+D28+D29+D30+D31+D32+D33+D34+D35+D36+D37," "),IF(N38=0," ",IF(N39=1,D25,IF(N39=0,D10-D25*(M14-1)," "))))</f>
        <v>333330</v>
      </c>
      <c r="E38" s="443"/>
      <c r="F38" s="84">
        <f ca="1">IF(N38=0,IF(N37=1,F25+F26+F27+F28+F29+F30+F31+F32+F33+F34+F35+F36+F37," "),IF(M1=1,P38,IF(M1=2,Q38," ")))</f>
        <v>1098980</v>
      </c>
      <c r="G38" s="84">
        <v>0</v>
      </c>
      <c r="H38" s="84">
        <f t="shared" ca="1" si="19"/>
        <v>1432310</v>
      </c>
      <c r="I38" s="84">
        <f t="shared" ca="1" si="20"/>
        <v>350880</v>
      </c>
      <c r="J38" s="84">
        <f t="shared" ca="1" si="0"/>
        <v>1156820</v>
      </c>
      <c r="K38" s="84">
        <v>0</v>
      </c>
      <c r="L38" s="84">
        <f t="shared" ca="1" si="21"/>
        <v>1507700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1098980</v>
      </c>
      <c r="Q38" s="22">
        <f t="shared" ca="1" si="3"/>
        <v>1098980</v>
      </c>
      <c r="R38" s="22">
        <f t="shared" ca="1" si="23"/>
        <v>15666710</v>
      </c>
      <c r="S38" s="22">
        <f t="shared" ca="1" si="24"/>
        <v>333330</v>
      </c>
      <c r="T38" s="22">
        <f t="shared" ca="1" si="25"/>
        <v>333330</v>
      </c>
      <c r="U38" s="22">
        <f ca="1">IF(N39=1,R37*D11*20/36000+R38*D11*10/36000,IF(N39=0,IF(N38=0,0,R38*D11*Q12/36000+R37*D11*20/36000+R38*D11*10/36000)))</f>
        <v>1098984.3250000002</v>
      </c>
      <c r="V38" s="22">
        <f ca="1">IF(N39=1,R37*D11*20/36000+R38*D11*10/36000,IF(N39=0,IF(N38=0,0,R38*D11*Q12/36000+R37*D11*20/36000+R38*D11*10/36000)))</f>
        <v>1098984.3250000002</v>
      </c>
      <c r="W38" s="22">
        <f t="shared" ca="1" si="26"/>
        <v>1383333.3333333335</v>
      </c>
      <c r="X38" s="22">
        <f t="shared" ca="1" si="27"/>
        <v>1383330</v>
      </c>
      <c r="Y38" s="22">
        <f t="shared" ca="1" si="4"/>
        <v>16491200</v>
      </c>
      <c r="Z38" s="22">
        <f t="shared" ref="Z38:Z48" ca="1" si="33">IF(N39=1,Y37*D$11*20/36000+Y38*D$11*10/36000,IF(N39=0,IF(N38=0,0,Y38*D$11*Q$12/36000+Y37*D$11*20/36000+Y38*D$11*10/36000)))</f>
        <v>1156820.7999999998</v>
      </c>
      <c r="AA38" s="22">
        <f t="shared" ca="1" si="5"/>
        <v>1156820</v>
      </c>
      <c r="AB38" s="22">
        <f ca="1">IF(R39=0,R38*Q12,(R37*20+R38*10))</f>
        <v>476667900</v>
      </c>
      <c r="AC38" s="22">
        <f t="shared" ca="1" si="6"/>
        <v>0</v>
      </c>
      <c r="AD38" s="22">
        <f t="shared" ca="1" si="7"/>
        <v>0</v>
      </c>
      <c r="AE38" s="22">
        <f t="shared" ca="1" si="28"/>
        <v>0</v>
      </c>
      <c r="AF38" s="22">
        <f t="shared" ca="1" si="8"/>
        <v>0</v>
      </c>
      <c r="AG38" s="22">
        <f t="shared" ca="1" si="29"/>
        <v>0</v>
      </c>
      <c r="AH38" s="22">
        <f t="shared" ca="1" si="9"/>
        <v>0</v>
      </c>
      <c r="AI38" s="22">
        <f t="shared" ca="1" si="10"/>
        <v>15666710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0"/>
        <v>3</v>
      </c>
      <c r="AM38" s="69">
        <f t="shared" ca="1" si="11"/>
        <v>3</v>
      </c>
      <c r="AN38" s="4">
        <f t="shared" ca="1" si="31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28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C38" s="19"/>
      <c r="BD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45767</v>
      </c>
      <c r="C39" s="401"/>
      <c r="D39" s="443">
        <f ca="1">IF(N39=0,IF(N38=1,D25+D26+D27+D28+D29+D30+D31+D32+D33+D34+D35+D36+D37+D38," "),IF(N39=0," ",IF(N40=1,D25,IF(N40=0,D10-D25*(M14-1)," "))))</f>
        <v>333330</v>
      </c>
      <c r="E39" s="443"/>
      <c r="F39" s="84">
        <f ca="1">IF(N39=0,IF(N38=1,F25+F26+F27+F28+F29+F30+F31+F32+F33+F34+F35+F36+F37+F38," "),IF(M1=1,P39,IF(M1=2,Q39," ")))</f>
        <v>1075930</v>
      </c>
      <c r="G39" s="84">
        <v>0</v>
      </c>
      <c r="H39" s="84">
        <f t="shared" ca="1" si="19"/>
        <v>1409260</v>
      </c>
      <c r="I39" s="84">
        <f t="shared" ca="1" si="20"/>
        <v>350880</v>
      </c>
      <c r="J39" s="84">
        <f t="shared" ca="1" si="0"/>
        <v>1132550</v>
      </c>
      <c r="K39" s="84">
        <v>0</v>
      </c>
      <c r="L39" s="84">
        <f t="shared" ca="1" si="21"/>
        <v>1483430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1075930</v>
      </c>
      <c r="Q39" s="22">
        <f t="shared" ca="1" si="3"/>
        <v>1075930</v>
      </c>
      <c r="R39" s="22">
        <f t="shared" ca="1" si="23"/>
        <v>15333380</v>
      </c>
      <c r="S39" s="22">
        <f t="shared" ca="1" si="24"/>
        <v>333330</v>
      </c>
      <c r="T39" s="22">
        <f t="shared" ca="1" si="25"/>
        <v>333330</v>
      </c>
      <c r="U39" s="22">
        <f ca="1">IF(N40=1,R38*D11*20/36000+R39*D11*10/36000,IF(N40=0,IF(N39=0,0,R39*D11*Q12/36000+R38*D11*20/36000+R39*D11*10/36000)))</f>
        <v>1075929</v>
      </c>
      <c r="V39" s="22">
        <f ca="1">IF(N40=1,R38*D11*20/36000+R39*D11*10/36000,IF(N40=0,IF(N39=0,0,R39*D11*Q12/36000+R38*D11*20/36000+R39*D11*10/36000)))</f>
        <v>1075929</v>
      </c>
      <c r="W39" s="22">
        <f t="shared" ca="1" si="26"/>
        <v>1383333.3333333335</v>
      </c>
      <c r="X39" s="22">
        <f t="shared" ca="1" si="27"/>
        <v>1383330</v>
      </c>
      <c r="Y39" s="22">
        <f t="shared" ca="1" si="4"/>
        <v>16140320</v>
      </c>
      <c r="Z39" s="22">
        <f t="shared" ca="1" si="33"/>
        <v>1132551.6000000001</v>
      </c>
      <c r="AA39" s="22">
        <f t="shared" ca="1" si="5"/>
        <v>1132550</v>
      </c>
      <c r="AB39" s="22">
        <f ca="1">IF(R40=0,R39*Q12,(R38*20+R39*10))</f>
        <v>466668000</v>
      </c>
      <c r="AC39" s="22">
        <f t="shared" ca="1" si="6"/>
        <v>0</v>
      </c>
      <c r="AD39" s="22">
        <f t="shared" ca="1" si="7"/>
        <v>0</v>
      </c>
      <c r="AE39" s="22">
        <f t="shared" ca="1" si="28"/>
        <v>0</v>
      </c>
      <c r="AF39" s="22">
        <f t="shared" ca="1" si="8"/>
        <v>0</v>
      </c>
      <c r="AG39" s="22">
        <f t="shared" ca="1" si="29"/>
        <v>0</v>
      </c>
      <c r="AH39" s="22">
        <f t="shared" ca="1" si="9"/>
        <v>0</v>
      </c>
      <c r="AI39" s="22">
        <f t="shared" ca="1" si="10"/>
        <v>15333380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0"/>
        <v>4</v>
      </c>
      <c r="AM39" s="69">
        <f t="shared" ca="1" si="11"/>
        <v>4</v>
      </c>
      <c r="AN39" s="4">
        <f t="shared" ca="1" si="31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C39" s="19"/>
      <c r="BD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45797</v>
      </c>
      <c r="C40" s="401"/>
      <c r="D40" s="443">
        <f ca="1">IF(N40=0,IF(N39=1,D25+D26+D27+D28+D29+D30+D31+D32+D33+D34+D35+D36+D37+D38+D39," "),IF(N40=0," ",IF(N41=1,D25,IF(N41=0,D10-D25*(M14-1)," "))))</f>
        <v>333330</v>
      </c>
      <c r="E40" s="443"/>
      <c r="F40" s="84">
        <f ca="1">IF(N40=0,IF(N39=1,F25+F26+F27+F28+F29+F30+F31+F32+F33+F34+F35+F36+F37+F38+F39," "),IF(M1=1,P40,IF(M1=2,Q40," ")))</f>
        <v>1052870</v>
      </c>
      <c r="G40" s="84">
        <v>0</v>
      </c>
      <c r="H40" s="84">
        <f t="shared" ca="1" si="19"/>
        <v>1386200</v>
      </c>
      <c r="I40" s="84">
        <f t="shared" ca="1" si="20"/>
        <v>350880</v>
      </c>
      <c r="J40" s="84">
        <f t="shared" ca="1" si="0"/>
        <v>1108280</v>
      </c>
      <c r="K40" s="84">
        <v>0</v>
      </c>
      <c r="L40" s="84">
        <f t="shared" ca="1" si="21"/>
        <v>1459160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1052870</v>
      </c>
      <c r="Q40" s="22">
        <f t="shared" ca="1" si="3"/>
        <v>1052870</v>
      </c>
      <c r="R40" s="22">
        <f t="shared" ca="1" si="23"/>
        <v>15000050</v>
      </c>
      <c r="S40" s="22">
        <f t="shared" ca="1" si="24"/>
        <v>333330</v>
      </c>
      <c r="T40" s="22">
        <f t="shared" ca="1" si="25"/>
        <v>333330</v>
      </c>
      <c r="U40" s="22">
        <f ca="1">IF(N41=1,R39*D11*20/36000+R40*D11*10/36000,IF(N41=0,IF(N40=0,0,R40*D11*Q12/36000+R39*D11*20/36000+R40*D11*10/36000)))</f>
        <v>1052873.675</v>
      </c>
      <c r="V40" s="22">
        <f ca="1">IF(N41=1,R39*D11*20/36000+R40*D11*10/36000,IF(N41=0,IF(N40=0,0,R40*D11*Q12/36000+R39*D11*20/36000+R40*D11*10/36000)))</f>
        <v>1052873.675</v>
      </c>
      <c r="W40" s="22">
        <f t="shared" ca="1" si="26"/>
        <v>1383333.3333333335</v>
      </c>
      <c r="X40" s="22">
        <f t="shared" ca="1" si="27"/>
        <v>1383330</v>
      </c>
      <c r="Y40" s="22">
        <f t="shared" ca="1" si="4"/>
        <v>15789440</v>
      </c>
      <c r="Z40" s="22">
        <f t="shared" ca="1" si="33"/>
        <v>1108282.4000000001</v>
      </c>
      <c r="AA40" s="22">
        <f t="shared" ca="1" si="5"/>
        <v>1108280</v>
      </c>
      <c r="AB40" s="22">
        <f ca="1">IF(R41=0,R40*Q12,(R39*20+R40*10))</f>
        <v>456668100</v>
      </c>
      <c r="AC40" s="22">
        <f t="shared" ca="1" si="6"/>
        <v>0</v>
      </c>
      <c r="AD40" s="22">
        <f t="shared" ca="1" si="7"/>
        <v>0</v>
      </c>
      <c r="AE40" s="22">
        <f t="shared" ca="1" si="28"/>
        <v>0</v>
      </c>
      <c r="AF40" s="22">
        <f t="shared" ca="1" si="8"/>
        <v>0</v>
      </c>
      <c r="AG40" s="22">
        <f t="shared" ca="1" si="29"/>
        <v>0</v>
      </c>
      <c r="AH40" s="22">
        <f t="shared" ca="1" si="9"/>
        <v>0</v>
      </c>
      <c r="AI40" s="22">
        <f t="shared" ca="1" si="10"/>
        <v>15000050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0"/>
        <v>5</v>
      </c>
      <c r="AM40" s="69">
        <f t="shared" ca="1" si="11"/>
        <v>5</v>
      </c>
      <c r="AN40" s="4">
        <f t="shared" ca="1" si="31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C40" s="19"/>
      <c r="BD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45828</v>
      </c>
      <c r="C41" s="401"/>
      <c r="D41" s="443">
        <f ca="1">IF(N41=0,IF(N40=1,D25+D26+D27+D28+D29+D30+D31+D32+D33+D34+D35+D36+D37+D38+D39+D40," "),IF(N41=0," ",IF(N42=1,D25,IF(N42=0,D10-D25*(M14-1)," "))))</f>
        <v>333330</v>
      </c>
      <c r="E41" s="443"/>
      <c r="F41" s="84">
        <f ca="1">IF(N41=0,IF(N40=1,F25+F26+F27+F28+F29+F30+F31+F32+F33+F34+F36+F35+F37+F38+F39+F40," "),IF(M1=1,P41,IF(M1=2,Q41," ")))</f>
        <v>1029820</v>
      </c>
      <c r="G41" s="84">
        <v>0</v>
      </c>
      <c r="H41" s="84">
        <f t="shared" ca="1" si="19"/>
        <v>1363150</v>
      </c>
      <c r="I41" s="84">
        <f t="shared" ca="1" si="20"/>
        <v>350880</v>
      </c>
      <c r="J41" s="84">
        <f t="shared" ca="1" si="0"/>
        <v>1084010</v>
      </c>
      <c r="K41" s="84">
        <v>0</v>
      </c>
      <c r="L41" s="84">
        <f t="shared" ca="1" si="21"/>
        <v>1434890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1029820</v>
      </c>
      <c r="Q41" s="22">
        <f t="shared" ca="1" si="3"/>
        <v>1029820</v>
      </c>
      <c r="R41" s="22">
        <f t="shared" ca="1" si="23"/>
        <v>14666720</v>
      </c>
      <c r="S41" s="22">
        <f t="shared" ca="1" si="24"/>
        <v>333330</v>
      </c>
      <c r="T41" s="22">
        <f t="shared" ca="1" si="25"/>
        <v>333330</v>
      </c>
      <c r="U41" s="22">
        <f ca="1">IF(N42=1,R40*D11*20/36000+R41*D11*10/36000,IF(N42=0,IF(N41=0,0,R41*D11*Q12/36000+R40*D11*20/36000+R41*D11*10/36000)))</f>
        <v>1029818.3500000001</v>
      </c>
      <c r="V41" s="22">
        <f ca="1">IF(N42=1,R40*D11*20/36000+R41*D11*10/36000,IF(N42=0,IF(N41=0,0,R41*D11*Q12/36000+R40*D11*20/36000+R41*D11*10/36000)))</f>
        <v>1029818.3500000001</v>
      </c>
      <c r="W41" s="22">
        <f t="shared" ca="1" si="26"/>
        <v>1383333.3333333335</v>
      </c>
      <c r="X41" s="22">
        <f t="shared" ca="1" si="27"/>
        <v>1383330</v>
      </c>
      <c r="Y41" s="22">
        <f t="shared" ca="1" si="4"/>
        <v>15438560</v>
      </c>
      <c r="Z41" s="22">
        <f t="shared" ca="1" si="33"/>
        <v>1084013.2000000002</v>
      </c>
      <c r="AA41" s="22">
        <f t="shared" ca="1" si="5"/>
        <v>1084010</v>
      </c>
      <c r="AB41" s="22">
        <f ca="1">IF(R42=0,R41*Q12,(R40*20+R41*10))</f>
        <v>446668200</v>
      </c>
      <c r="AC41" s="22">
        <f t="shared" ca="1" si="6"/>
        <v>0</v>
      </c>
      <c r="AD41" s="22">
        <f t="shared" ca="1" si="7"/>
        <v>0</v>
      </c>
      <c r="AE41" s="22">
        <f t="shared" ca="1" si="28"/>
        <v>0</v>
      </c>
      <c r="AF41" s="22">
        <f t="shared" ca="1" si="8"/>
        <v>0</v>
      </c>
      <c r="AG41" s="22">
        <f t="shared" ca="1" si="29"/>
        <v>0</v>
      </c>
      <c r="AH41" s="22">
        <f t="shared" ca="1" si="9"/>
        <v>0</v>
      </c>
      <c r="AI41" s="22">
        <f t="shared" ca="1" si="10"/>
        <v>14666720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0"/>
        <v>6</v>
      </c>
      <c r="AM41" s="69">
        <f t="shared" ca="1" si="11"/>
        <v>6</v>
      </c>
      <c r="AN41" s="4">
        <f t="shared" ca="1" si="31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C41" s="19"/>
      <c r="BD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45858</v>
      </c>
      <c r="C42" s="401"/>
      <c r="D42" s="443">
        <f ca="1">IF(N42=0,IF(N41=1,D25+D26+D27+D28+D29+D30+D31+D32+D33+D34+D35+D36+D37+D38+D39+D40+D41," "),IF(N42=0," ",IF(N43=1,D25,IF(N43=0,D10-D25*(M14-1)," "))))</f>
        <v>333330</v>
      </c>
      <c r="E42" s="443"/>
      <c r="F42" s="84">
        <f ca="1">IF(N42=0,IF(N41=1,F25+F26+F27+F28+F29+F30+F31+F32+F33+F34+F35+F36+F37+F38+F39+F40+F41," "),IF(M1=1,P42,IF(M1=2,Q42," ")))</f>
        <v>1006760</v>
      </c>
      <c r="G42" s="84">
        <v>0</v>
      </c>
      <c r="H42" s="84">
        <f t="shared" ca="1" si="19"/>
        <v>1340090</v>
      </c>
      <c r="I42" s="84">
        <f t="shared" ca="1" si="20"/>
        <v>350880</v>
      </c>
      <c r="J42" s="84">
        <f t="shared" ca="1" si="0"/>
        <v>1059740</v>
      </c>
      <c r="K42" s="84">
        <v>0</v>
      </c>
      <c r="L42" s="84">
        <f t="shared" ca="1" si="21"/>
        <v>1410620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1006760</v>
      </c>
      <c r="Q42" s="22">
        <f t="shared" ca="1" si="3"/>
        <v>1006760</v>
      </c>
      <c r="R42" s="22">
        <f t="shared" ca="1" si="23"/>
        <v>14333390</v>
      </c>
      <c r="S42" s="22">
        <f t="shared" ca="1" si="24"/>
        <v>333330</v>
      </c>
      <c r="T42" s="22">
        <f t="shared" ca="1" si="25"/>
        <v>333330</v>
      </c>
      <c r="U42" s="22">
        <f ca="1">IF(N43=1,R41*D11*20/36000+R42*D11*10/36000,IF(N43=0,IF(N42=0,0,R42*D11*Q12/36000+R41*D11*20/36000+R42*D11*10/36000)))</f>
        <v>1006763.025</v>
      </c>
      <c r="V42" s="22">
        <f ca="1">IF(N43=1,R41*D11*20/36000+R42*D11*10/36000,IF(N43=0,IF(N42=0,0,R42*D11*Q12/36000+R41*D11*20/36000+R42*D11*10/36000)))</f>
        <v>1006763.025</v>
      </c>
      <c r="W42" s="22">
        <f t="shared" ca="1" si="26"/>
        <v>1383333.3333333335</v>
      </c>
      <c r="X42" s="22">
        <f t="shared" ca="1" si="27"/>
        <v>1383330</v>
      </c>
      <c r="Y42" s="22">
        <f t="shared" ca="1" si="4"/>
        <v>15087680</v>
      </c>
      <c r="Z42" s="22">
        <f t="shared" ca="1" si="33"/>
        <v>1059744</v>
      </c>
      <c r="AA42" s="22">
        <f t="shared" ca="1" si="5"/>
        <v>1059740</v>
      </c>
      <c r="AB42" s="22">
        <f ca="1">IF(R43=0,R42*Q12,(R41*20+R42*10))</f>
        <v>436668300</v>
      </c>
      <c r="AC42" s="22">
        <f t="shared" ca="1" si="6"/>
        <v>0</v>
      </c>
      <c r="AD42" s="22">
        <f t="shared" ca="1" si="7"/>
        <v>0</v>
      </c>
      <c r="AE42" s="22">
        <f t="shared" ca="1" si="28"/>
        <v>0</v>
      </c>
      <c r="AF42" s="22">
        <f t="shared" ca="1" si="8"/>
        <v>0</v>
      </c>
      <c r="AG42" s="22">
        <f t="shared" ca="1" si="29"/>
        <v>0</v>
      </c>
      <c r="AH42" s="22">
        <f t="shared" ca="1" si="9"/>
        <v>0</v>
      </c>
      <c r="AI42" s="22">
        <f t="shared" ca="1" si="10"/>
        <v>14333390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0"/>
        <v>7</v>
      </c>
      <c r="AM42" s="69">
        <f t="shared" ca="1" si="11"/>
        <v>7</v>
      </c>
      <c r="AN42" s="4">
        <f t="shared" ca="1" si="31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C42" s="19"/>
      <c r="BD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45889</v>
      </c>
      <c r="C43" s="401"/>
      <c r="D43" s="443">
        <f ca="1">IF(N43=0,IF(N42=1,D25+D26+D27+D28+D29+D30+D31+D32+D33+D34+D35+D36+D37+D38+D39+D40+D41+D42," "),IF(N43=0," ",IF(N44=1,D25,IF(N44=0,D10-D25*(M14-1)," "))))</f>
        <v>333330</v>
      </c>
      <c r="E43" s="443"/>
      <c r="F43" s="84">
        <f ca="1">IF(N43=0,IF(N42=1,F25+F26+F27+F28+F29+F30+F31+F32+F33+F34+F35+F36+F37+F38+F39+F40+F41+F42," "),IF(M1=1,P43,IF(M1=2,Q43," ")))</f>
        <v>983710</v>
      </c>
      <c r="G43" s="84">
        <v>0</v>
      </c>
      <c r="H43" s="84">
        <f t="shared" ca="1" si="19"/>
        <v>1317040</v>
      </c>
      <c r="I43" s="84">
        <f t="shared" ca="1" si="20"/>
        <v>350880</v>
      </c>
      <c r="J43" s="84">
        <f t="shared" ca="1" si="0"/>
        <v>1035470</v>
      </c>
      <c r="K43" s="84">
        <v>0</v>
      </c>
      <c r="L43" s="84">
        <f t="shared" ca="1" si="21"/>
        <v>1386350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983710</v>
      </c>
      <c r="Q43" s="22">
        <f t="shared" ca="1" si="3"/>
        <v>983710</v>
      </c>
      <c r="R43" s="22">
        <f t="shared" ca="1" si="23"/>
        <v>14000060</v>
      </c>
      <c r="S43" s="22">
        <f t="shared" ca="1" si="24"/>
        <v>333330</v>
      </c>
      <c r="T43" s="22">
        <f t="shared" ca="1" si="25"/>
        <v>333330</v>
      </c>
      <c r="U43" s="22">
        <f ca="1">IF(N44=1,R42*D$11*20/36000+R43*D$11*10/36000,IF(N44=0,IF(N43=0,0,R43*D$11*Q$12/36000)))</f>
        <v>983707.7</v>
      </c>
      <c r="V43" s="22">
        <f ca="1">IF(N44=1,R42*D$11*20/36000+R43*D$11*10/36000,IF(N44=0,IF(N43=0,0,R43*D$11*Q$12/36000)))</f>
        <v>983707.7</v>
      </c>
      <c r="W43" s="22">
        <f t="shared" ca="1" si="26"/>
        <v>1383333.3333333335</v>
      </c>
      <c r="X43" s="22">
        <f t="shared" ca="1" si="27"/>
        <v>1383330</v>
      </c>
      <c r="Y43" s="22">
        <f t="shared" ca="1" si="4"/>
        <v>14736800</v>
      </c>
      <c r="Z43" s="22">
        <f t="shared" ca="1" si="33"/>
        <v>1035474.8</v>
      </c>
      <c r="AA43" s="22">
        <f t="shared" ca="1" si="5"/>
        <v>1035470</v>
      </c>
      <c r="AB43" s="22">
        <f ca="1">IF(R44=0,R43*Q12,(R42*20+R43*10))</f>
        <v>426668400</v>
      </c>
      <c r="AC43" s="22">
        <f t="shared" ca="1" si="6"/>
        <v>0</v>
      </c>
      <c r="AD43" s="22">
        <f t="shared" ca="1" si="7"/>
        <v>0</v>
      </c>
      <c r="AE43" s="22">
        <f t="shared" ca="1" si="28"/>
        <v>0</v>
      </c>
      <c r="AF43" s="22">
        <f t="shared" ca="1" si="8"/>
        <v>0</v>
      </c>
      <c r="AG43" s="22">
        <f t="shared" ca="1" si="29"/>
        <v>0</v>
      </c>
      <c r="AH43" s="22">
        <f t="shared" ca="1" si="9"/>
        <v>0</v>
      </c>
      <c r="AI43" s="22">
        <f t="shared" ca="1" si="10"/>
        <v>14000060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0"/>
        <v>8</v>
      </c>
      <c r="AM43" s="69">
        <f t="shared" ca="1" si="11"/>
        <v>8</v>
      </c>
      <c r="AN43" s="4">
        <f t="shared" ca="1" si="31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2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C43" s="19"/>
      <c r="BD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45920</v>
      </c>
      <c r="C44" s="401"/>
      <c r="D44" s="443">
        <f ca="1">IF(N44=0,IF(N43=1,D25+D26+D27+D28+D29+D30+D31+D32+D33+D34+D35+D36+D37+D38+D39+D40+D41+D42+D43," "),IF(N44=0," ",IF(N45=1,D25,IF(N45=0,D10-D25*(M14-1)," "))))</f>
        <v>333330</v>
      </c>
      <c r="E44" s="443"/>
      <c r="F44" s="84">
        <f ca="1">IF(N44=0,IF(N43=1,F25+F26+F27+F28+F29+F30+F31+F32+F33+F34+F35+F36+F37+F38+F39+F40+F41+F42+F43," "),IF(M1=1,P44,IF(M1=2,Q44," ")))</f>
        <v>960650</v>
      </c>
      <c r="G44" s="84">
        <v>0</v>
      </c>
      <c r="H44" s="84">
        <f t="shared" ca="1" si="19"/>
        <v>1293980</v>
      </c>
      <c r="I44" s="84">
        <f t="shared" ca="1" si="20"/>
        <v>350880</v>
      </c>
      <c r="J44" s="84">
        <f t="shared" ca="1" si="0"/>
        <v>1011210</v>
      </c>
      <c r="K44" s="84">
        <v>0</v>
      </c>
      <c r="L44" s="84">
        <f t="shared" ca="1" si="21"/>
        <v>1362090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960650</v>
      </c>
      <c r="Q44" s="22">
        <f t="shared" ca="1" si="3"/>
        <v>960650</v>
      </c>
      <c r="R44" s="22">
        <f t="shared" ca="1" si="23"/>
        <v>13666730</v>
      </c>
      <c r="S44" s="22">
        <f t="shared" ca="1" si="24"/>
        <v>333330</v>
      </c>
      <c r="T44" s="22">
        <f t="shared" ca="1" si="25"/>
        <v>333330</v>
      </c>
      <c r="U44" s="22">
        <f ca="1">IF(N45=1,R43*D11*20/36000+R44*D11*10/36000,IF(N45=0,IF(N44=0,0,R44*D11*Q12/36000+R43*D11*20/36000+R44*D11*10/36000)))</f>
        <v>960652.375</v>
      </c>
      <c r="V44" s="22">
        <f ca="1">IF(N45=1,R43*D11*20/36000+R44*D11*10/36000,IF(N45=0,IF(N44=0,0,R44*D11*Q12/36000+R43*D11*20/36000+R44*D11*10/36000)))</f>
        <v>960652.375</v>
      </c>
      <c r="W44" s="22">
        <f t="shared" ca="1" si="26"/>
        <v>1383333.3333333335</v>
      </c>
      <c r="X44" s="22">
        <f t="shared" ca="1" si="27"/>
        <v>1383330</v>
      </c>
      <c r="Y44" s="22">
        <f t="shared" ca="1" si="4"/>
        <v>14385920</v>
      </c>
      <c r="Z44" s="22">
        <f t="shared" ca="1" si="33"/>
        <v>1011205.6000000001</v>
      </c>
      <c r="AA44" s="22">
        <f t="shared" ca="1" si="5"/>
        <v>1011210</v>
      </c>
      <c r="AB44" s="22">
        <f ca="1">IF(R45=0,R44*Q12,(R43*20+R44*10))</f>
        <v>416668500</v>
      </c>
      <c r="AC44" s="22">
        <f t="shared" ca="1" si="6"/>
        <v>0</v>
      </c>
      <c r="AD44" s="22">
        <f t="shared" ca="1" si="7"/>
        <v>0</v>
      </c>
      <c r="AE44" s="22">
        <f t="shared" ca="1" si="28"/>
        <v>0</v>
      </c>
      <c r="AF44" s="22">
        <f t="shared" ca="1" si="8"/>
        <v>0</v>
      </c>
      <c r="AG44" s="22">
        <f t="shared" ca="1" si="29"/>
        <v>0</v>
      </c>
      <c r="AH44" s="22">
        <f t="shared" ca="1" si="9"/>
        <v>0</v>
      </c>
      <c r="AI44" s="22">
        <f t="shared" ca="1" si="10"/>
        <v>13666730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0"/>
        <v>9</v>
      </c>
      <c r="AM44" s="69">
        <f t="shared" ca="1" si="11"/>
        <v>9</v>
      </c>
      <c r="AN44" s="4">
        <f t="shared" ca="1" si="31"/>
        <v>2025</v>
      </c>
      <c r="AO44" s="4">
        <f t="shared" ca="1" si="12"/>
        <v>2025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C44" s="19"/>
      <c r="BD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45950</v>
      </c>
      <c r="C45" s="401"/>
      <c r="D45" s="443">
        <f ca="1">IF(N45=0,IF(N44=1,D25+D26+D27+D28+D29+D30+D31+D32+D33+D34+D35+D36+D37+D38+D39+D40+D41+D42+D43+D44," "),IF(N45=0," ",IF(N46=1,D25,IF(N46=0,D10-D25*(M14-1)," "))))</f>
        <v>333330</v>
      </c>
      <c r="E45" s="443"/>
      <c r="F45" s="84">
        <f ca="1">IF(N45=0,IF(N44=1,F25+F26+F27+F28+F29+F30+F31+F32+F33+F34+F35+F36+F37+F38+F39+F40+F41+F42+F43+F44," "),IF(M1=1,P45,IF(M1=2,Q45," ")))</f>
        <v>937600</v>
      </c>
      <c r="G45" s="84">
        <v>0</v>
      </c>
      <c r="H45" s="84">
        <f t="shared" ca="1" si="19"/>
        <v>1270930</v>
      </c>
      <c r="I45" s="84">
        <f t="shared" ca="1" si="20"/>
        <v>350880</v>
      </c>
      <c r="J45" s="84">
        <f t="shared" ca="1" si="0"/>
        <v>986940</v>
      </c>
      <c r="K45" s="84">
        <v>0</v>
      </c>
      <c r="L45" s="84">
        <f t="shared" ca="1" si="21"/>
        <v>1337820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937600</v>
      </c>
      <c r="Q45" s="22">
        <f t="shared" ca="1" si="3"/>
        <v>937600</v>
      </c>
      <c r="R45" s="22">
        <f t="shared" ca="1" si="23"/>
        <v>13333400</v>
      </c>
      <c r="S45" s="22">
        <f t="shared" ca="1" si="24"/>
        <v>333330</v>
      </c>
      <c r="T45" s="22">
        <f t="shared" ca="1" si="25"/>
        <v>333330</v>
      </c>
      <c r="U45" s="22">
        <f ca="1">IF(N46=1,R44*D11*20/36000+R45*D11*10/36000,IF(N46=0,IF(N45=0,0,R45*D11*Q12/36000+R44*D11*20/36000+R45*D11*10/36000)))</f>
        <v>937597.05</v>
      </c>
      <c r="V45" s="22">
        <f ca="1">IF(N46=1,R44*D11*20/36000+R45*D11*10/36000,IF(N46=0,IF(N45=0,0,R45*D11*Q12/36000+R44*D11*20/36000+R45*D11*10/36000)))</f>
        <v>937597.05</v>
      </c>
      <c r="W45" s="22">
        <f t="shared" ca="1" si="26"/>
        <v>1383333.3333333335</v>
      </c>
      <c r="X45" s="22">
        <f t="shared" ca="1" si="27"/>
        <v>1383330</v>
      </c>
      <c r="Y45" s="22">
        <f t="shared" ca="1" si="4"/>
        <v>14035040</v>
      </c>
      <c r="Z45" s="22">
        <f t="shared" ca="1" si="33"/>
        <v>986936.4</v>
      </c>
      <c r="AA45" s="22">
        <f t="shared" ca="1" si="5"/>
        <v>986940</v>
      </c>
      <c r="AB45" s="22">
        <f ca="1">IF(R46=0,R45*Q12,(R44*20+R45*10))</f>
        <v>406668600</v>
      </c>
      <c r="AC45" s="22">
        <f t="shared" ca="1" si="6"/>
        <v>0</v>
      </c>
      <c r="AD45" s="22">
        <f t="shared" ca="1" si="7"/>
        <v>0</v>
      </c>
      <c r="AE45" s="22">
        <f t="shared" ca="1" si="28"/>
        <v>0</v>
      </c>
      <c r="AF45" s="22">
        <f t="shared" ca="1" si="8"/>
        <v>0</v>
      </c>
      <c r="AG45" s="22">
        <f t="shared" ca="1" si="29"/>
        <v>0</v>
      </c>
      <c r="AH45" s="22">
        <f t="shared" ca="1" si="9"/>
        <v>0</v>
      </c>
      <c r="AI45" s="22">
        <f t="shared" ca="1" si="10"/>
        <v>13333400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0"/>
        <v>10</v>
      </c>
      <c r="AM45" s="69">
        <f t="shared" ca="1" si="11"/>
        <v>10</v>
      </c>
      <c r="AN45" s="4">
        <f t="shared" ca="1" si="31"/>
        <v>2025</v>
      </c>
      <c r="AO45" s="4">
        <f t="shared" ca="1" si="12"/>
        <v>2025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2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C45" s="19"/>
      <c r="BD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45981</v>
      </c>
      <c r="C46" s="401"/>
      <c r="D46" s="443">
        <f ca="1">IF(N46=0,IF(N45=1,D25+D26+D27+D28+D29+D30+D31+D32+D33+D34+D35+D36+D37+D38+D39+D40+D41+D42+D43+D44+D45," "),IF(N46=0," ",IF(N47=1,D25,IF(N47=0,D10-D25*(M14-1)," "))))</f>
        <v>333330</v>
      </c>
      <c r="E46" s="443"/>
      <c r="F46" s="84">
        <f ca="1">IF(N46=0,IF(N45=1,F25+F26+F27+F28+F29+F30+F31+F32+F33+F34+F35+F36+F37+F38+F39+F40+F41+F42+F43+F44+F45," "),IF(M1=1,P46,IF(M1=2,Q46," ")))</f>
        <v>914540</v>
      </c>
      <c r="G46" s="84">
        <v>0</v>
      </c>
      <c r="H46" s="84">
        <f t="shared" ca="1" si="19"/>
        <v>1247870</v>
      </c>
      <c r="I46" s="84">
        <f t="shared" ca="1" si="20"/>
        <v>350880</v>
      </c>
      <c r="J46" s="84">
        <f t="shared" ca="1" si="0"/>
        <v>962670</v>
      </c>
      <c r="K46" s="84">
        <v>0</v>
      </c>
      <c r="L46" s="84">
        <f t="shared" ca="1" si="21"/>
        <v>1313550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914540</v>
      </c>
      <c r="Q46" s="22">
        <f t="shared" ca="1" si="3"/>
        <v>914540</v>
      </c>
      <c r="R46" s="22">
        <f t="shared" ca="1" si="23"/>
        <v>13000070</v>
      </c>
      <c r="S46" s="22">
        <f t="shared" ca="1" si="24"/>
        <v>333330</v>
      </c>
      <c r="T46" s="22">
        <f t="shared" ca="1" si="25"/>
        <v>333330</v>
      </c>
      <c r="U46" s="22">
        <f ca="1">IF(N47=1,R45*D11*20/36000+R46*D11*10/36000,IF(N47=0,IF(N46=0,0,R46*D11*Q12/36000+R45*D11*20/36000+R46*D11*10/36000)))</f>
        <v>914541.72499999998</v>
      </c>
      <c r="V46" s="22">
        <f ca="1">IF(N47=1,R45*D11*20/36000+R46*D11*10/36000,IF(N47=0,IF(N46=0,0,R46*D11*Q12/36000+R45*D11*20/36000+R46*D11*10/36000)))</f>
        <v>914541.72499999998</v>
      </c>
      <c r="W46" s="22">
        <f t="shared" ca="1" si="26"/>
        <v>1383333.3333333335</v>
      </c>
      <c r="X46" s="22">
        <f t="shared" ca="1" si="27"/>
        <v>1383330</v>
      </c>
      <c r="Y46" s="22">
        <f t="shared" ca="1" si="4"/>
        <v>13684160</v>
      </c>
      <c r="Z46" s="22">
        <f t="shared" ca="1" si="33"/>
        <v>962667.2</v>
      </c>
      <c r="AA46" s="22">
        <f t="shared" ca="1" si="5"/>
        <v>962670</v>
      </c>
      <c r="AB46" s="22">
        <f ca="1">IF(R47=0,R46*Q12,(R45*20+R46*10))</f>
        <v>396668700</v>
      </c>
      <c r="AC46" s="22">
        <f t="shared" ca="1" si="6"/>
        <v>0</v>
      </c>
      <c r="AD46" s="22">
        <f t="shared" ca="1" si="7"/>
        <v>0</v>
      </c>
      <c r="AE46" s="22">
        <f t="shared" ca="1" si="28"/>
        <v>0</v>
      </c>
      <c r="AF46" s="22">
        <f t="shared" ca="1" si="8"/>
        <v>0</v>
      </c>
      <c r="AG46" s="22">
        <f t="shared" ca="1" si="29"/>
        <v>0</v>
      </c>
      <c r="AH46" s="22">
        <f t="shared" ca="1" si="9"/>
        <v>0</v>
      </c>
      <c r="AI46" s="22">
        <f t="shared" ca="1" si="10"/>
        <v>13000070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0"/>
        <v>11</v>
      </c>
      <c r="AM46" s="69">
        <f t="shared" ca="1" si="11"/>
        <v>11</v>
      </c>
      <c r="AN46" s="4">
        <f t="shared" ca="1" si="31"/>
        <v>2025</v>
      </c>
      <c r="AO46" s="4">
        <f t="shared" ca="1" si="12"/>
        <v>2025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30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C46" s="19"/>
      <c r="BD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46011</v>
      </c>
      <c r="C47" s="401"/>
      <c r="D47" s="443">
        <f ca="1">IF(N47=0,IF(N46=1,D25+D26+D27+D28+D29+D30+D31+D32+D33+D34+D35+D36+D37+D38+D39+D40+D41+D42+D43+D44+D45+D46," "),IF(N47=0," ",IF(N48=1,D25,IF(N48=0,D10-D25*(M14-1)," "))))</f>
        <v>333330</v>
      </c>
      <c r="E47" s="443"/>
      <c r="F47" s="84">
        <f ca="1">IF(N47=0,IF(N46=1,F25+F26+F27+F28+F29+F30+F31+F32+F33+F34+F35+F36+F37+F38+F39+F40+F41+F42+F43+F44+F45+F46," "),IF(M1=1,P47,IF(M1=2,Q47," ")))</f>
        <v>891490</v>
      </c>
      <c r="G47" s="84">
        <v>0</v>
      </c>
      <c r="H47" s="84">
        <f t="shared" ca="1" si="19"/>
        <v>1224820</v>
      </c>
      <c r="I47" s="84">
        <f t="shared" ca="1" si="20"/>
        <v>350880</v>
      </c>
      <c r="J47" s="84">
        <f t="shared" ca="1" si="0"/>
        <v>938400</v>
      </c>
      <c r="K47" s="84">
        <v>0</v>
      </c>
      <c r="L47" s="84">
        <f t="shared" ca="1" si="21"/>
        <v>1289280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891490</v>
      </c>
      <c r="Q47" s="22">
        <f t="shared" ca="1" si="3"/>
        <v>891490</v>
      </c>
      <c r="R47" s="22">
        <f t="shared" ca="1" si="23"/>
        <v>12666740</v>
      </c>
      <c r="S47" s="22">
        <f t="shared" ca="1" si="24"/>
        <v>333330</v>
      </c>
      <c r="T47" s="22">
        <f t="shared" ca="1" si="25"/>
        <v>333330</v>
      </c>
      <c r="U47" s="22">
        <f ca="1">IF(N48=1,R46*D11*20/36000+R47*D11*10/36000,IF(N48=0,IF(N47=0,0,R47*D11*Q12/36000+R46*D11*20/36000+R47*D11*10/36000)))</f>
        <v>891486.39999999991</v>
      </c>
      <c r="V47" s="22">
        <f ca="1">IF(N48=1,R46*D11*20/36000+R47*D11*10/36000,IF(N48=0,IF(N47=0,0,R47*D11*Q12/36000+R46*D11*20/36000+R47*D11*10/36000)))</f>
        <v>891486.39999999991</v>
      </c>
      <c r="W47" s="22">
        <f t="shared" ca="1" si="26"/>
        <v>1383333.3333333335</v>
      </c>
      <c r="X47" s="22">
        <f t="shared" ca="1" si="27"/>
        <v>1383330</v>
      </c>
      <c r="Y47" s="22">
        <f t="shared" ca="1" si="4"/>
        <v>13333280</v>
      </c>
      <c r="Z47" s="22">
        <f t="shared" ca="1" si="33"/>
        <v>938398</v>
      </c>
      <c r="AA47" s="22">
        <f t="shared" ca="1" si="5"/>
        <v>938400</v>
      </c>
      <c r="AB47" s="22">
        <f ca="1">IF(R48=0,R47*Q12,(R46*20+R47*10))</f>
        <v>386668800</v>
      </c>
      <c r="AC47" s="22">
        <f t="shared" ca="1" si="6"/>
        <v>0</v>
      </c>
      <c r="AD47" s="22">
        <f t="shared" ca="1" si="7"/>
        <v>0</v>
      </c>
      <c r="AE47" s="22">
        <f t="shared" ca="1" si="28"/>
        <v>0</v>
      </c>
      <c r="AF47" s="22">
        <f t="shared" ca="1" si="8"/>
        <v>0</v>
      </c>
      <c r="AG47" s="22">
        <f t="shared" ca="1" si="29"/>
        <v>0</v>
      </c>
      <c r="AH47" s="22">
        <f t="shared" ca="1" si="9"/>
        <v>0</v>
      </c>
      <c r="AI47" s="22">
        <f t="shared" ca="1" si="10"/>
        <v>12666740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0"/>
        <v>12</v>
      </c>
      <c r="AM47" s="69">
        <f t="shared" ca="1" si="11"/>
        <v>12</v>
      </c>
      <c r="AN47" s="4">
        <f t="shared" ca="1" si="31"/>
        <v>2025</v>
      </c>
      <c r="AO47" s="4">
        <f t="shared" ca="1" si="12"/>
        <v>2025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C47" s="19"/>
      <c r="BD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46042</v>
      </c>
      <c r="C48" s="401"/>
      <c r="D48" s="443">
        <f ca="1">IF(N48=0,IF(N47=1,SUM(D$25:E47)," "),IF(N48=0," ",IF(N49=1,D$25,IF(N49=0,D$10-D$25*(M$14-1)," "))))</f>
        <v>333330</v>
      </c>
      <c r="E48" s="443"/>
      <c r="F48" s="84">
        <f ca="1">IF(N48=0,IF(N47=1,SUM(F$25:F47)," "),IF(M$1=1,P48,IF(M$1=2,Q48," ")))</f>
        <v>868430</v>
      </c>
      <c r="G48" s="84">
        <v>0</v>
      </c>
      <c r="H48" s="84">
        <f t="shared" ca="1" si="19"/>
        <v>1201760</v>
      </c>
      <c r="I48" s="84">
        <f t="shared" ca="1" si="20"/>
        <v>350880</v>
      </c>
      <c r="J48" s="84">
        <f t="shared" ca="1" si="0"/>
        <v>914130</v>
      </c>
      <c r="K48" s="84">
        <v>0</v>
      </c>
      <c r="L48" s="84">
        <f t="shared" ca="1" si="21"/>
        <v>1265010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868430</v>
      </c>
      <c r="Q48" s="22">
        <f t="shared" ca="1" si="3"/>
        <v>868430</v>
      </c>
      <c r="R48" s="22">
        <f t="shared" ca="1" si="23"/>
        <v>12333410</v>
      </c>
      <c r="S48" s="22">
        <f t="shared" ca="1" si="24"/>
        <v>333330</v>
      </c>
      <c r="T48" s="22">
        <f t="shared" ca="1" si="25"/>
        <v>333330</v>
      </c>
      <c r="U48" s="22">
        <f ca="1">IF(N49=1,R47*D$11*20/36000+R48*D$11*10/36000,IF(N49=0,IF(N48=0,0,R48*D$11*Q$12/36000+R47*D$11*20/36000+R48*D$11*10/36000)))</f>
        <v>868431.07499999995</v>
      </c>
      <c r="V48" s="22">
        <f ca="1">IF(N49=1,R47*D$11*20/36000+R48*D$11*10/36000,IF(N49=0,IF(N48=0,0,R48*D$11*Q$12/36000+R47*D$11*20/36000+R48*D$11*10/36000)))</f>
        <v>868431.07499999995</v>
      </c>
      <c r="W48" s="22">
        <f t="shared" ca="1" si="26"/>
        <v>1383333.3333333335</v>
      </c>
      <c r="X48" s="22">
        <f t="shared" ca="1" si="27"/>
        <v>1383330</v>
      </c>
      <c r="Y48" s="22">
        <f t="shared" ca="1" si="4"/>
        <v>12982400</v>
      </c>
      <c r="Z48" s="22">
        <f t="shared" ca="1" si="33"/>
        <v>914128.8</v>
      </c>
      <c r="AA48" s="22">
        <f t="shared" ca="1" si="5"/>
        <v>914130</v>
      </c>
      <c r="AB48" s="22">
        <f t="shared" ref="AB48:AB84" ca="1" si="35">IF(R49=0,R48*Q$12,(R47*20+R48*10))</f>
        <v>376668900</v>
      </c>
      <c r="AC48" s="22">
        <f t="shared" ca="1" si="6"/>
        <v>0</v>
      </c>
      <c r="AD48" s="22">
        <f t="shared" ca="1" si="7"/>
        <v>0</v>
      </c>
      <c r="AE48" s="22">
        <f t="shared" ca="1" si="28"/>
        <v>0</v>
      </c>
      <c r="AF48" s="22">
        <f t="shared" ca="1" si="8"/>
        <v>0</v>
      </c>
      <c r="AG48" s="22">
        <f t="shared" ca="1" si="29"/>
        <v>0</v>
      </c>
      <c r="AH48" s="22">
        <f t="shared" ca="1" si="9"/>
        <v>0</v>
      </c>
      <c r="AI48" s="22">
        <f t="shared" ca="1" si="10"/>
        <v>12333410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0"/>
        <v>13</v>
      </c>
      <c r="AM48" s="69">
        <f t="shared" ca="1" si="11"/>
        <v>1</v>
      </c>
      <c r="AN48" s="4">
        <f t="shared" ca="1" si="31"/>
        <v>2025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C48" s="19"/>
      <c r="BD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46073</v>
      </c>
      <c r="C49" s="401"/>
      <c r="D49" s="443">
        <f ca="1">IF(N49=0,IF(N48=1,SUM(D$25:E48)," "),IF(N49=0," ",IF(N50=1,D$25,IF(N50=0,D$10-D$25*(M$14-1)," "))))</f>
        <v>333330</v>
      </c>
      <c r="E49" s="443"/>
      <c r="F49" s="84">
        <f ca="1">IF(N49=0,IF(N48=1,SUM(F$25:F48)," "),IF(M$1=1,P49,IF(M$1=2,Q49," ")))</f>
        <v>845380</v>
      </c>
      <c r="G49" s="84">
        <v>0</v>
      </c>
      <c r="H49" s="84">
        <f t="shared" ca="1" si="19"/>
        <v>1178710</v>
      </c>
      <c r="I49" s="84">
        <f t="shared" ca="1" si="20"/>
        <v>350880</v>
      </c>
      <c r="J49" s="84">
        <f t="shared" ca="1" si="0"/>
        <v>889860</v>
      </c>
      <c r="K49" s="84">
        <v>0</v>
      </c>
      <c r="L49" s="84">
        <f t="shared" ca="1" si="21"/>
        <v>1240740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845380</v>
      </c>
      <c r="Q49" s="22">
        <f t="shared" ca="1" si="3"/>
        <v>845380</v>
      </c>
      <c r="R49" s="22">
        <f t="shared" ca="1" si="23"/>
        <v>12000080</v>
      </c>
      <c r="S49" s="22">
        <f t="shared" ca="1" si="24"/>
        <v>333330</v>
      </c>
      <c r="T49" s="22">
        <f t="shared" ca="1" si="25"/>
        <v>333330</v>
      </c>
      <c r="U49" s="22">
        <f ca="1">IF(N50=1,R48*D$11*20/36000+R49*D$11*10/36000,IF(N50=0,IF(N49=0,0,IF(D$16&gt;20,R48*D$11*20/36000+R49*D$11*(Q$12-20)/36000,R49*D$11*Q$12/36000))))</f>
        <v>845375.75</v>
      </c>
      <c r="V49" s="22">
        <f ca="1">IF(N50=1,R48*D$11*20/36000+R49*D$11*10/36000,IF(N50=0,IF(N49=0,0,IF(D$16&gt;20,R48*D$11*20/36000+R49*D$11*(Q$12-20)/36000,R49*D$11*Q$12/36000))))</f>
        <v>845375.75</v>
      </c>
      <c r="W49" s="22">
        <f t="shared" ca="1" si="26"/>
        <v>1383333.3333333335</v>
      </c>
      <c r="X49" s="22">
        <f t="shared" ca="1" si="27"/>
        <v>1383330</v>
      </c>
      <c r="Y49" s="22">
        <f t="shared" ca="1" si="4"/>
        <v>12631520</v>
      </c>
      <c r="Z49" s="22">
        <f ca="1">IF(N50=1,Y48*D$11*20/36000+Y49*D$11*10/36000,IF(N50=0,IF(N49=0,0,IF(D$16&gt;20,Y48*D$11*20/36000+Y49*D$11*(Q$12-20)/36000,Y49*D$11*Q$12/36000))))</f>
        <v>889859.6</v>
      </c>
      <c r="AA49" s="22">
        <f t="shared" ca="1" si="5"/>
        <v>889860</v>
      </c>
      <c r="AB49" s="22">
        <f t="shared" ca="1" si="35"/>
        <v>366669000</v>
      </c>
      <c r="AC49" s="22">
        <f t="shared" ca="1" si="6"/>
        <v>0</v>
      </c>
      <c r="AD49" s="22">
        <f t="shared" ca="1" si="7"/>
        <v>0</v>
      </c>
      <c r="AE49" s="22">
        <f t="shared" ca="1" si="28"/>
        <v>0</v>
      </c>
      <c r="AF49" s="22">
        <f t="shared" ca="1" si="8"/>
        <v>0</v>
      </c>
      <c r="AG49" s="22">
        <f t="shared" ca="1" si="29"/>
        <v>0</v>
      </c>
      <c r="AH49" s="22">
        <f t="shared" ca="1" si="9"/>
        <v>0</v>
      </c>
      <c r="AI49" s="22">
        <f t="shared" ca="1" si="10"/>
        <v>12000080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0"/>
        <v>2</v>
      </c>
      <c r="AM49" s="69">
        <f t="shared" ca="1" si="11"/>
        <v>2</v>
      </c>
      <c r="AN49" s="4">
        <f t="shared" ca="1" si="31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28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C49" s="4"/>
      <c r="BD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46101</v>
      </c>
      <c r="C50" s="401"/>
      <c r="D50" s="443">
        <f ca="1">IF(N50=0,IF(N49=1,SUM(D$25:E49)," "),IF(N50=0," ",IF(N51=1,D$25,IF(N51=0,D$10-D$25*(M$14-1)," "))))</f>
        <v>333330</v>
      </c>
      <c r="E50" s="443"/>
      <c r="F50" s="84">
        <f ca="1">IF(N50=0,IF(N49=1,SUM(F$25:F49)," "),IF(M$1=1,P50,IF(M$1=2,Q50," ")))</f>
        <v>822320</v>
      </c>
      <c r="G50" s="84">
        <v>0</v>
      </c>
      <c r="H50" s="84">
        <f t="shared" ca="1" si="19"/>
        <v>1155650</v>
      </c>
      <c r="I50" s="84">
        <f t="shared" ca="1" si="20"/>
        <v>350880</v>
      </c>
      <c r="J50" s="84">
        <f t="shared" ca="1" si="0"/>
        <v>865590</v>
      </c>
      <c r="K50" s="84">
        <v>0</v>
      </c>
      <c r="L50" s="84">
        <f t="shared" ca="1" si="21"/>
        <v>1216470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822320</v>
      </c>
      <c r="Q50" s="22">
        <f t="shared" ca="1" si="3"/>
        <v>822320</v>
      </c>
      <c r="R50" s="22">
        <f t="shared" ca="1" si="23"/>
        <v>11666750</v>
      </c>
      <c r="S50" s="22">
        <f t="shared" ca="1" si="24"/>
        <v>333330</v>
      </c>
      <c r="T50" s="22">
        <f t="shared" ca="1" si="25"/>
        <v>333330</v>
      </c>
      <c r="U50" s="22">
        <f t="shared" ref="U50:U60" ca="1" si="36">IF(N51=1,R49*D$11*20/36000+R50*D$11*10/36000,IF(N51=0,IF(N50=0,0,R50*D$11*Q$12/36000+R49*D$11*20/36000+R50*D$11*10/36000)))</f>
        <v>822320.42499999993</v>
      </c>
      <c r="V50" s="22">
        <f t="shared" ref="V50:V60" ca="1" si="37">IF(N51=1,R49*D$11*20/36000+R50*D$11*10/36000,IF(N51=0,IF(N50=0,0,R50*D$11*Q$12/36000+R49*D$11*20/36000+R50*D$11*10/36000)))</f>
        <v>822320.42499999993</v>
      </c>
      <c r="W50" s="22">
        <f t="shared" ca="1" si="26"/>
        <v>1383333.3333333335</v>
      </c>
      <c r="X50" s="22">
        <f t="shared" ca="1" si="27"/>
        <v>1383330</v>
      </c>
      <c r="Y50" s="22">
        <f t="shared" ca="1" si="4"/>
        <v>12280640</v>
      </c>
      <c r="Z50" s="22">
        <f t="shared" ref="Z50:Z60" ca="1" si="38">IF(N51=1,Y49*D$11*20/36000+Y50*D$11*10/36000,IF(N51=0,IF(N50=0,0,Y50*D$11*Q$12/36000+Y49*D$11*20/36000+Y50*D$11*10/36000)))</f>
        <v>865590.39999999991</v>
      </c>
      <c r="AA50" s="22">
        <f t="shared" ca="1" si="5"/>
        <v>865590</v>
      </c>
      <c r="AB50" s="22">
        <f t="shared" ca="1" si="35"/>
        <v>356669100</v>
      </c>
      <c r="AC50" s="22">
        <f t="shared" ca="1" si="6"/>
        <v>0</v>
      </c>
      <c r="AD50" s="22">
        <f t="shared" ca="1" si="7"/>
        <v>0</v>
      </c>
      <c r="AE50" s="22">
        <f t="shared" ca="1" si="28"/>
        <v>0</v>
      </c>
      <c r="AF50" s="22">
        <f t="shared" ca="1" si="8"/>
        <v>0</v>
      </c>
      <c r="AG50" s="22">
        <f t="shared" ca="1" si="29"/>
        <v>0</v>
      </c>
      <c r="AH50" s="22">
        <f t="shared" ca="1" si="9"/>
        <v>0</v>
      </c>
      <c r="AI50" s="22">
        <f t="shared" ca="1" si="10"/>
        <v>11666750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0"/>
        <v>3</v>
      </c>
      <c r="AM50" s="69">
        <f t="shared" ca="1" si="11"/>
        <v>3</v>
      </c>
      <c r="AN50" s="4">
        <f t="shared" ca="1" si="31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28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C50" s="19"/>
      <c r="BD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46132</v>
      </c>
      <c r="C51" s="401"/>
      <c r="D51" s="443">
        <f ca="1">IF(N51=0,IF(N50=1,SUM(D$25:E50)," "),IF(N51=0," ",IF(N52=1,D$25,IF(N52=0,D$10-D$25*(M$14-1)," "))))</f>
        <v>333330</v>
      </c>
      <c r="E51" s="443"/>
      <c r="F51" s="84">
        <f ca="1">IF(N51=0,IF(N50=1,SUM(F$25:F50)," "),IF(M$1=1,P51,IF(M$1=2,Q51," ")))</f>
        <v>799260</v>
      </c>
      <c r="G51" s="84">
        <v>0</v>
      </c>
      <c r="H51" s="84">
        <f t="shared" ca="1" si="19"/>
        <v>1132590</v>
      </c>
      <c r="I51" s="84">
        <f t="shared" ca="1" si="20"/>
        <v>350880</v>
      </c>
      <c r="J51" s="84">
        <f t="shared" ca="1" si="0"/>
        <v>841320</v>
      </c>
      <c r="K51" s="84">
        <v>0</v>
      </c>
      <c r="L51" s="84">
        <f t="shared" ca="1" si="21"/>
        <v>1192200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799260</v>
      </c>
      <c r="Q51" s="22">
        <f t="shared" ca="1" si="3"/>
        <v>799260</v>
      </c>
      <c r="R51" s="22">
        <f t="shared" ca="1" si="23"/>
        <v>11333420</v>
      </c>
      <c r="S51" s="22">
        <f t="shared" ca="1" si="24"/>
        <v>333330</v>
      </c>
      <c r="T51" s="22">
        <f t="shared" ca="1" si="25"/>
        <v>333330</v>
      </c>
      <c r="U51" s="22">
        <f t="shared" ca="1" si="36"/>
        <v>799265.1</v>
      </c>
      <c r="V51" s="22">
        <f t="shared" ca="1" si="37"/>
        <v>799265.1</v>
      </c>
      <c r="W51" s="22">
        <f t="shared" ca="1" si="26"/>
        <v>1383333.3333333335</v>
      </c>
      <c r="X51" s="22">
        <f t="shared" ca="1" si="27"/>
        <v>1383330</v>
      </c>
      <c r="Y51" s="22">
        <f t="shared" ca="1" si="4"/>
        <v>11929760</v>
      </c>
      <c r="Z51" s="22">
        <f t="shared" ca="1" si="38"/>
        <v>841321.2</v>
      </c>
      <c r="AA51" s="22">
        <f t="shared" ca="1" si="5"/>
        <v>841320</v>
      </c>
      <c r="AB51" s="22">
        <f t="shared" ca="1" si="35"/>
        <v>346669200</v>
      </c>
      <c r="AC51" s="22">
        <f t="shared" ca="1" si="6"/>
        <v>0</v>
      </c>
      <c r="AD51" s="22">
        <f t="shared" ca="1" si="7"/>
        <v>0</v>
      </c>
      <c r="AE51" s="22">
        <f t="shared" ca="1" si="28"/>
        <v>0</v>
      </c>
      <c r="AF51" s="22">
        <f t="shared" ca="1" si="8"/>
        <v>0</v>
      </c>
      <c r="AG51" s="22">
        <f t="shared" ca="1" si="29"/>
        <v>0</v>
      </c>
      <c r="AH51" s="22">
        <f t="shared" ca="1" si="9"/>
        <v>0</v>
      </c>
      <c r="AI51" s="22">
        <f t="shared" ca="1" si="10"/>
        <v>11333420</v>
      </c>
      <c r="AJ51" s="22">
        <f t="shared" ca="1" si="39"/>
        <v>0</v>
      </c>
      <c r="AK51" s="22">
        <f t="shared" ca="1" si="40"/>
        <v>0</v>
      </c>
      <c r="AL51" s="69">
        <f t="shared" ca="1" si="30"/>
        <v>4</v>
      </c>
      <c r="AM51" s="69">
        <f t="shared" ca="1" si="11"/>
        <v>4</v>
      </c>
      <c r="AN51" s="4">
        <f t="shared" ca="1" si="31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C51" s="19"/>
      <c r="BD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46162</v>
      </c>
      <c r="C52" s="401"/>
      <c r="D52" s="443">
        <f ca="1">IF(N52=0,IF(N51=1,SUM(D$25:E51)," "),IF(N52=0," ",IF(N53=1,D$25,IF(N53=0,D$10-D$25*(M$14-1)," "))))</f>
        <v>333330</v>
      </c>
      <c r="E52" s="443"/>
      <c r="F52" s="84">
        <f ca="1">IF(N52=0,IF(N51=1,SUM(F$25:F51)," "),IF(M$1=1,P52,IF(M$1=2,Q52," ")))</f>
        <v>776210</v>
      </c>
      <c r="G52" s="84">
        <v>0</v>
      </c>
      <c r="H52" s="84">
        <f t="shared" ca="1" si="19"/>
        <v>1109540</v>
      </c>
      <c r="I52" s="84">
        <f t="shared" ca="1" si="20"/>
        <v>350880</v>
      </c>
      <c r="J52" s="84">
        <f t="shared" ca="1" si="0"/>
        <v>817050</v>
      </c>
      <c r="K52" s="84">
        <v>0</v>
      </c>
      <c r="L52" s="84">
        <f t="shared" ca="1" si="21"/>
        <v>1167930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776210</v>
      </c>
      <c r="Q52" s="22">
        <f t="shared" ca="1" si="3"/>
        <v>776210</v>
      </c>
      <c r="R52" s="22">
        <f t="shared" ca="1" si="23"/>
        <v>11000090</v>
      </c>
      <c r="S52" s="22">
        <f t="shared" ca="1" si="24"/>
        <v>333330</v>
      </c>
      <c r="T52" s="22">
        <f t="shared" ca="1" si="25"/>
        <v>333330</v>
      </c>
      <c r="U52" s="22">
        <f t="shared" ca="1" si="36"/>
        <v>776209.77500000002</v>
      </c>
      <c r="V52" s="22">
        <f t="shared" ca="1" si="37"/>
        <v>776209.77500000002</v>
      </c>
      <c r="W52" s="22">
        <f t="shared" ca="1" si="26"/>
        <v>1383333.3333333335</v>
      </c>
      <c r="X52" s="22">
        <f t="shared" ca="1" si="27"/>
        <v>1383330</v>
      </c>
      <c r="Y52" s="22">
        <f t="shared" ca="1" si="4"/>
        <v>11578880</v>
      </c>
      <c r="Z52" s="22">
        <f t="shared" ca="1" si="38"/>
        <v>817052</v>
      </c>
      <c r="AA52" s="22">
        <f t="shared" ca="1" si="5"/>
        <v>817050</v>
      </c>
      <c r="AB52" s="22">
        <f t="shared" ca="1" si="35"/>
        <v>336669300</v>
      </c>
      <c r="AC52" s="22">
        <f t="shared" ca="1" si="6"/>
        <v>0</v>
      </c>
      <c r="AD52" s="22">
        <f t="shared" ca="1" si="7"/>
        <v>0</v>
      </c>
      <c r="AE52" s="22">
        <f t="shared" ca="1" si="28"/>
        <v>0</v>
      </c>
      <c r="AF52" s="22">
        <f t="shared" ca="1" si="8"/>
        <v>0</v>
      </c>
      <c r="AG52" s="22">
        <f t="shared" ca="1" si="29"/>
        <v>0</v>
      </c>
      <c r="AH52" s="22">
        <f t="shared" ca="1" si="9"/>
        <v>0</v>
      </c>
      <c r="AI52" s="22">
        <f t="shared" ca="1" si="10"/>
        <v>11000090</v>
      </c>
      <c r="AJ52" s="22">
        <f t="shared" ca="1" si="39"/>
        <v>0</v>
      </c>
      <c r="AK52" s="22">
        <f t="shared" ca="1" si="40"/>
        <v>0</v>
      </c>
      <c r="AL52" s="69">
        <f t="shared" ca="1" si="30"/>
        <v>5</v>
      </c>
      <c r="AM52" s="69">
        <f t="shared" ca="1" si="11"/>
        <v>5</v>
      </c>
      <c r="AN52" s="4">
        <f t="shared" ca="1" si="31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C52" s="19"/>
      <c r="BD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46193</v>
      </c>
      <c r="C53" s="401"/>
      <c r="D53" s="443">
        <f ca="1">IF(N53=0,IF(N52=1,SUM(D$25:E52)," "),IF(N53=0," ",IF(N54=1,D$25,IF(N54=0,D$10-D$25*(M$14-1)," "))))</f>
        <v>333330</v>
      </c>
      <c r="E53" s="443"/>
      <c r="F53" s="84">
        <f ca="1">IF(N53=0,IF(N52=1,SUM(F$25:F52)," "),IF(M$1=1,P53,IF(M$1=2,Q53," ")))</f>
        <v>753150</v>
      </c>
      <c r="G53" s="84">
        <v>0</v>
      </c>
      <c r="H53" s="84">
        <f t="shared" ca="1" si="19"/>
        <v>1086480</v>
      </c>
      <c r="I53" s="84">
        <f t="shared" ca="1" si="20"/>
        <v>350880</v>
      </c>
      <c r="J53" s="84">
        <f t="shared" ca="1" si="0"/>
        <v>792780</v>
      </c>
      <c r="K53" s="84">
        <v>0</v>
      </c>
      <c r="L53" s="84">
        <f t="shared" ca="1" si="21"/>
        <v>1143660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753150</v>
      </c>
      <c r="Q53" s="22">
        <f t="shared" ca="1" si="3"/>
        <v>753150</v>
      </c>
      <c r="R53" s="22">
        <f t="shared" ca="1" si="23"/>
        <v>10666760</v>
      </c>
      <c r="S53" s="22">
        <f t="shared" ca="1" si="24"/>
        <v>333330</v>
      </c>
      <c r="T53" s="22">
        <f t="shared" ca="1" si="25"/>
        <v>333330</v>
      </c>
      <c r="U53" s="22">
        <f t="shared" ca="1" si="36"/>
        <v>753154.45</v>
      </c>
      <c r="V53" s="22">
        <f t="shared" ca="1" si="37"/>
        <v>753154.45</v>
      </c>
      <c r="W53" s="22">
        <f t="shared" ca="1" si="26"/>
        <v>1383333.3333333335</v>
      </c>
      <c r="X53" s="22">
        <f t="shared" ca="1" si="27"/>
        <v>1383330</v>
      </c>
      <c r="Y53" s="22">
        <f t="shared" ca="1" si="4"/>
        <v>11228000</v>
      </c>
      <c r="Z53" s="22">
        <f t="shared" ca="1" si="38"/>
        <v>792782.79999999993</v>
      </c>
      <c r="AA53" s="22">
        <f t="shared" ca="1" si="5"/>
        <v>792780</v>
      </c>
      <c r="AB53" s="22">
        <f t="shared" ca="1" si="35"/>
        <v>326669400</v>
      </c>
      <c r="AC53" s="22">
        <f t="shared" ca="1" si="6"/>
        <v>0</v>
      </c>
      <c r="AD53" s="22">
        <f t="shared" ca="1" si="7"/>
        <v>0</v>
      </c>
      <c r="AE53" s="22">
        <f t="shared" ca="1" si="28"/>
        <v>0</v>
      </c>
      <c r="AF53" s="22">
        <f t="shared" ca="1" si="8"/>
        <v>0</v>
      </c>
      <c r="AG53" s="22">
        <f t="shared" ca="1" si="29"/>
        <v>0</v>
      </c>
      <c r="AH53" s="22">
        <f t="shared" ca="1" si="9"/>
        <v>0</v>
      </c>
      <c r="AI53" s="22">
        <f t="shared" ca="1" si="10"/>
        <v>10666760</v>
      </c>
      <c r="AJ53" s="22">
        <f t="shared" ca="1" si="39"/>
        <v>0</v>
      </c>
      <c r="AK53" s="22">
        <f t="shared" ca="1" si="40"/>
        <v>0</v>
      </c>
      <c r="AL53" s="69">
        <f t="shared" ca="1" si="30"/>
        <v>6</v>
      </c>
      <c r="AM53" s="69">
        <f t="shared" ca="1" si="11"/>
        <v>6</v>
      </c>
      <c r="AN53" s="4">
        <f t="shared" ca="1" si="31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C53" s="19"/>
      <c r="BD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46223</v>
      </c>
      <c r="C54" s="401"/>
      <c r="D54" s="443">
        <f ca="1">IF(N54=0,IF(N53=1,SUM(D$25:E53)," "),IF(N54=0," ",IF(N55=1,D$25,IF(N55=0,D$10-D$25*(M$14-1)," "))))</f>
        <v>333330</v>
      </c>
      <c r="E54" s="443"/>
      <c r="F54" s="84">
        <f ca="1">IF(N54=0,IF(N53=1,SUM(F$25:F53)," "),IF(M$1=1,P54,IF(M$1=2,Q54," ")))</f>
        <v>730100</v>
      </c>
      <c r="G54" s="84">
        <v>0</v>
      </c>
      <c r="H54" s="84">
        <f t="shared" ca="1" si="19"/>
        <v>1063430</v>
      </c>
      <c r="I54" s="84">
        <f t="shared" ca="1" si="20"/>
        <v>350880</v>
      </c>
      <c r="J54" s="84">
        <f t="shared" ca="1" si="0"/>
        <v>768510</v>
      </c>
      <c r="K54" s="84">
        <v>0</v>
      </c>
      <c r="L54" s="84">
        <f t="shared" ca="1" si="21"/>
        <v>1119390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730100</v>
      </c>
      <c r="Q54" s="22">
        <f t="shared" ca="1" si="3"/>
        <v>730100</v>
      </c>
      <c r="R54" s="22">
        <f t="shared" ca="1" si="23"/>
        <v>10333430</v>
      </c>
      <c r="S54" s="22">
        <f t="shared" ca="1" si="24"/>
        <v>333330</v>
      </c>
      <c r="T54" s="22">
        <f t="shared" ca="1" si="25"/>
        <v>333330</v>
      </c>
      <c r="U54" s="22">
        <f t="shared" ca="1" si="36"/>
        <v>730099.125</v>
      </c>
      <c r="V54" s="22">
        <f t="shared" ca="1" si="37"/>
        <v>730099.125</v>
      </c>
      <c r="W54" s="22">
        <f t="shared" ca="1" si="26"/>
        <v>1383333.3333333335</v>
      </c>
      <c r="X54" s="22">
        <f t="shared" ca="1" si="27"/>
        <v>1383330</v>
      </c>
      <c r="Y54" s="22">
        <f t="shared" ca="1" si="4"/>
        <v>10877120</v>
      </c>
      <c r="Z54" s="22">
        <f t="shared" ca="1" si="38"/>
        <v>768513.6</v>
      </c>
      <c r="AA54" s="22">
        <f t="shared" ca="1" si="5"/>
        <v>768510</v>
      </c>
      <c r="AB54" s="22">
        <f t="shared" ca="1" si="35"/>
        <v>316669500</v>
      </c>
      <c r="AC54" s="22">
        <f t="shared" ca="1" si="6"/>
        <v>0</v>
      </c>
      <c r="AD54" s="22">
        <f t="shared" ca="1" si="7"/>
        <v>0</v>
      </c>
      <c r="AE54" s="22">
        <f t="shared" ca="1" si="28"/>
        <v>0</v>
      </c>
      <c r="AF54" s="22">
        <f t="shared" ca="1" si="8"/>
        <v>0</v>
      </c>
      <c r="AG54" s="22">
        <f t="shared" ca="1" si="29"/>
        <v>0</v>
      </c>
      <c r="AH54" s="22">
        <f t="shared" ca="1" si="9"/>
        <v>0</v>
      </c>
      <c r="AI54" s="22">
        <f t="shared" ca="1" si="10"/>
        <v>10333430</v>
      </c>
      <c r="AJ54" s="22">
        <f t="shared" ca="1" si="39"/>
        <v>0</v>
      </c>
      <c r="AK54" s="22">
        <f t="shared" ca="1" si="40"/>
        <v>0</v>
      </c>
      <c r="AL54" s="69">
        <f t="shared" ca="1" si="30"/>
        <v>7</v>
      </c>
      <c r="AM54" s="69">
        <f t="shared" ca="1" si="11"/>
        <v>7</v>
      </c>
      <c r="AN54" s="4">
        <f t="shared" ca="1" si="31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C54" s="19"/>
      <c r="BD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46254</v>
      </c>
      <c r="C55" s="401"/>
      <c r="D55" s="443">
        <f ca="1">IF(N55=0,IF(N54=1,SUM(D$25:E54)," "),IF(N55=0," ",IF(N56=1,D$25,IF(N56=0,D$10-D$25*(M$14-1)," "))))</f>
        <v>333330</v>
      </c>
      <c r="E55" s="443"/>
      <c r="F55" s="84">
        <f ca="1">IF(N55=0,IF(N54=1,SUM(F$25:F54)," "),IF(M$1=1,P55,IF(M$1=2,Q55," ")))</f>
        <v>707040</v>
      </c>
      <c r="G55" s="84">
        <v>0</v>
      </c>
      <c r="H55" s="84">
        <f t="shared" ca="1" si="19"/>
        <v>1040370</v>
      </c>
      <c r="I55" s="84">
        <f t="shared" ca="1" si="20"/>
        <v>350880</v>
      </c>
      <c r="J55" s="84">
        <f t="shared" ca="1" si="0"/>
        <v>744240</v>
      </c>
      <c r="K55" s="84">
        <v>0</v>
      </c>
      <c r="L55" s="84">
        <f t="shared" ca="1" si="21"/>
        <v>1095120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707040</v>
      </c>
      <c r="Q55" s="22">
        <f t="shared" ca="1" si="3"/>
        <v>707040</v>
      </c>
      <c r="R55" s="22">
        <f t="shared" ca="1" si="23"/>
        <v>10000100</v>
      </c>
      <c r="S55" s="22">
        <f t="shared" ca="1" si="24"/>
        <v>333330</v>
      </c>
      <c r="T55" s="22">
        <f t="shared" ca="1" si="25"/>
        <v>333330</v>
      </c>
      <c r="U55" s="22">
        <f t="shared" ca="1" si="36"/>
        <v>707043.8</v>
      </c>
      <c r="V55" s="22">
        <f t="shared" ca="1" si="37"/>
        <v>707043.8</v>
      </c>
      <c r="W55" s="22">
        <f t="shared" ca="1" si="26"/>
        <v>1383333.3333333335</v>
      </c>
      <c r="X55" s="22">
        <f t="shared" ca="1" si="27"/>
        <v>1383330</v>
      </c>
      <c r="Y55" s="22">
        <f t="shared" ca="1" si="4"/>
        <v>10526240</v>
      </c>
      <c r="Z55" s="22">
        <f t="shared" ca="1" si="38"/>
        <v>744244.4</v>
      </c>
      <c r="AA55" s="22">
        <f t="shared" ca="1" si="5"/>
        <v>744240</v>
      </c>
      <c r="AB55" s="22">
        <f t="shared" ca="1" si="35"/>
        <v>306669600</v>
      </c>
      <c r="AC55" s="22">
        <f t="shared" ca="1" si="6"/>
        <v>0</v>
      </c>
      <c r="AD55" s="22">
        <f t="shared" ca="1" si="7"/>
        <v>0</v>
      </c>
      <c r="AE55" s="22">
        <f t="shared" ca="1" si="28"/>
        <v>0</v>
      </c>
      <c r="AF55" s="22">
        <f t="shared" ca="1" si="8"/>
        <v>0</v>
      </c>
      <c r="AG55" s="22">
        <f t="shared" ca="1" si="29"/>
        <v>0</v>
      </c>
      <c r="AH55" s="22">
        <f t="shared" ca="1" si="9"/>
        <v>0</v>
      </c>
      <c r="AI55" s="22">
        <f t="shared" ca="1" si="10"/>
        <v>10000100</v>
      </c>
      <c r="AJ55" s="22">
        <f t="shared" ca="1" si="39"/>
        <v>0</v>
      </c>
      <c r="AK55" s="22">
        <f t="shared" ca="1" si="40"/>
        <v>0</v>
      </c>
      <c r="AL55" s="69">
        <f t="shared" ca="1" si="30"/>
        <v>8</v>
      </c>
      <c r="AM55" s="69">
        <f t="shared" ca="1" si="11"/>
        <v>8</v>
      </c>
      <c r="AN55" s="4">
        <f t="shared" ca="1" si="31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2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C55" s="19"/>
      <c r="BD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46285</v>
      </c>
      <c r="C56" s="401"/>
      <c r="D56" s="443">
        <f ca="1">IF(N56=0,IF(N55=1,SUM(D$25:E55)," "),IF(N56=0," ",IF(N57=1,D$25,IF(N57=0,D$10-D$25*(M$14-1)," "))))</f>
        <v>333330</v>
      </c>
      <c r="E56" s="443"/>
      <c r="F56" s="84">
        <f ca="1">IF(N56=0,IF(N55=1,SUM(F$25:F55)," "),IF(M$1=1,P56,IF(M$1=2,Q56," ")))</f>
        <v>683990</v>
      </c>
      <c r="G56" s="84">
        <v>0</v>
      </c>
      <c r="H56" s="84">
        <f t="shared" ca="1" si="19"/>
        <v>1017320</v>
      </c>
      <c r="I56" s="84">
        <f t="shared" ca="1" si="20"/>
        <v>350880</v>
      </c>
      <c r="J56" s="84">
        <f t="shared" ca="1" si="0"/>
        <v>719970</v>
      </c>
      <c r="K56" s="84">
        <v>0</v>
      </c>
      <c r="L56" s="84">
        <f t="shared" ca="1" si="21"/>
        <v>1070850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683990</v>
      </c>
      <c r="Q56" s="22">
        <f t="shared" ca="1" si="3"/>
        <v>683990</v>
      </c>
      <c r="R56" s="22">
        <f t="shared" ca="1" si="23"/>
        <v>9666770</v>
      </c>
      <c r="S56" s="22">
        <f t="shared" ca="1" si="24"/>
        <v>333330</v>
      </c>
      <c r="T56" s="22">
        <f t="shared" ca="1" si="25"/>
        <v>333330</v>
      </c>
      <c r="U56" s="22">
        <f t="shared" ca="1" si="36"/>
        <v>683988.47500000009</v>
      </c>
      <c r="V56" s="22">
        <f t="shared" ca="1" si="37"/>
        <v>683988.47500000009</v>
      </c>
      <c r="W56" s="22">
        <f t="shared" ca="1" si="26"/>
        <v>1383333.3333333335</v>
      </c>
      <c r="X56" s="22">
        <f t="shared" ca="1" si="27"/>
        <v>1383330</v>
      </c>
      <c r="Y56" s="22">
        <f t="shared" ca="1" si="4"/>
        <v>10175360</v>
      </c>
      <c r="Z56" s="22">
        <f t="shared" ca="1" si="38"/>
        <v>719975.2</v>
      </c>
      <c r="AA56" s="22">
        <f t="shared" ca="1" si="5"/>
        <v>719970</v>
      </c>
      <c r="AB56" s="22">
        <f t="shared" ca="1" si="35"/>
        <v>296669700</v>
      </c>
      <c r="AC56" s="22">
        <f t="shared" ca="1" si="6"/>
        <v>0</v>
      </c>
      <c r="AD56" s="22">
        <f t="shared" ca="1" si="7"/>
        <v>0</v>
      </c>
      <c r="AE56" s="22">
        <f t="shared" ca="1" si="28"/>
        <v>0</v>
      </c>
      <c r="AF56" s="22">
        <f t="shared" ca="1" si="8"/>
        <v>0</v>
      </c>
      <c r="AG56" s="22">
        <f t="shared" ca="1" si="29"/>
        <v>0</v>
      </c>
      <c r="AH56" s="22">
        <f t="shared" ca="1" si="9"/>
        <v>0</v>
      </c>
      <c r="AI56" s="22">
        <f t="shared" ca="1" si="10"/>
        <v>9666770</v>
      </c>
      <c r="AJ56" s="22">
        <f t="shared" ca="1" si="39"/>
        <v>0</v>
      </c>
      <c r="AK56" s="22">
        <f t="shared" ca="1" si="40"/>
        <v>0</v>
      </c>
      <c r="AL56" s="69">
        <f t="shared" ca="1" si="30"/>
        <v>9</v>
      </c>
      <c r="AM56" s="69">
        <f t="shared" ca="1" si="11"/>
        <v>9</v>
      </c>
      <c r="AN56" s="4">
        <f t="shared" ca="1" si="31"/>
        <v>2026</v>
      </c>
      <c r="AO56" s="4">
        <f t="shared" ca="1" si="12"/>
        <v>2026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2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C56" s="19"/>
      <c r="BD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46315</v>
      </c>
      <c r="C57" s="401"/>
      <c r="D57" s="443">
        <f ca="1">IF(N57=0,IF(N56=1,SUM(D$25:E56)," "),IF(N57=0," ",IF(N58=1,D$25,IF(N58=0,D$10-D$25*(M$14-1)," "))))</f>
        <v>333330</v>
      </c>
      <c r="E57" s="443"/>
      <c r="F57" s="84">
        <f ca="1">IF(N57=0,IF(N56=1,SUM(F$25:F56)," "),IF(M$1=1,P57,IF(M$1=2,Q57," ")))</f>
        <v>660930</v>
      </c>
      <c r="G57" s="84">
        <v>0</v>
      </c>
      <c r="H57" s="84">
        <f t="shared" ca="1" si="19"/>
        <v>994260</v>
      </c>
      <c r="I57" s="84">
        <f t="shared" ca="1" si="20"/>
        <v>350880</v>
      </c>
      <c r="J57" s="84">
        <f t="shared" ref="J57:J85" ca="1" si="41">AA57</f>
        <v>695710</v>
      </c>
      <c r="K57" s="84">
        <v>0</v>
      </c>
      <c r="L57" s="84">
        <f t="shared" ca="1" si="21"/>
        <v>1046590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660930</v>
      </c>
      <c r="Q57" s="22">
        <f t="shared" ref="Q57:Q85" ca="1" si="44">IF(V57&lt;&gt;0,IF(VALUE(RIGHT(ROUND(V57,0)))&lt;=5,ROUND(V57,0)-VALUE(RIGHT(ROUND(V57,0))),ROUND(V57,0)+10-VALUE(RIGHT(ROUND(V57,0)))),0)</f>
        <v>660930</v>
      </c>
      <c r="R57" s="22">
        <f t="shared" ca="1" si="23"/>
        <v>9333440</v>
      </c>
      <c r="S57" s="22">
        <f t="shared" ca="1" si="24"/>
        <v>333330</v>
      </c>
      <c r="T57" s="22">
        <f t="shared" ca="1" si="25"/>
        <v>333330</v>
      </c>
      <c r="U57" s="22">
        <f t="shared" ca="1" si="36"/>
        <v>660933.15</v>
      </c>
      <c r="V57" s="22">
        <f t="shared" ca="1" si="37"/>
        <v>660933.15</v>
      </c>
      <c r="W57" s="22">
        <f t="shared" ca="1" si="26"/>
        <v>1383333.3333333335</v>
      </c>
      <c r="X57" s="22">
        <f t="shared" ca="1" si="27"/>
        <v>1383330</v>
      </c>
      <c r="Y57" s="22">
        <f t="shared" ref="Y57:Y85" ca="1" si="45">IF(M57&lt;=(D$15+1),D$10,Y56-I56)</f>
        <v>9824480</v>
      </c>
      <c r="Z57" s="22">
        <f t="shared" ca="1" si="38"/>
        <v>695706</v>
      </c>
      <c r="AA57" s="22">
        <f t="shared" ref="AA57:AA85" ca="1" si="46">IF(Z57&lt;&gt;0,IF(VALUE(RIGHT(ROUND(Z57,0)))&lt;=5,ROUND(Z57,0)-VALUE(RIGHT(ROUND(Z57,0))),ROUND(Z57,0)+10-VALUE(RIGHT(ROUND(Z57,0)))),0)</f>
        <v>695710</v>
      </c>
      <c r="AB57" s="22">
        <f t="shared" ca="1" si="35"/>
        <v>286669800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8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29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9333440</v>
      </c>
      <c r="AJ57" s="22">
        <f t="shared" ca="1" si="39"/>
        <v>0</v>
      </c>
      <c r="AK57" s="22">
        <f t="shared" ca="1" si="40"/>
        <v>0</v>
      </c>
      <c r="AL57" s="69">
        <f t="shared" ca="1" si="30"/>
        <v>10</v>
      </c>
      <c r="AM57" s="69">
        <f t="shared" ref="AM57:AM85" ca="1" si="52">IF(AL57=13,1,AL57)</f>
        <v>10</v>
      </c>
      <c r="AN57" s="4">
        <f t="shared" ca="1" si="31"/>
        <v>2026</v>
      </c>
      <c r="AO57" s="4">
        <f t="shared" ref="AO57:AO85" ca="1" si="53">IF(AM57=1,AN57+1,AN57)</f>
        <v>2026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2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C57" s="19"/>
      <c r="BD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46346</v>
      </c>
      <c r="C58" s="401"/>
      <c r="D58" s="443">
        <f ca="1">IF(N58=0,IF(N57=1,SUM(D$25:E57)," "),IF(N58=0," ",IF(N59=1,D$25,IF(N59=0,D$10-D$25*(M$14-1)," "))))</f>
        <v>333330</v>
      </c>
      <c r="E58" s="443"/>
      <c r="F58" s="84">
        <f ca="1">IF(N58=0,IF(N57=1,SUM(F$25:F57)," "),IF(M$1=1,P58,IF(M$1=2,Q58," ")))</f>
        <v>637880</v>
      </c>
      <c r="G58" s="84">
        <v>0</v>
      </c>
      <c r="H58" s="84">
        <f t="shared" ref="H58:H86" ca="1" si="59">IF(SUM(D58:G58)=0," ",SUM(D58:G58))</f>
        <v>971210</v>
      </c>
      <c r="I58" s="84">
        <f t="shared" ref="I58:I85" ca="1" si="60">IF(N58=1,IF(N59=1,IF(M58&lt;=D$15,T58,AV$26),D$10-AV$26*M$16+AV$26),0)</f>
        <v>350880</v>
      </c>
      <c r="J58" s="84">
        <f t="shared" ca="1" si="41"/>
        <v>671440</v>
      </c>
      <c r="K58" s="84">
        <v>0</v>
      </c>
      <c r="L58" s="84">
        <f t="shared" ref="L58:L85" ca="1" si="61">IF(SUM(I58:K58)=0," ",SUM(I58:K58))</f>
        <v>1022320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637880</v>
      </c>
      <c r="Q58" s="22">
        <f t="shared" ca="1" si="44"/>
        <v>637880</v>
      </c>
      <c r="R58" s="22">
        <f t="shared" ref="R58:R85" ca="1" si="62">IF(N58=0,0,R57-D57)</f>
        <v>9000110</v>
      </c>
      <c r="S58" s="22">
        <f t="shared" ref="S58:S85" ca="1" si="63">IF(M58&lt;=D$15,D$10/(D$14-M57),D58)</f>
        <v>333330</v>
      </c>
      <c r="T58" s="22">
        <f t="shared" ref="T58:T85" ca="1" si="64">IF(S58&lt;&gt;0,IF(VALUE(RIGHT(ROUND(S58,0)))&lt;=5,ROUND(S58,0)-VALUE(RIGHT(ROUND(S58,0))),ROUND(S58,0)+10-VALUE(RIGHT(ROUND(S58,0)))),0)</f>
        <v>333330</v>
      </c>
      <c r="U58" s="22">
        <f t="shared" ca="1" si="36"/>
        <v>637877.82499999995</v>
      </c>
      <c r="V58" s="22">
        <f t="shared" ca="1" si="37"/>
        <v>637877.82499999995</v>
      </c>
      <c r="W58" s="22">
        <f t="shared" ref="W58:W84" ca="1" si="65">IF(N59=1,$D$10*$D$11*20/36000+$D$10*$D$11*10/36000,IF(N59=0,IF(N58=0,0,$D$10*$D$11*$Q$12/36000+$D$10*$D$11*20/36000+$D$10*$D$11*10/36000)))</f>
        <v>1383333.3333333335</v>
      </c>
      <c r="X58" s="22">
        <f t="shared" ref="X58:X85" ca="1" si="66">IF(W58&lt;&gt;0,IF(VALUE(RIGHT(ROUND(W58,0)))&lt;=5,ROUND(W58,0)-VALUE(RIGHT(ROUND(W58,0))),ROUND(W58,0)+10-VALUE(RIGHT(ROUND(W58,0)))),0)</f>
        <v>1383330</v>
      </c>
      <c r="Y58" s="22">
        <f t="shared" ca="1" si="45"/>
        <v>9473600</v>
      </c>
      <c r="Z58" s="22">
        <f t="shared" ca="1" si="38"/>
        <v>671436.80000000005</v>
      </c>
      <c r="AA58" s="22">
        <f t="shared" ca="1" si="46"/>
        <v>671440</v>
      </c>
      <c r="AB58" s="22">
        <f t="shared" ca="1" si="35"/>
        <v>276669900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9000110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11</v>
      </c>
      <c r="AM58" s="69">
        <f t="shared" ca="1" si="52"/>
        <v>11</v>
      </c>
      <c r="AN58" s="4">
        <f t="shared" ref="AN58:AN85" ca="1" si="70">IF(N58=0,0,YEAR(B57))</f>
        <v>2026</v>
      </c>
      <c r="AO58" s="4">
        <f t="shared" ca="1" si="53"/>
        <v>2026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C58" s="19"/>
      <c r="BD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46376</v>
      </c>
      <c r="C59" s="401"/>
      <c r="D59" s="443">
        <f ca="1">IF(N59=0,IF(N58=1,SUM(D$25:E58)," "),IF(N59=0," ",IF(N60=1,D$25,IF(N60=0,D$10-D$25*(M$14-1)," "))))</f>
        <v>333330</v>
      </c>
      <c r="E59" s="443"/>
      <c r="F59" s="84">
        <f ca="1">IF(N59=0,IF(N58=1,SUM(F$25:F58)," "),IF(M$1=1,P59,IF(M$1=2,Q59," ")))</f>
        <v>614820</v>
      </c>
      <c r="G59" s="84">
        <v>0</v>
      </c>
      <c r="H59" s="84">
        <f t="shared" ca="1" si="59"/>
        <v>948150</v>
      </c>
      <c r="I59" s="84">
        <f t="shared" ca="1" si="60"/>
        <v>350880</v>
      </c>
      <c r="J59" s="84">
        <f t="shared" ca="1" si="41"/>
        <v>647170</v>
      </c>
      <c r="K59" s="84">
        <v>0</v>
      </c>
      <c r="L59" s="84">
        <f t="shared" ca="1" si="61"/>
        <v>998050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614820</v>
      </c>
      <c r="Q59" s="22">
        <f t="shared" ca="1" si="44"/>
        <v>614820</v>
      </c>
      <c r="R59" s="22">
        <f t="shared" ca="1" si="62"/>
        <v>8666780</v>
      </c>
      <c r="S59" s="22">
        <f t="shared" ca="1" si="63"/>
        <v>333330</v>
      </c>
      <c r="T59" s="22">
        <f t="shared" ca="1" si="64"/>
        <v>333330</v>
      </c>
      <c r="U59" s="22">
        <f t="shared" ca="1" si="36"/>
        <v>614822.5</v>
      </c>
      <c r="V59" s="22">
        <f t="shared" ca="1" si="37"/>
        <v>614822.5</v>
      </c>
      <c r="W59" s="22">
        <f t="shared" ca="1" si="65"/>
        <v>1383333.3333333335</v>
      </c>
      <c r="X59" s="22">
        <f t="shared" ca="1" si="66"/>
        <v>1383330</v>
      </c>
      <c r="Y59" s="22">
        <f t="shared" ca="1" si="45"/>
        <v>9122720</v>
      </c>
      <c r="Z59" s="22">
        <f t="shared" ca="1" si="38"/>
        <v>647167.60000000009</v>
      </c>
      <c r="AA59" s="22">
        <f t="shared" ca="1" si="46"/>
        <v>647170</v>
      </c>
      <c r="AB59" s="22">
        <f t="shared" ca="1" si="35"/>
        <v>266670000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8666780</v>
      </c>
      <c r="AJ59" s="22">
        <f t="shared" ca="1" si="39"/>
        <v>0</v>
      </c>
      <c r="AK59" s="22">
        <f t="shared" ca="1" si="40"/>
        <v>0</v>
      </c>
      <c r="AL59" s="69">
        <f t="shared" ca="1" si="69"/>
        <v>12</v>
      </c>
      <c r="AM59" s="69">
        <f t="shared" ca="1" si="52"/>
        <v>12</v>
      </c>
      <c r="AN59" s="4">
        <f t="shared" ca="1" si="70"/>
        <v>2026</v>
      </c>
      <c r="AO59" s="4">
        <f t="shared" ca="1" si="53"/>
        <v>2026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C59" s="19"/>
      <c r="BD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46407</v>
      </c>
      <c r="C60" s="401"/>
      <c r="D60" s="443">
        <f ca="1">IF(N60=0,IF(N59=1,SUM(D$25:E59)," "),IF(N60=0," ",IF(N61=1,D$25,IF(N61=0,D$10-D$25*(M$14-1)," "))))</f>
        <v>333330</v>
      </c>
      <c r="E60" s="443"/>
      <c r="F60" s="84">
        <f ca="1">IF(N60=0,IF(N59=1,SUM(F$25:F59)," "),IF(M$1=1,P60,IF(M$1=2,Q60," ")))</f>
        <v>591770</v>
      </c>
      <c r="G60" s="84">
        <v>0</v>
      </c>
      <c r="H60" s="84">
        <f t="shared" ca="1" si="59"/>
        <v>925100</v>
      </c>
      <c r="I60" s="84">
        <f t="shared" ca="1" si="60"/>
        <v>350880</v>
      </c>
      <c r="J60" s="84">
        <f t="shared" ca="1" si="41"/>
        <v>622900</v>
      </c>
      <c r="K60" s="84">
        <v>0</v>
      </c>
      <c r="L60" s="84">
        <f t="shared" ca="1" si="61"/>
        <v>973780</v>
      </c>
      <c r="M60" s="4">
        <v>36</v>
      </c>
      <c r="N60" s="4">
        <f t="shared" ca="1" si="34"/>
        <v>1</v>
      </c>
      <c r="O60" s="4">
        <f t="shared" ca="1" si="42"/>
        <v>20</v>
      </c>
      <c r="P60" s="22">
        <f t="shared" ca="1" si="43"/>
        <v>591770</v>
      </c>
      <c r="Q60" s="22">
        <f t="shared" ca="1" si="44"/>
        <v>591770</v>
      </c>
      <c r="R60" s="22">
        <f t="shared" ca="1" si="62"/>
        <v>8333450</v>
      </c>
      <c r="S60" s="22">
        <f t="shared" ca="1" si="63"/>
        <v>333330</v>
      </c>
      <c r="T60" s="22">
        <f t="shared" ca="1" si="64"/>
        <v>333330</v>
      </c>
      <c r="U60" s="22">
        <f t="shared" ca="1" si="36"/>
        <v>591767.17500000005</v>
      </c>
      <c r="V60" s="22">
        <f t="shared" ca="1" si="37"/>
        <v>591767.17500000005</v>
      </c>
      <c r="W60" s="22">
        <f t="shared" ca="1" si="65"/>
        <v>1383333.3333333335</v>
      </c>
      <c r="X60" s="22">
        <f t="shared" ca="1" si="66"/>
        <v>1383330</v>
      </c>
      <c r="Y60" s="22">
        <f t="shared" ca="1" si="45"/>
        <v>8771840</v>
      </c>
      <c r="Z60" s="22">
        <f t="shared" ca="1" si="38"/>
        <v>622898.4</v>
      </c>
      <c r="AA60" s="22">
        <f t="shared" ca="1" si="46"/>
        <v>622900</v>
      </c>
      <c r="AB60" s="22">
        <f t="shared" ca="1" si="35"/>
        <v>256670100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8333450</v>
      </c>
      <c r="AJ60" s="22">
        <f t="shared" ca="1" si="39"/>
        <v>0</v>
      </c>
      <c r="AK60" s="22">
        <f t="shared" ca="1" si="40"/>
        <v>0</v>
      </c>
      <c r="AL60" s="69">
        <f t="shared" ca="1" si="69"/>
        <v>13</v>
      </c>
      <c r="AM60" s="69">
        <f t="shared" ca="1" si="52"/>
        <v>1</v>
      </c>
      <c r="AN60" s="4">
        <f t="shared" ca="1" si="70"/>
        <v>2026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C60" s="19"/>
      <c r="BD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8"/>
        <v>46438</v>
      </c>
      <c r="C61" s="401"/>
      <c r="D61" s="443">
        <f ca="1">IF(N61=0,IF(N60=1,SUM(D$25:E60)," "),IF(N61=0," ",IF(N62=1,D$25,IF(N62=0,D$10-D$25*(M$14-1)," "))))</f>
        <v>333330</v>
      </c>
      <c r="E61" s="443"/>
      <c r="F61" s="84">
        <f ca="1">IF(N61=0,IF(N60=1,SUM(F$25:F60)," "),IF(M$1=1,P61,IF(M$1=2,Q61," ")))</f>
        <v>568710</v>
      </c>
      <c r="G61" s="84">
        <v>0</v>
      </c>
      <c r="H61" s="84">
        <f t="shared" ca="1" si="59"/>
        <v>902040</v>
      </c>
      <c r="I61" s="84">
        <f t="shared" ca="1" si="60"/>
        <v>350880</v>
      </c>
      <c r="J61" s="84">
        <f t="shared" ca="1" si="41"/>
        <v>598630</v>
      </c>
      <c r="K61" s="84">
        <v>0</v>
      </c>
      <c r="L61" s="84">
        <f t="shared" ca="1" si="61"/>
        <v>949510</v>
      </c>
      <c r="M61" s="4">
        <v>37</v>
      </c>
      <c r="N61" s="4">
        <f t="shared" ca="1" si="34"/>
        <v>1</v>
      </c>
      <c r="O61" s="4">
        <f t="shared" ca="1" si="42"/>
        <v>20</v>
      </c>
      <c r="P61" s="22">
        <f t="shared" ca="1" si="43"/>
        <v>568710</v>
      </c>
      <c r="Q61" s="22">
        <f t="shared" ca="1" si="44"/>
        <v>568710</v>
      </c>
      <c r="R61" s="22">
        <f t="shared" ca="1" si="62"/>
        <v>8000120</v>
      </c>
      <c r="S61" s="22">
        <f t="shared" ca="1" si="63"/>
        <v>333330</v>
      </c>
      <c r="T61" s="22">
        <f t="shared" ca="1" si="64"/>
        <v>333330</v>
      </c>
      <c r="U61" s="22">
        <f ca="1">IF(N62=1,R60*D$11*20/36000+R61*D$11*10/36000,IF(N62=0,IF(N61=0,0,IF(D$16&gt;20,R60*D$11*20/36000+R61*D$11*(Q$12-20)/36000,R61*D$11*Q$12/36000))))</f>
        <v>568711.85</v>
      </c>
      <c r="V61" s="22">
        <f ca="1">IF(N62=1,R60*D$11*20/36000+R61*D$11*10/36000,IF(N62=0,IF(N61=0,0,IF(D$16&gt;20,R60*D$11*20/36000+R61*D$11*(Q$12-20)/36000,R61*D$11*Q$12/36000))))</f>
        <v>568711.85</v>
      </c>
      <c r="W61" s="22">
        <f t="shared" ca="1" si="65"/>
        <v>1383333.3333333335</v>
      </c>
      <c r="X61" s="22">
        <f t="shared" ca="1" si="66"/>
        <v>1383330</v>
      </c>
      <c r="Y61" s="22">
        <f t="shared" ca="1" si="45"/>
        <v>8420960</v>
      </c>
      <c r="Z61" s="22">
        <f ca="1">IF(N62=1,Y60*D$11*20/36000+Y61*D$11*10/36000,IF(N62=0,IF(N61=0,0,IF(D$16&gt;20,Y60*D$11*20/36000+Y61*D$11*(Q$12-20)/36000,Y61*D$11*Q$12/36000))))</f>
        <v>598629.19999999995</v>
      </c>
      <c r="AA61" s="22">
        <f t="shared" ca="1" si="46"/>
        <v>598630</v>
      </c>
      <c r="AB61" s="22">
        <f t="shared" ca="1" si="35"/>
        <v>246670200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8000120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2</v>
      </c>
      <c r="AM61" s="69">
        <f t="shared" ca="1" si="52"/>
        <v>2</v>
      </c>
      <c r="AN61" s="4">
        <f t="shared" ca="1" si="70"/>
        <v>2027</v>
      </c>
      <c r="AO61" s="4">
        <f t="shared" ca="1" si="53"/>
        <v>2027</v>
      </c>
      <c r="AP61" s="4">
        <f t="shared" ca="1" si="54"/>
        <v>0</v>
      </c>
      <c r="AQ61" s="4">
        <f t="shared" ca="1" si="55"/>
        <v>28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1</v>
      </c>
      <c r="AZ61" s="19"/>
      <c r="BC61" s="19"/>
      <c r="BD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8"/>
        <v>46466</v>
      </c>
      <c r="C62" s="401"/>
      <c r="D62" s="443">
        <f ca="1">IF(N62=0,IF(N61=1,SUM(D$25:E61)," "),IF(N62=0," ",IF(N63=1,D$25,IF(N63=0,D$10-D$25*(M$14-1)," "))))</f>
        <v>333330</v>
      </c>
      <c r="E62" s="443"/>
      <c r="F62" s="84">
        <f ca="1">IF(N62=0,IF(N61=1,SUM(F$25:F61)," "),IF(M$1=1,P62,IF(M$1=2,Q62," ")))</f>
        <v>545660</v>
      </c>
      <c r="G62" s="84">
        <v>0</v>
      </c>
      <c r="H62" s="84">
        <f t="shared" ca="1" si="59"/>
        <v>878990</v>
      </c>
      <c r="I62" s="84">
        <f t="shared" ca="1" si="60"/>
        <v>350880</v>
      </c>
      <c r="J62" s="84">
        <f t="shared" ca="1" si="41"/>
        <v>574360</v>
      </c>
      <c r="K62" s="84">
        <v>0</v>
      </c>
      <c r="L62" s="84">
        <f t="shared" ca="1" si="61"/>
        <v>925240</v>
      </c>
      <c r="M62" s="4">
        <v>38</v>
      </c>
      <c r="N62" s="4">
        <f t="shared" ca="1" si="34"/>
        <v>1</v>
      </c>
      <c r="O62" s="4">
        <f t="shared" ca="1" si="42"/>
        <v>20</v>
      </c>
      <c r="P62" s="22">
        <f t="shared" ca="1" si="43"/>
        <v>545660</v>
      </c>
      <c r="Q62" s="22">
        <f t="shared" ca="1" si="44"/>
        <v>545660</v>
      </c>
      <c r="R62" s="22">
        <f t="shared" ca="1" si="62"/>
        <v>7666790</v>
      </c>
      <c r="S62" s="22">
        <f t="shared" ca="1" si="63"/>
        <v>333330</v>
      </c>
      <c r="T62" s="22">
        <f t="shared" ca="1" si="64"/>
        <v>333330</v>
      </c>
      <c r="U62" s="22">
        <f t="shared" ref="U62:U72" ca="1" si="72">IF(N63=1,R61*D$11*20/36000+R62*D$11*10/36000,IF(N63=0,IF(N62=0,0,R62*D$11*Q$12/36000+R61*D$11*20/36000+R62*D$11*10/36000)))</f>
        <v>545656.52499999991</v>
      </c>
      <c r="V62" s="22">
        <f t="shared" ref="V62:V72" ca="1" si="73">IF(N63=1,R61*D$11*20/36000+R62*D$11*10/36000,IF(N63=0,IF(N62=0,0,R62*D$11*Q$12/36000+R61*D$11*20/36000+R62*D$11*10/36000)))</f>
        <v>545656.52499999991</v>
      </c>
      <c r="W62" s="22">
        <f t="shared" ca="1" si="65"/>
        <v>1383333.3333333335</v>
      </c>
      <c r="X62" s="22">
        <f t="shared" ca="1" si="66"/>
        <v>1383330</v>
      </c>
      <c r="Y62" s="22">
        <f t="shared" ca="1" si="45"/>
        <v>8070080</v>
      </c>
      <c r="Z62" s="22">
        <f t="shared" ref="Z62:Z72" ca="1" si="74">IF(N63=1,Y61*D$11*20/36000+Y62*D$11*10/36000,IF(N63=0,IF(N62=0,0,Y62*D$11*Q$12/36000+Y61*D$11*20/36000+Y62*D$11*10/36000)))</f>
        <v>574360</v>
      </c>
      <c r="AA62" s="22">
        <f t="shared" ca="1" si="46"/>
        <v>574360</v>
      </c>
      <c r="AB62" s="22">
        <f t="shared" ca="1" si="35"/>
        <v>236670300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7666790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3</v>
      </c>
      <c r="AM62" s="69">
        <f t="shared" ca="1" si="52"/>
        <v>3</v>
      </c>
      <c r="AN62" s="4">
        <f t="shared" ca="1" si="70"/>
        <v>2027</v>
      </c>
      <c r="AO62" s="4">
        <f t="shared" ca="1" si="53"/>
        <v>2027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28</v>
      </c>
      <c r="AT62" s="19"/>
      <c r="AU62" s="19"/>
      <c r="AV62" s="19"/>
      <c r="AW62" s="19"/>
      <c r="AX62" s="19"/>
      <c r="AY62" s="4">
        <f t="shared" ca="1" si="57"/>
        <v>1</v>
      </c>
      <c r="AZ62" s="19"/>
      <c r="BC62" s="19"/>
      <c r="BD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8"/>
        <v>46497</v>
      </c>
      <c r="C63" s="401"/>
      <c r="D63" s="443">
        <f ca="1">IF(N63=0,IF(N62=1,SUM(D$25:E62)," "),IF(N63=0," ",IF(N64=1,D$25,IF(N64=0,D$10-D$25*(M$14-1)," "))))</f>
        <v>333330</v>
      </c>
      <c r="E63" s="443"/>
      <c r="F63" s="84">
        <f ca="1">IF(N63=0,IF(N62=1,SUM(F$25:F62)," "),IF(M$1=1,P63,IF(M$1=2,Q63," ")))</f>
        <v>522600</v>
      </c>
      <c r="G63" s="84">
        <v>0</v>
      </c>
      <c r="H63" s="84">
        <f t="shared" ca="1" si="59"/>
        <v>855930</v>
      </c>
      <c r="I63" s="84">
        <f t="shared" ca="1" si="60"/>
        <v>350880</v>
      </c>
      <c r="J63" s="84">
        <f t="shared" ca="1" si="41"/>
        <v>550090</v>
      </c>
      <c r="K63" s="84">
        <v>0</v>
      </c>
      <c r="L63" s="84">
        <f t="shared" ca="1" si="61"/>
        <v>900970</v>
      </c>
      <c r="M63" s="4">
        <v>39</v>
      </c>
      <c r="N63" s="4">
        <f t="shared" ca="1" si="34"/>
        <v>1</v>
      </c>
      <c r="O63" s="4">
        <f t="shared" ca="1" si="42"/>
        <v>20</v>
      </c>
      <c r="P63" s="22">
        <f t="shared" ca="1" si="43"/>
        <v>522600</v>
      </c>
      <c r="Q63" s="22">
        <f t="shared" ca="1" si="44"/>
        <v>522600</v>
      </c>
      <c r="R63" s="22">
        <f t="shared" ca="1" si="62"/>
        <v>7333460</v>
      </c>
      <c r="S63" s="22">
        <f t="shared" ca="1" si="63"/>
        <v>333330</v>
      </c>
      <c r="T63" s="22">
        <f t="shared" ca="1" si="64"/>
        <v>333330</v>
      </c>
      <c r="U63" s="22">
        <f t="shared" ca="1" si="72"/>
        <v>522601.19999999995</v>
      </c>
      <c r="V63" s="22">
        <f t="shared" ca="1" si="73"/>
        <v>522601.19999999995</v>
      </c>
      <c r="W63" s="22">
        <f t="shared" ca="1" si="65"/>
        <v>1383333.3333333335</v>
      </c>
      <c r="X63" s="22">
        <f t="shared" ca="1" si="66"/>
        <v>1383330</v>
      </c>
      <c r="Y63" s="22">
        <f t="shared" ca="1" si="45"/>
        <v>7719200</v>
      </c>
      <c r="Z63" s="22">
        <f t="shared" ca="1" si="74"/>
        <v>550090.80000000005</v>
      </c>
      <c r="AA63" s="22">
        <f t="shared" ca="1" si="46"/>
        <v>550090</v>
      </c>
      <c r="AB63" s="22">
        <f t="shared" ca="1" si="35"/>
        <v>226670400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7333460</v>
      </c>
      <c r="AJ63" s="22">
        <f t="shared" ca="1" si="75"/>
        <v>0</v>
      </c>
      <c r="AK63" s="22">
        <f t="shared" ca="1" si="76"/>
        <v>0</v>
      </c>
      <c r="AL63" s="69">
        <f t="shared" ca="1" si="69"/>
        <v>4</v>
      </c>
      <c r="AM63" s="69">
        <f t="shared" ca="1" si="52"/>
        <v>4</v>
      </c>
      <c r="AN63" s="4">
        <f t="shared" ca="1" si="70"/>
        <v>2027</v>
      </c>
      <c r="AO63" s="4">
        <f t="shared" ca="1" si="53"/>
        <v>2027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1</v>
      </c>
      <c r="AZ63" s="19"/>
      <c r="BC63" s="19"/>
      <c r="BD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8"/>
        <v>46527</v>
      </c>
      <c r="C64" s="401"/>
      <c r="D64" s="443">
        <f ca="1">IF(N64=0,IF(N63=1,SUM(D$25:E63)," "),IF(N64=0," ",IF(N65=1,D$25,IF(N65=0,D$10-D$25*(M$14-1)," "))))</f>
        <v>333330</v>
      </c>
      <c r="E64" s="443"/>
      <c r="F64" s="84">
        <f ca="1">IF(N64=0,IF(N63=1,SUM(F$25:F63)," "),IF(M$1=1,P64,IF(M$1=2,Q64," ")))</f>
        <v>499550</v>
      </c>
      <c r="G64" s="84">
        <v>0</v>
      </c>
      <c r="H64" s="84">
        <f t="shared" ca="1" si="59"/>
        <v>832880</v>
      </c>
      <c r="I64" s="84">
        <f t="shared" ca="1" si="60"/>
        <v>350880</v>
      </c>
      <c r="J64" s="84">
        <f t="shared" ca="1" si="41"/>
        <v>525820</v>
      </c>
      <c r="K64" s="84">
        <v>0</v>
      </c>
      <c r="L64" s="84">
        <f t="shared" ca="1" si="61"/>
        <v>876700</v>
      </c>
      <c r="M64" s="4">
        <v>40</v>
      </c>
      <c r="N64" s="4">
        <f t="shared" ca="1" si="34"/>
        <v>1</v>
      </c>
      <c r="O64" s="4">
        <f t="shared" ca="1" si="42"/>
        <v>20</v>
      </c>
      <c r="P64" s="22">
        <f t="shared" ca="1" si="43"/>
        <v>499550</v>
      </c>
      <c r="Q64" s="22">
        <f t="shared" ca="1" si="44"/>
        <v>499550</v>
      </c>
      <c r="R64" s="22">
        <f t="shared" ca="1" si="62"/>
        <v>7000130</v>
      </c>
      <c r="S64" s="22">
        <f t="shared" ca="1" si="63"/>
        <v>333330</v>
      </c>
      <c r="T64" s="22">
        <f t="shared" ca="1" si="64"/>
        <v>333330</v>
      </c>
      <c r="U64" s="22">
        <f t="shared" ca="1" si="72"/>
        <v>499545.875</v>
      </c>
      <c r="V64" s="22">
        <f t="shared" ca="1" si="73"/>
        <v>499545.875</v>
      </c>
      <c r="W64" s="22">
        <f t="shared" ca="1" si="65"/>
        <v>1383333.3333333335</v>
      </c>
      <c r="X64" s="22">
        <f t="shared" ca="1" si="66"/>
        <v>1383330</v>
      </c>
      <c r="Y64" s="22">
        <f t="shared" ca="1" si="45"/>
        <v>7368320</v>
      </c>
      <c r="Z64" s="22">
        <f t="shared" ca="1" si="74"/>
        <v>525821.6</v>
      </c>
      <c r="AA64" s="22">
        <f t="shared" ca="1" si="46"/>
        <v>525820</v>
      </c>
      <c r="AB64" s="22">
        <f t="shared" ca="1" si="35"/>
        <v>216670500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7000130</v>
      </c>
      <c r="AJ64" s="22">
        <f t="shared" ca="1" si="75"/>
        <v>0</v>
      </c>
      <c r="AK64" s="22">
        <f t="shared" ca="1" si="76"/>
        <v>0</v>
      </c>
      <c r="AL64" s="69">
        <f t="shared" ca="1" si="69"/>
        <v>5</v>
      </c>
      <c r="AM64" s="69">
        <f t="shared" ca="1" si="52"/>
        <v>5</v>
      </c>
      <c r="AN64" s="4">
        <f t="shared" ca="1" si="70"/>
        <v>2027</v>
      </c>
      <c r="AO64" s="4">
        <f t="shared" ca="1" si="53"/>
        <v>2027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1</v>
      </c>
      <c r="AZ64" s="19"/>
      <c r="BC64" s="19"/>
      <c r="BD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8"/>
        <v>46558</v>
      </c>
      <c r="C65" s="401"/>
      <c r="D65" s="443">
        <f ca="1">IF(N65=0,IF(N64=1,SUM(D$25:E64)," "),IF(N65=0," ",IF(N66=1,D$25,IF(N66=0,D$10-D$25*(M$14-1)," "))))</f>
        <v>333330</v>
      </c>
      <c r="E65" s="443"/>
      <c r="F65" s="84">
        <f ca="1">IF(N65=0,IF(N64=1,SUM(F$25:F64)," "),IF(M$1=1,P65,IF(M$1=2,Q65," ")))</f>
        <v>476490</v>
      </c>
      <c r="G65" s="84">
        <v>0</v>
      </c>
      <c r="H65" s="84">
        <f t="shared" ca="1" si="59"/>
        <v>809820</v>
      </c>
      <c r="I65" s="84">
        <f t="shared" ca="1" si="60"/>
        <v>350880</v>
      </c>
      <c r="J65" s="84">
        <f t="shared" ca="1" si="41"/>
        <v>501550</v>
      </c>
      <c r="K65" s="84">
        <v>0</v>
      </c>
      <c r="L65" s="84">
        <f t="shared" ca="1" si="61"/>
        <v>852430</v>
      </c>
      <c r="M65" s="4">
        <v>41</v>
      </c>
      <c r="N65" s="4">
        <f t="shared" ca="1" si="34"/>
        <v>1</v>
      </c>
      <c r="O65" s="4">
        <f t="shared" ca="1" si="42"/>
        <v>20</v>
      </c>
      <c r="P65" s="22">
        <f t="shared" ca="1" si="43"/>
        <v>476490</v>
      </c>
      <c r="Q65" s="22">
        <f t="shared" ca="1" si="44"/>
        <v>476490</v>
      </c>
      <c r="R65" s="22">
        <f t="shared" ca="1" si="62"/>
        <v>6666800</v>
      </c>
      <c r="S65" s="22">
        <f t="shared" ca="1" si="63"/>
        <v>333330</v>
      </c>
      <c r="T65" s="22">
        <f t="shared" ca="1" si="64"/>
        <v>333330</v>
      </c>
      <c r="U65" s="22">
        <f t="shared" ca="1" si="72"/>
        <v>476490.55000000005</v>
      </c>
      <c r="V65" s="22">
        <f t="shared" ca="1" si="73"/>
        <v>476490.55000000005</v>
      </c>
      <c r="W65" s="22">
        <f t="shared" ca="1" si="65"/>
        <v>1383333.3333333335</v>
      </c>
      <c r="X65" s="22">
        <f t="shared" ca="1" si="66"/>
        <v>1383330</v>
      </c>
      <c r="Y65" s="22">
        <f t="shared" ca="1" si="45"/>
        <v>7017440</v>
      </c>
      <c r="Z65" s="22">
        <f t="shared" ca="1" si="74"/>
        <v>501552.39999999997</v>
      </c>
      <c r="AA65" s="22">
        <f t="shared" ca="1" si="46"/>
        <v>501550</v>
      </c>
      <c r="AB65" s="22">
        <f t="shared" ca="1" si="35"/>
        <v>206670600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6666800</v>
      </c>
      <c r="AJ65" s="22">
        <f t="shared" ca="1" si="75"/>
        <v>0</v>
      </c>
      <c r="AK65" s="22">
        <f t="shared" ca="1" si="76"/>
        <v>0</v>
      </c>
      <c r="AL65" s="69">
        <f t="shared" ca="1" si="69"/>
        <v>6</v>
      </c>
      <c r="AM65" s="69">
        <f t="shared" ca="1" si="52"/>
        <v>6</v>
      </c>
      <c r="AN65" s="4">
        <f t="shared" ca="1" si="70"/>
        <v>2027</v>
      </c>
      <c r="AO65" s="4">
        <f t="shared" ca="1" si="53"/>
        <v>2027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1</v>
      </c>
      <c r="AZ65" s="19"/>
      <c r="BC65" s="19"/>
      <c r="BD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8"/>
        <v>46588</v>
      </c>
      <c r="C66" s="401"/>
      <c r="D66" s="443">
        <f ca="1">IF(N66=0,IF(N65=1,SUM(D$25:E65)," "),IF(N66=0," ",IF(N67=1,D$25,IF(N67=0,D$10-D$25*(M$14-1)," "))))</f>
        <v>333330</v>
      </c>
      <c r="E66" s="443"/>
      <c r="F66" s="84">
        <f ca="1">IF(N66=0,IF(N65=1,SUM(F$25:F65)," "),IF(M$1=1,P66,IF(M$1=2,Q66," ")))</f>
        <v>453430</v>
      </c>
      <c r="G66" s="84">
        <v>0</v>
      </c>
      <c r="H66" s="84">
        <f t="shared" ca="1" si="59"/>
        <v>786760</v>
      </c>
      <c r="I66" s="84">
        <f t="shared" ca="1" si="60"/>
        <v>350880</v>
      </c>
      <c r="J66" s="84">
        <f t="shared" ca="1" si="41"/>
        <v>477280</v>
      </c>
      <c r="K66" s="84">
        <v>0</v>
      </c>
      <c r="L66" s="84">
        <f t="shared" ca="1" si="61"/>
        <v>828160</v>
      </c>
      <c r="M66" s="4">
        <v>42</v>
      </c>
      <c r="N66" s="4">
        <f t="shared" ca="1" si="34"/>
        <v>1</v>
      </c>
      <c r="O66" s="4">
        <f t="shared" ca="1" si="42"/>
        <v>20</v>
      </c>
      <c r="P66" s="22">
        <f t="shared" ca="1" si="43"/>
        <v>453430</v>
      </c>
      <c r="Q66" s="22">
        <f t="shared" ca="1" si="44"/>
        <v>453430</v>
      </c>
      <c r="R66" s="22">
        <f t="shared" ca="1" si="62"/>
        <v>6333470</v>
      </c>
      <c r="S66" s="22">
        <f t="shared" ca="1" si="63"/>
        <v>333330</v>
      </c>
      <c r="T66" s="22">
        <f t="shared" ca="1" si="64"/>
        <v>333330</v>
      </c>
      <c r="U66" s="22">
        <f t="shared" ca="1" si="72"/>
        <v>453435.22499999998</v>
      </c>
      <c r="V66" s="22">
        <f t="shared" ca="1" si="73"/>
        <v>453435.22499999998</v>
      </c>
      <c r="W66" s="22">
        <f t="shared" ca="1" si="65"/>
        <v>1383333.3333333335</v>
      </c>
      <c r="X66" s="22">
        <f t="shared" ca="1" si="66"/>
        <v>1383330</v>
      </c>
      <c r="Y66" s="22">
        <f t="shared" ca="1" si="45"/>
        <v>6666560</v>
      </c>
      <c r="Z66" s="22">
        <f t="shared" ca="1" si="74"/>
        <v>477283.19999999995</v>
      </c>
      <c r="AA66" s="22">
        <f t="shared" ca="1" si="46"/>
        <v>477280</v>
      </c>
      <c r="AB66" s="22">
        <f t="shared" ca="1" si="35"/>
        <v>196670700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6333470</v>
      </c>
      <c r="AJ66" s="22">
        <f t="shared" ca="1" si="75"/>
        <v>0</v>
      </c>
      <c r="AK66" s="22">
        <f t="shared" ca="1" si="76"/>
        <v>0</v>
      </c>
      <c r="AL66" s="69">
        <f t="shared" ca="1" si="69"/>
        <v>7</v>
      </c>
      <c r="AM66" s="69">
        <f t="shared" ca="1" si="52"/>
        <v>7</v>
      </c>
      <c r="AN66" s="4">
        <f t="shared" ca="1" si="70"/>
        <v>2027</v>
      </c>
      <c r="AO66" s="4">
        <f t="shared" ca="1" si="53"/>
        <v>2027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1</v>
      </c>
      <c r="AZ66" s="19"/>
      <c r="BC66" s="19"/>
      <c r="BD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8"/>
        <v>46619</v>
      </c>
      <c r="C67" s="401"/>
      <c r="D67" s="443">
        <f ca="1">IF(N67=0,IF(N66=1,SUM(D$25:E66)," "),IF(N67=0," ",IF(N68=1,D$25,IF(N68=0,D$10-D$25*(M$14-1)," "))))</f>
        <v>333330</v>
      </c>
      <c r="E67" s="443"/>
      <c r="F67" s="84">
        <f ca="1">IF(N67=0,IF(N66=1,SUM(F$25:F66)," "),IF(M$1=1,P67,IF(M$1=2,Q67," ")))</f>
        <v>430380</v>
      </c>
      <c r="G67" s="84">
        <v>0</v>
      </c>
      <c r="H67" s="84">
        <f t="shared" ca="1" si="59"/>
        <v>763710</v>
      </c>
      <c r="I67" s="84">
        <f t="shared" ca="1" si="60"/>
        <v>350880</v>
      </c>
      <c r="J67" s="84">
        <f t="shared" ca="1" si="41"/>
        <v>453010</v>
      </c>
      <c r="K67" s="84">
        <v>0</v>
      </c>
      <c r="L67" s="84">
        <f t="shared" ca="1" si="61"/>
        <v>803890</v>
      </c>
      <c r="M67" s="4">
        <v>43</v>
      </c>
      <c r="N67" s="4">
        <f t="shared" ca="1" si="34"/>
        <v>1</v>
      </c>
      <c r="O67" s="4">
        <f t="shared" ca="1" si="42"/>
        <v>20</v>
      </c>
      <c r="P67" s="22">
        <f t="shared" ca="1" si="43"/>
        <v>430380</v>
      </c>
      <c r="Q67" s="22">
        <f t="shared" ca="1" si="44"/>
        <v>430380</v>
      </c>
      <c r="R67" s="22">
        <f t="shared" ca="1" si="62"/>
        <v>6000140</v>
      </c>
      <c r="S67" s="22">
        <f t="shared" ca="1" si="63"/>
        <v>333330</v>
      </c>
      <c r="T67" s="22">
        <f t="shared" ca="1" si="64"/>
        <v>333330</v>
      </c>
      <c r="U67" s="22">
        <f t="shared" ca="1" si="72"/>
        <v>430379.9</v>
      </c>
      <c r="V67" s="22">
        <f t="shared" ca="1" si="73"/>
        <v>430379.9</v>
      </c>
      <c r="W67" s="22">
        <f t="shared" ca="1" si="65"/>
        <v>1383333.3333333335</v>
      </c>
      <c r="X67" s="22">
        <f t="shared" ca="1" si="66"/>
        <v>1383330</v>
      </c>
      <c r="Y67" s="22">
        <f t="shared" ca="1" si="45"/>
        <v>6315680</v>
      </c>
      <c r="Z67" s="22">
        <f t="shared" ca="1" si="74"/>
        <v>453014</v>
      </c>
      <c r="AA67" s="22">
        <f t="shared" ca="1" si="46"/>
        <v>453010</v>
      </c>
      <c r="AB67" s="22">
        <f t="shared" ca="1" si="35"/>
        <v>186670800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6000140</v>
      </c>
      <c r="AJ67" s="22">
        <f t="shared" ca="1" si="75"/>
        <v>0</v>
      </c>
      <c r="AK67" s="22">
        <f t="shared" ca="1" si="76"/>
        <v>0</v>
      </c>
      <c r="AL67" s="69">
        <f t="shared" ca="1" si="69"/>
        <v>8</v>
      </c>
      <c r="AM67" s="69">
        <f t="shared" ca="1" si="52"/>
        <v>8</v>
      </c>
      <c r="AN67" s="4">
        <f t="shared" ca="1" si="70"/>
        <v>2027</v>
      </c>
      <c r="AO67" s="4">
        <f t="shared" ca="1" si="53"/>
        <v>2027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1</v>
      </c>
      <c r="AZ67" s="19"/>
      <c r="BC67" s="19"/>
      <c r="BD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8"/>
        <v>46650</v>
      </c>
      <c r="C68" s="401"/>
      <c r="D68" s="443">
        <f ca="1">IF(N68=0,IF(N67=1,SUM(D$25:E67)," "),IF(N68=0," ",IF(N69=1,D$25,IF(N69=0,D$10-D$25*(M$14-1)," "))))</f>
        <v>333330</v>
      </c>
      <c r="E68" s="443"/>
      <c r="F68" s="84">
        <f ca="1">IF(N68=0,IF(N67=1,SUM(F$25:F67)," "),IF(M$1=1,P68,IF(M$1=2,Q68," ")))</f>
        <v>407320</v>
      </c>
      <c r="G68" s="84">
        <v>0</v>
      </c>
      <c r="H68" s="84">
        <f t="shared" ca="1" si="59"/>
        <v>740650</v>
      </c>
      <c r="I68" s="84">
        <f t="shared" ca="1" si="60"/>
        <v>350880</v>
      </c>
      <c r="J68" s="84">
        <f t="shared" ca="1" si="41"/>
        <v>428740</v>
      </c>
      <c r="K68" s="84">
        <v>0</v>
      </c>
      <c r="L68" s="84">
        <f t="shared" ca="1" si="61"/>
        <v>779620</v>
      </c>
      <c r="M68" s="4">
        <v>44</v>
      </c>
      <c r="N68" s="4">
        <f t="shared" ca="1" si="34"/>
        <v>1</v>
      </c>
      <c r="O68" s="4">
        <f t="shared" ca="1" si="42"/>
        <v>20</v>
      </c>
      <c r="P68" s="22">
        <f t="shared" ca="1" si="43"/>
        <v>407320</v>
      </c>
      <c r="Q68" s="22">
        <f t="shared" ca="1" si="44"/>
        <v>407320</v>
      </c>
      <c r="R68" s="22">
        <f t="shared" ca="1" si="62"/>
        <v>5666810</v>
      </c>
      <c r="S68" s="22">
        <f t="shared" ca="1" si="63"/>
        <v>333330</v>
      </c>
      <c r="T68" s="22">
        <f t="shared" ca="1" si="64"/>
        <v>333330</v>
      </c>
      <c r="U68" s="22">
        <f t="shared" ca="1" si="72"/>
        <v>407324.57500000001</v>
      </c>
      <c r="V68" s="22">
        <f t="shared" ca="1" si="73"/>
        <v>407324.57500000001</v>
      </c>
      <c r="W68" s="22">
        <f t="shared" ca="1" si="65"/>
        <v>1383333.3333333335</v>
      </c>
      <c r="X68" s="22">
        <f t="shared" ca="1" si="66"/>
        <v>1383330</v>
      </c>
      <c r="Y68" s="22">
        <f t="shared" ca="1" si="45"/>
        <v>5964800</v>
      </c>
      <c r="Z68" s="22">
        <f t="shared" ca="1" si="74"/>
        <v>428744.80000000005</v>
      </c>
      <c r="AA68" s="22">
        <f t="shared" ca="1" si="46"/>
        <v>428740</v>
      </c>
      <c r="AB68" s="22">
        <f t="shared" ca="1" si="35"/>
        <v>176670900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5666810</v>
      </c>
      <c r="AJ68" s="22">
        <f t="shared" ca="1" si="75"/>
        <v>0</v>
      </c>
      <c r="AK68" s="22">
        <f t="shared" ca="1" si="76"/>
        <v>0</v>
      </c>
      <c r="AL68" s="69">
        <f t="shared" ca="1" si="69"/>
        <v>9</v>
      </c>
      <c r="AM68" s="69">
        <f t="shared" ca="1" si="52"/>
        <v>9</v>
      </c>
      <c r="AN68" s="4">
        <f t="shared" ca="1" si="70"/>
        <v>2027</v>
      </c>
      <c r="AO68" s="4">
        <f t="shared" ca="1" si="53"/>
        <v>2027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1</v>
      </c>
      <c r="AZ68" s="19"/>
      <c r="BC68" s="19"/>
      <c r="BD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8"/>
        <v>46680</v>
      </c>
      <c r="C69" s="401"/>
      <c r="D69" s="443">
        <f ca="1">IF(N69=0,IF(N68=1,SUM(D$25:E68)," "),IF(N69=0," ",IF(N70=1,D$25,IF(N70=0,D$10-D$25*(M$14-1)," "))))</f>
        <v>333330</v>
      </c>
      <c r="E69" s="443"/>
      <c r="F69" s="84">
        <f ca="1">IF(N69=0,IF(N68=1,SUM(F$25:F68)," "),IF(M$1=1,P69,IF(M$1=2,Q69," ")))</f>
        <v>384270</v>
      </c>
      <c r="G69" s="84">
        <v>0</v>
      </c>
      <c r="H69" s="84">
        <f t="shared" ca="1" si="59"/>
        <v>717600</v>
      </c>
      <c r="I69" s="84">
        <f t="shared" ca="1" si="60"/>
        <v>350880</v>
      </c>
      <c r="J69" s="84">
        <f t="shared" ca="1" si="41"/>
        <v>404480</v>
      </c>
      <c r="K69" s="84">
        <v>0</v>
      </c>
      <c r="L69" s="84">
        <f t="shared" ca="1" si="61"/>
        <v>755360</v>
      </c>
      <c r="M69" s="4">
        <v>45</v>
      </c>
      <c r="N69" s="4">
        <f t="shared" ca="1" si="34"/>
        <v>1</v>
      </c>
      <c r="O69" s="4">
        <f t="shared" ca="1" si="42"/>
        <v>20</v>
      </c>
      <c r="P69" s="22">
        <f t="shared" ca="1" si="43"/>
        <v>384270</v>
      </c>
      <c r="Q69" s="22">
        <f t="shared" ca="1" si="44"/>
        <v>384270</v>
      </c>
      <c r="R69" s="22">
        <f t="shared" ca="1" si="62"/>
        <v>5333480</v>
      </c>
      <c r="S69" s="22">
        <f t="shared" ca="1" si="63"/>
        <v>333330</v>
      </c>
      <c r="T69" s="22">
        <f t="shared" ca="1" si="64"/>
        <v>333330</v>
      </c>
      <c r="U69" s="22">
        <f t="shared" ca="1" si="72"/>
        <v>384269.25</v>
      </c>
      <c r="V69" s="22">
        <f t="shared" ca="1" si="73"/>
        <v>384269.25</v>
      </c>
      <c r="W69" s="22">
        <f t="shared" ca="1" si="65"/>
        <v>1383333.3333333335</v>
      </c>
      <c r="X69" s="22">
        <f t="shared" ca="1" si="66"/>
        <v>1383330</v>
      </c>
      <c r="Y69" s="22">
        <f t="shared" ca="1" si="45"/>
        <v>5613920</v>
      </c>
      <c r="Z69" s="22">
        <f t="shared" ca="1" si="74"/>
        <v>404475.6</v>
      </c>
      <c r="AA69" s="22">
        <f t="shared" ca="1" si="46"/>
        <v>404480</v>
      </c>
      <c r="AB69" s="22">
        <f t="shared" ca="1" si="35"/>
        <v>166671000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5333480</v>
      </c>
      <c r="AJ69" s="22">
        <f t="shared" ca="1" si="75"/>
        <v>0</v>
      </c>
      <c r="AK69" s="22">
        <f t="shared" ca="1" si="76"/>
        <v>0</v>
      </c>
      <c r="AL69" s="69">
        <f t="shared" ca="1" si="69"/>
        <v>10</v>
      </c>
      <c r="AM69" s="69">
        <f t="shared" ca="1" si="52"/>
        <v>10</v>
      </c>
      <c r="AN69" s="4">
        <f t="shared" ca="1" si="70"/>
        <v>2027</v>
      </c>
      <c r="AO69" s="4">
        <f t="shared" ca="1" si="53"/>
        <v>2027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1</v>
      </c>
      <c r="AZ69" s="19"/>
      <c r="BC69" s="19"/>
      <c r="BD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8"/>
        <v>46711</v>
      </c>
      <c r="C70" s="401"/>
      <c r="D70" s="443">
        <f ca="1">IF(N70=0,IF(N69=1,SUM(D$25:E69)," "),IF(N70=0," ",IF(N71=1,D$25,IF(N71=0,D$10-D$25*(M$14-1)," "))))</f>
        <v>333330</v>
      </c>
      <c r="E70" s="443"/>
      <c r="F70" s="84">
        <f ca="1">IF(N70=0,IF(N69=1,SUM(F$25:F69)," "),IF(M$1=1,P70,IF(M$1=2,Q70," ")))</f>
        <v>361210</v>
      </c>
      <c r="G70" s="84">
        <v>0</v>
      </c>
      <c r="H70" s="84">
        <f t="shared" ca="1" si="59"/>
        <v>694540</v>
      </c>
      <c r="I70" s="84">
        <f t="shared" ca="1" si="60"/>
        <v>350880</v>
      </c>
      <c r="J70" s="84">
        <f t="shared" ca="1" si="41"/>
        <v>380210</v>
      </c>
      <c r="K70" s="84">
        <v>0</v>
      </c>
      <c r="L70" s="84">
        <f t="shared" ca="1" si="61"/>
        <v>731090</v>
      </c>
      <c r="M70" s="4">
        <v>46</v>
      </c>
      <c r="N70" s="4">
        <f t="shared" ca="1" si="34"/>
        <v>1</v>
      </c>
      <c r="O70" s="4">
        <f t="shared" ca="1" si="42"/>
        <v>20</v>
      </c>
      <c r="P70" s="22">
        <f t="shared" ca="1" si="43"/>
        <v>361210</v>
      </c>
      <c r="Q70" s="22">
        <f t="shared" ca="1" si="44"/>
        <v>361210</v>
      </c>
      <c r="R70" s="22">
        <f t="shared" ca="1" si="62"/>
        <v>5000150</v>
      </c>
      <c r="S70" s="22">
        <f t="shared" ca="1" si="63"/>
        <v>333330</v>
      </c>
      <c r="T70" s="22">
        <f t="shared" ca="1" si="64"/>
        <v>333330</v>
      </c>
      <c r="U70" s="22">
        <f t="shared" ca="1" si="72"/>
        <v>361213.92499999999</v>
      </c>
      <c r="V70" s="22">
        <f t="shared" ca="1" si="73"/>
        <v>361213.92499999999</v>
      </c>
      <c r="W70" s="22">
        <f t="shared" ca="1" si="65"/>
        <v>1383333.3333333335</v>
      </c>
      <c r="X70" s="22">
        <f t="shared" ca="1" si="66"/>
        <v>1383330</v>
      </c>
      <c r="Y70" s="22">
        <f t="shared" ca="1" si="45"/>
        <v>5263040</v>
      </c>
      <c r="Z70" s="22">
        <f t="shared" ca="1" si="74"/>
        <v>380206.4</v>
      </c>
      <c r="AA70" s="22">
        <f t="shared" ca="1" si="46"/>
        <v>380210</v>
      </c>
      <c r="AB70" s="22">
        <f t="shared" ca="1" si="35"/>
        <v>156671100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5000150</v>
      </c>
      <c r="AJ70" s="22">
        <f t="shared" ca="1" si="75"/>
        <v>0</v>
      </c>
      <c r="AK70" s="22">
        <f t="shared" ca="1" si="76"/>
        <v>0</v>
      </c>
      <c r="AL70" s="69">
        <f t="shared" ca="1" si="69"/>
        <v>11</v>
      </c>
      <c r="AM70" s="69">
        <f t="shared" ca="1" si="52"/>
        <v>11</v>
      </c>
      <c r="AN70" s="4">
        <f t="shared" ca="1" si="70"/>
        <v>2027</v>
      </c>
      <c r="AO70" s="4">
        <f t="shared" ca="1" si="53"/>
        <v>2027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19"/>
      <c r="AU70" s="19"/>
      <c r="AV70" s="19"/>
      <c r="AW70" s="19"/>
      <c r="AX70" s="19"/>
      <c r="AY70" s="4">
        <f t="shared" ca="1" si="57"/>
        <v>1</v>
      </c>
      <c r="AZ70" s="19"/>
      <c r="BC70" s="19"/>
      <c r="BD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8"/>
        <v>46741</v>
      </c>
      <c r="C71" s="401"/>
      <c r="D71" s="443">
        <f ca="1">IF(N71=0,IF(N70=1,SUM(D$25:E70)," "),IF(N71=0," ",IF(N72=1,D$25,IF(N72=0,D$10-D$25*(M$14-1)," "))))</f>
        <v>333330</v>
      </c>
      <c r="E71" s="443"/>
      <c r="F71" s="84">
        <f ca="1">IF(N71=0,IF(N70=1,SUM(F$25:F70)," "),IF(M$1=1,P71,IF(M$1=2,Q71," ")))</f>
        <v>338160</v>
      </c>
      <c r="G71" s="84">
        <v>0</v>
      </c>
      <c r="H71" s="84">
        <f t="shared" ca="1" si="59"/>
        <v>671490</v>
      </c>
      <c r="I71" s="84">
        <f t="shared" ca="1" si="60"/>
        <v>350880</v>
      </c>
      <c r="J71" s="84">
        <f t="shared" ca="1" si="41"/>
        <v>355940</v>
      </c>
      <c r="K71" s="84">
        <v>0</v>
      </c>
      <c r="L71" s="84">
        <f t="shared" ca="1" si="61"/>
        <v>706820</v>
      </c>
      <c r="M71" s="4">
        <v>47</v>
      </c>
      <c r="N71" s="4">
        <f t="shared" ca="1" si="34"/>
        <v>1</v>
      </c>
      <c r="O71" s="4">
        <f t="shared" ca="1" si="42"/>
        <v>20</v>
      </c>
      <c r="P71" s="22">
        <f t="shared" ca="1" si="43"/>
        <v>338160</v>
      </c>
      <c r="Q71" s="22">
        <f t="shared" ca="1" si="44"/>
        <v>338160</v>
      </c>
      <c r="R71" s="22">
        <f t="shared" ca="1" si="62"/>
        <v>4666820</v>
      </c>
      <c r="S71" s="22">
        <f t="shared" ca="1" si="63"/>
        <v>333330</v>
      </c>
      <c r="T71" s="22">
        <f t="shared" ca="1" si="64"/>
        <v>333330</v>
      </c>
      <c r="U71" s="22">
        <f t="shared" ca="1" si="72"/>
        <v>338158.6</v>
      </c>
      <c r="V71" s="22">
        <f t="shared" ca="1" si="73"/>
        <v>338158.6</v>
      </c>
      <c r="W71" s="22">
        <f t="shared" ca="1" si="65"/>
        <v>1383333.3333333335</v>
      </c>
      <c r="X71" s="22">
        <f t="shared" ca="1" si="66"/>
        <v>1383330</v>
      </c>
      <c r="Y71" s="22">
        <f t="shared" ca="1" si="45"/>
        <v>4912160</v>
      </c>
      <c r="Z71" s="22">
        <f t="shared" ca="1" si="74"/>
        <v>355937.2</v>
      </c>
      <c r="AA71" s="22">
        <f t="shared" ca="1" si="46"/>
        <v>355940</v>
      </c>
      <c r="AB71" s="22">
        <f t="shared" ca="1" si="35"/>
        <v>146671200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4666820</v>
      </c>
      <c r="AJ71" s="22">
        <f t="shared" ca="1" si="75"/>
        <v>0</v>
      </c>
      <c r="AK71" s="22">
        <f t="shared" ca="1" si="76"/>
        <v>0</v>
      </c>
      <c r="AL71" s="69">
        <f t="shared" ca="1" si="69"/>
        <v>12</v>
      </c>
      <c r="AM71" s="69">
        <f t="shared" ca="1" si="52"/>
        <v>12</v>
      </c>
      <c r="AN71" s="4">
        <f t="shared" ca="1" si="70"/>
        <v>2027</v>
      </c>
      <c r="AO71" s="4">
        <f t="shared" ca="1" si="53"/>
        <v>2027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1</v>
      </c>
      <c r="AZ71" s="19"/>
      <c r="BC71" s="19"/>
      <c r="BD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8"/>
        <v>46772</v>
      </c>
      <c r="C72" s="401"/>
      <c r="D72" s="443">
        <f ca="1">IF(N72=0,IF(N71=1,SUM(D$25:E71)," "),IF(N72=0," ",IF(N73=1,D$25,IF(N73=0,D$10-D$25*(M$14-1)," "))))</f>
        <v>333330</v>
      </c>
      <c r="E72" s="443"/>
      <c r="F72" s="84">
        <f ca="1">IF(N72=0,IF(N71=1,SUM(F$25:F71)," "),IF(M$1=1,P72,IF(M$1=2,Q72," ")))</f>
        <v>315100</v>
      </c>
      <c r="G72" s="84">
        <v>0</v>
      </c>
      <c r="H72" s="84">
        <f t="shared" ca="1" si="59"/>
        <v>648430</v>
      </c>
      <c r="I72" s="84">
        <f t="shared" ca="1" si="60"/>
        <v>350880</v>
      </c>
      <c r="J72" s="84">
        <f t="shared" ca="1" si="41"/>
        <v>331670</v>
      </c>
      <c r="K72" s="84">
        <v>0</v>
      </c>
      <c r="L72" s="84">
        <f t="shared" ca="1" si="61"/>
        <v>682550</v>
      </c>
      <c r="M72" s="4">
        <v>48</v>
      </c>
      <c r="N72" s="4">
        <f t="shared" ca="1" si="34"/>
        <v>1</v>
      </c>
      <c r="O72" s="4">
        <f t="shared" ca="1" si="42"/>
        <v>20</v>
      </c>
      <c r="P72" s="22">
        <f t="shared" ca="1" si="43"/>
        <v>315100</v>
      </c>
      <c r="Q72" s="22">
        <f t="shared" ca="1" si="44"/>
        <v>315100</v>
      </c>
      <c r="R72" s="22">
        <f t="shared" ca="1" si="62"/>
        <v>4333490</v>
      </c>
      <c r="S72" s="22">
        <f t="shared" ca="1" si="63"/>
        <v>333330</v>
      </c>
      <c r="T72" s="22">
        <f t="shared" ca="1" si="64"/>
        <v>333330</v>
      </c>
      <c r="U72" s="22">
        <f t="shared" ca="1" si="72"/>
        <v>315103.27500000002</v>
      </c>
      <c r="V72" s="22">
        <f t="shared" ca="1" si="73"/>
        <v>315103.27500000002</v>
      </c>
      <c r="W72" s="22">
        <f t="shared" ca="1" si="65"/>
        <v>1383333.3333333335</v>
      </c>
      <c r="X72" s="22">
        <f t="shared" ca="1" si="66"/>
        <v>1383330</v>
      </c>
      <c r="Y72" s="22">
        <f t="shared" ca="1" si="45"/>
        <v>4561280</v>
      </c>
      <c r="Z72" s="22">
        <f t="shared" ca="1" si="74"/>
        <v>331668</v>
      </c>
      <c r="AA72" s="22">
        <f t="shared" ca="1" si="46"/>
        <v>331670</v>
      </c>
      <c r="AB72" s="22">
        <f t="shared" ca="1" si="35"/>
        <v>136671300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4333490</v>
      </c>
      <c r="AJ72" s="22">
        <f t="shared" ca="1" si="75"/>
        <v>0</v>
      </c>
      <c r="AK72" s="22">
        <f t="shared" ca="1" si="76"/>
        <v>0</v>
      </c>
      <c r="AL72" s="69">
        <f t="shared" ca="1" si="69"/>
        <v>13</v>
      </c>
      <c r="AM72" s="69">
        <f t="shared" ca="1" si="52"/>
        <v>1</v>
      </c>
      <c r="AN72" s="4">
        <f t="shared" ca="1" si="70"/>
        <v>2027</v>
      </c>
      <c r="AO72" s="4">
        <f t="shared" ca="1" si="53"/>
        <v>2028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1</v>
      </c>
      <c r="AZ72" s="19"/>
      <c r="BC72" s="19"/>
      <c r="BD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ca="1" si="58"/>
        <v>46803</v>
      </c>
      <c r="C73" s="401"/>
      <c r="D73" s="443">
        <f ca="1">IF(N73=0,IF(N72=1,SUM(D$25:E72)," "),IF(N73=0," ",IF(N74=1,D$25,IF(N74=0,D$10-D$25*(M$14-1)," "))))</f>
        <v>333330</v>
      </c>
      <c r="E73" s="443"/>
      <c r="F73" s="84">
        <f ca="1">IF(N73=0,IF(N72=1,SUM(F$25:F72)," "),IF(M$1=1,P73,IF(M$1=2,Q73," ")))</f>
        <v>292050</v>
      </c>
      <c r="G73" s="84">
        <v>0</v>
      </c>
      <c r="H73" s="84">
        <f t="shared" ca="1" si="59"/>
        <v>625380</v>
      </c>
      <c r="I73" s="84">
        <f t="shared" ca="1" si="60"/>
        <v>350880</v>
      </c>
      <c r="J73" s="84">
        <f t="shared" ca="1" si="41"/>
        <v>307400</v>
      </c>
      <c r="K73" s="84">
        <v>0</v>
      </c>
      <c r="L73" s="84">
        <f t="shared" ca="1" si="61"/>
        <v>658280</v>
      </c>
      <c r="M73" s="4">
        <v>49</v>
      </c>
      <c r="N73" s="4">
        <f t="shared" ca="1" si="34"/>
        <v>1</v>
      </c>
      <c r="O73" s="4">
        <f t="shared" ca="1" si="42"/>
        <v>20</v>
      </c>
      <c r="P73" s="22">
        <f t="shared" ca="1" si="43"/>
        <v>292050</v>
      </c>
      <c r="Q73" s="22">
        <f t="shared" ca="1" si="44"/>
        <v>292050</v>
      </c>
      <c r="R73" s="22">
        <f t="shared" ca="1" si="62"/>
        <v>4000160</v>
      </c>
      <c r="S73" s="22">
        <f t="shared" ca="1" si="63"/>
        <v>333330</v>
      </c>
      <c r="T73" s="22">
        <f t="shared" ca="1" si="64"/>
        <v>333330</v>
      </c>
      <c r="U73" s="22">
        <f ca="1">IF(N74=1,R72*D$11*20/36000+R73*D$11*10/36000,IF(N74=0,IF(N73=0,0,IF(D$16&gt;20,R72*D$11*20/36000+R73*D$11*(Q$12-20)/36000,R73*D$11*Q$12/36000))))</f>
        <v>292047.95</v>
      </c>
      <c r="V73" s="22">
        <f ca="1">IF(N74=1,R72*D$11*20/36000+R73*D$11*10/36000,IF(N74=0,IF(N73=0,0,IF(D$16&gt;20,R72*D$11*20/36000+R73*D$11*(Q$12-20)/36000,R73*D$11*Q$12/36000))))</f>
        <v>292047.95</v>
      </c>
      <c r="W73" s="22">
        <f t="shared" ca="1" si="65"/>
        <v>1383333.3333333335</v>
      </c>
      <c r="X73" s="22">
        <f t="shared" ca="1" si="66"/>
        <v>1383330</v>
      </c>
      <c r="Y73" s="22">
        <f t="shared" ca="1" si="45"/>
        <v>4210400</v>
      </c>
      <c r="Z73" s="22">
        <f ca="1">IF(N74=1,Y72*D$11*20/36000+Y73*D$11*10/36000,IF(N74=0,IF(N73=0,0,IF(D$16&gt;20,Y72*D$11*20/36000+Y73*D$11*(Q$12-20)/36000,Y73*D$11*Q$12/36000))))</f>
        <v>307398.8</v>
      </c>
      <c r="AA73" s="22">
        <f t="shared" ca="1" si="46"/>
        <v>307400</v>
      </c>
      <c r="AB73" s="22">
        <f t="shared" ca="1" si="35"/>
        <v>126671400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4000160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2</v>
      </c>
      <c r="AM73" s="69">
        <f t="shared" ca="1" si="52"/>
        <v>2</v>
      </c>
      <c r="AN73" s="4">
        <f t="shared" ca="1" si="70"/>
        <v>2028</v>
      </c>
      <c r="AO73" s="4">
        <f t="shared" ca="1" si="53"/>
        <v>2028</v>
      </c>
      <c r="AP73" s="4">
        <f t="shared" ca="1" si="54"/>
        <v>1</v>
      </c>
      <c r="AQ73" s="4">
        <f t="shared" ca="1" si="55"/>
        <v>29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1</v>
      </c>
      <c r="AZ73" s="19"/>
      <c r="BC73" s="19"/>
      <c r="BD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ca="1" si="58"/>
        <v>46832</v>
      </c>
      <c r="C74" s="401"/>
      <c r="D74" s="443">
        <f ca="1">IF(N74=0,IF(N73=1,SUM(D$25:E73)," "),IF(N74=0," ",IF(N75=1,D$25,IF(N75=0,D$10-D$25*(M$14-1)," "))))</f>
        <v>333330</v>
      </c>
      <c r="E74" s="443"/>
      <c r="F74" s="84">
        <f ca="1">IF(N74=0,IF(N73=1,SUM(F$25:F73)," "),IF(M$1=1,P74,IF(M$1=2,Q74," ")))</f>
        <v>268990</v>
      </c>
      <c r="G74" s="84">
        <v>0</v>
      </c>
      <c r="H74" s="84">
        <f t="shared" ca="1" si="59"/>
        <v>602320</v>
      </c>
      <c r="I74" s="84">
        <f t="shared" ca="1" si="60"/>
        <v>350880</v>
      </c>
      <c r="J74" s="84">
        <f t="shared" ca="1" si="41"/>
        <v>283130</v>
      </c>
      <c r="K74" s="84">
        <v>0</v>
      </c>
      <c r="L74" s="84">
        <f t="shared" ca="1" si="61"/>
        <v>634010</v>
      </c>
      <c r="M74" s="4">
        <v>50</v>
      </c>
      <c r="N74" s="4">
        <f t="shared" ca="1" si="34"/>
        <v>1</v>
      </c>
      <c r="O74" s="4">
        <f t="shared" ca="1" si="42"/>
        <v>20</v>
      </c>
      <c r="P74" s="22">
        <f t="shared" ca="1" si="43"/>
        <v>268990</v>
      </c>
      <c r="Q74" s="22">
        <f t="shared" ca="1" si="44"/>
        <v>268990</v>
      </c>
      <c r="R74" s="22">
        <f t="shared" ca="1" si="62"/>
        <v>3666830</v>
      </c>
      <c r="S74" s="22">
        <f t="shared" ca="1" si="63"/>
        <v>333330</v>
      </c>
      <c r="T74" s="22">
        <f t="shared" ca="1" si="64"/>
        <v>333330</v>
      </c>
      <c r="U74" s="22">
        <f t="shared" ref="U74:U84" ca="1" si="77">IF(N75=1,R73*D$11*20/36000+R74*D$11*10/36000,IF(N75=0,IF(N74=0,0,R74*D$11*Q$12/36000+R73*D$11*20/36000+R74*D$11*10/36000)))</f>
        <v>268992.625</v>
      </c>
      <c r="V74" s="22">
        <f t="shared" ref="V74:V84" ca="1" si="78">IF(N75=1,R73*D$11*20/36000+R74*D$11*10/36000,IF(N75=0,IF(N74=0,0,R74*D$11*Q$12/36000+R73*D$11*20/36000+R74*D$11*10/36000)))</f>
        <v>268992.625</v>
      </c>
      <c r="W74" s="22">
        <f t="shared" ca="1" si="65"/>
        <v>1383333.3333333335</v>
      </c>
      <c r="X74" s="22">
        <f t="shared" ca="1" si="66"/>
        <v>1383330</v>
      </c>
      <c r="Y74" s="22">
        <f t="shared" ca="1" si="45"/>
        <v>3859520</v>
      </c>
      <c r="Z74" s="22">
        <f t="shared" ref="Z74:Z84" ca="1" si="79">IF(N75=1,Y73*D$11*20/36000+Y74*D$11*10/36000,IF(N75=0,IF(N74=0,0,Y74*D$11*Q$12/36000+Y73*D$11*20/36000+Y74*D$11*10/36000)))</f>
        <v>283129.59999999998</v>
      </c>
      <c r="AA74" s="22">
        <f t="shared" ca="1" si="46"/>
        <v>283130</v>
      </c>
      <c r="AB74" s="22">
        <f t="shared" ca="1" si="35"/>
        <v>116671500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3666830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3</v>
      </c>
      <c r="AM74" s="69">
        <f t="shared" ca="1" si="52"/>
        <v>3</v>
      </c>
      <c r="AN74" s="4">
        <f t="shared" ca="1" si="70"/>
        <v>2028</v>
      </c>
      <c r="AO74" s="4">
        <f t="shared" ca="1" si="53"/>
        <v>2028</v>
      </c>
      <c r="AP74" s="4">
        <f t="shared" ca="1" si="54"/>
        <v>1</v>
      </c>
      <c r="AQ74" s="4">
        <f t="shared" ca="1" si="55"/>
        <v>30</v>
      </c>
      <c r="AR74" s="4">
        <f t="shared" si="56"/>
        <v>20</v>
      </c>
      <c r="AS74" s="4">
        <f t="shared" ca="1" si="71"/>
        <v>29</v>
      </c>
      <c r="AT74" s="19"/>
      <c r="AU74" s="19"/>
      <c r="AV74" s="19"/>
      <c r="AW74" s="19"/>
      <c r="AX74" s="19"/>
      <c r="AY74" s="4">
        <f t="shared" ca="1" si="57"/>
        <v>1</v>
      </c>
      <c r="AZ74" s="19"/>
      <c r="BC74" s="19"/>
      <c r="BD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ca="1" si="58"/>
        <v>46863</v>
      </c>
      <c r="C75" s="401"/>
      <c r="D75" s="443">
        <f ca="1">IF(N75=0,IF(N74=1,SUM(D$25:E74)," "),IF(N75=0," ",IF(N76=1,D$25,IF(N76=0,D$10-D$25*(M$14-1)," "))))</f>
        <v>333330</v>
      </c>
      <c r="E75" s="443"/>
      <c r="F75" s="84">
        <f ca="1">IF(N75=0,IF(N74=1,SUM(F$25:F74)," "),IF(M$1=1,P75,IF(M$1=2,Q75," ")))</f>
        <v>245940</v>
      </c>
      <c r="G75" s="84">
        <v>0</v>
      </c>
      <c r="H75" s="84">
        <f t="shared" ca="1" si="59"/>
        <v>579270</v>
      </c>
      <c r="I75" s="84">
        <f t="shared" ca="1" si="60"/>
        <v>350880</v>
      </c>
      <c r="J75" s="84">
        <f t="shared" ca="1" si="41"/>
        <v>258860</v>
      </c>
      <c r="K75" s="84">
        <v>0</v>
      </c>
      <c r="L75" s="84">
        <f t="shared" ca="1" si="61"/>
        <v>609740</v>
      </c>
      <c r="M75" s="4">
        <v>51</v>
      </c>
      <c r="N75" s="4">
        <f t="shared" ca="1" si="34"/>
        <v>1</v>
      </c>
      <c r="O75" s="4">
        <f t="shared" ca="1" si="42"/>
        <v>20</v>
      </c>
      <c r="P75" s="22">
        <f t="shared" ca="1" si="43"/>
        <v>245940</v>
      </c>
      <c r="Q75" s="22">
        <f t="shared" ca="1" si="44"/>
        <v>245940</v>
      </c>
      <c r="R75" s="22">
        <f t="shared" ca="1" si="62"/>
        <v>3333500</v>
      </c>
      <c r="S75" s="22">
        <f t="shared" ca="1" si="63"/>
        <v>333330</v>
      </c>
      <c r="T75" s="22">
        <f t="shared" ca="1" si="64"/>
        <v>333330</v>
      </c>
      <c r="U75" s="22">
        <f t="shared" ca="1" si="77"/>
        <v>245937.3</v>
      </c>
      <c r="V75" s="22">
        <f t="shared" ca="1" si="78"/>
        <v>245937.3</v>
      </c>
      <c r="W75" s="22">
        <f t="shared" ca="1" si="65"/>
        <v>1383333.3333333335</v>
      </c>
      <c r="X75" s="22">
        <f t="shared" ca="1" si="66"/>
        <v>1383330</v>
      </c>
      <c r="Y75" s="22">
        <f t="shared" ca="1" si="45"/>
        <v>3508640</v>
      </c>
      <c r="Z75" s="22">
        <f t="shared" ca="1" si="79"/>
        <v>258860.4</v>
      </c>
      <c r="AA75" s="22">
        <f t="shared" ca="1" si="46"/>
        <v>258860</v>
      </c>
      <c r="AB75" s="22">
        <f t="shared" ca="1" si="35"/>
        <v>106671600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3333500</v>
      </c>
      <c r="AJ75" s="22">
        <f t="shared" ca="1" si="80"/>
        <v>0</v>
      </c>
      <c r="AK75" s="22">
        <f t="shared" ca="1" si="81"/>
        <v>0</v>
      </c>
      <c r="AL75" s="69">
        <f t="shared" ca="1" si="69"/>
        <v>4</v>
      </c>
      <c r="AM75" s="69">
        <f t="shared" ca="1" si="52"/>
        <v>4</v>
      </c>
      <c r="AN75" s="4">
        <f t="shared" ca="1" si="70"/>
        <v>2028</v>
      </c>
      <c r="AO75" s="4">
        <f t="shared" ca="1" si="53"/>
        <v>2028</v>
      </c>
      <c r="AP75" s="4">
        <f t="shared" ca="1" si="54"/>
        <v>1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1</v>
      </c>
      <c r="AZ75" s="19"/>
      <c r="BC75" s="19"/>
      <c r="BD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ca="1" si="58"/>
        <v>46893</v>
      </c>
      <c r="C76" s="401"/>
      <c r="D76" s="443">
        <f ca="1">IF(N76=0,IF(N75=1,SUM(D$25:E75)," "),IF(N76=0," ",IF(N77=1,D$25,IF(N77=0,D$10-D$25*(M$14-1)," "))))</f>
        <v>333330</v>
      </c>
      <c r="E76" s="443"/>
      <c r="F76" s="84">
        <f ca="1">IF(N76=0,IF(N75=1,SUM(F$25:F75)," "),IF(M$1=1,P76,IF(M$1=2,Q76," ")))</f>
        <v>222880</v>
      </c>
      <c r="G76" s="84">
        <v>0</v>
      </c>
      <c r="H76" s="84">
        <f t="shared" ca="1" si="59"/>
        <v>556210</v>
      </c>
      <c r="I76" s="84">
        <f t="shared" ca="1" si="60"/>
        <v>350880</v>
      </c>
      <c r="J76" s="84">
        <f t="shared" ca="1" si="41"/>
        <v>234590</v>
      </c>
      <c r="K76" s="84">
        <v>0</v>
      </c>
      <c r="L76" s="84">
        <f t="shared" ca="1" si="61"/>
        <v>585470</v>
      </c>
      <c r="M76" s="4">
        <v>52</v>
      </c>
      <c r="N76" s="4">
        <f t="shared" ca="1" si="34"/>
        <v>1</v>
      </c>
      <c r="O76" s="4">
        <f t="shared" ca="1" si="42"/>
        <v>20</v>
      </c>
      <c r="P76" s="22">
        <f t="shared" ca="1" si="43"/>
        <v>222880</v>
      </c>
      <c r="Q76" s="22">
        <f t="shared" ca="1" si="44"/>
        <v>222880</v>
      </c>
      <c r="R76" s="22">
        <f t="shared" ca="1" si="62"/>
        <v>3000170</v>
      </c>
      <c r="S76" s="22">
        <f t="shared" ca="1" si="63"/>
        <v>333330</v>
      </c>
      <c r="T76" s="22">
        <f t="shared" ca="1" si="64"/>
        <v>333330</v>
      </c>
      <c r="U76" s="22">
        <f t="shared" ca="1" si="77"/>
        <v>222881.97499999998</v>
      </c>
      <c r="V76" s="22">
        <f t="shared" ca="1" si="78"/>
        <v>222881.97499999998</v>
      </c>
      <c r="W76" s="22">
        <f t="shared" ca="1" si="65"/>
        <v>1383333.3333333335</v>
      </c>
      <c r="X76" s="22">
        <f t="shared" ca="1" si="66"/>
        <v>1383330</v>
      </c>
      <c r="Y76" s="22">
        <f t="shared" ca="1" si="45"/>
        <v>3157760</v>
      </c>
      <c r="Z76" s="22">
        <f t="shared" ca="1" si="79"/>
        <v>234591.2</v>
      </c>
      <c r="AA76" s="22">
        <f t="shared" ca="1" si="46"/>
        <v>234590</v>
      </c>
      <c r="AB76" s="22">
        <f t="shared" ca="1" si="35"/>
        <v>96671700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3000170</v>
      </c>
      <c r="AJ76" s="22">
        <f t="shared" ca="1" si="80"/>
        <v>0</v>
      </c>
      <c r="AK76" s="22">
        <f t="shared" ca="1" si="81"/>
        <v>0</v>
      </c>
      <c r="AL76" s="69">
        <f t="shared" ca="1" si="69"/>
        <v>5</v>
      </c>
      <c r="AM76" s="69">
        <f t="shared" ca="1" si="52"/>
        <v>5</v>
      </c>
      <c r="AN76" s="4">
        <f t="shared" ca="1" si="70"/>
        <v>2028</v>
      </c>
      <c r="AO76" s="4">
        <f t="shared" ca="1" si="53"/>
        <v>2028</v>
      </c>
      <c r="AP76" s="4">
        <f t="shared" ca="1" si="54"/>
        <v>1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1</v>
      </c>
      <c r="AZ76" s="19"/>
      <c r="BC76" s="19"/>
      <c r="BD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ca="1" si="58"/>
        <v>46924</v>
      </c>
      <c r="C77" s="401"/>
      <c r="D77" s="443">
        <f ca="1">IF(N77=0,IF(N76=1,SUM(D$25:E76)," "),IF(N77=0," ",IF(N78=1,D$25,IF(N78=0,D$10-D$25*(M$14-1)," "))))</f>
        <v>333330</v>
      </c>
      <c r="E77" s="443"/>
      <c r="F77" s="84">
        <f ca="1">IF(N77=0,IF(N76=1,SUM(F$25:F76)," "),IF(M$1=1,P77,IF(M$1=2,Q77," ")))</f>
        <v>199830</v>
      </c>
      <c r="G77" s="84">
        <v>0</v>
      </c>
      <c r="H77" s="84">
        <f t="shared" ca="1" si="59"/>
        <v>533160</v>
      </c>
      <c r="I77" s="84">
        <f t="shared" ca="1" si="60"/>
        <v>350880</v>
      </c>
      <c r="J77" s="84">
        <f t="shared" ca="1" si="41"/>
        <v>210320</v>
      </c>
      <c r="K77" s="84">
        <v>0</v>
      </c>
      <c r="L77" s="84">
        <f t="shared" ca="1" si="61"/>
        <v>561200</v>
      </c>
      <c r="M77" s="4">
        <v>53</v>
      </c>
      <c r="N77" s="4">
        <f t="shared" ca="1" si="34"/>
        <v>1</v>
      </c>
      <c r="O77" s="4">
        <f t="shared" ca="1" si="42"/>
        <v>20</v>
      </c>
      <c r="P77" s="22">
        <f t="shared" ca="1" si="43"/>
        <v>199830</v>
      </c>
      <c r="Q77" s="22">
        <f t="shared" ca="1" si="44"/>
        <v>199830</v>
      </c>
      <c r="R77" s="22">
        <f t="shared" ca="1" si="62"/>
        <v>2666840</v>
      </c>
      <c r="S77" s="22">
        <f t="shared" ca="1" si="63"/>
        <v>333330</v>
      </c>
      <c r="T77" s="22">
        <f t="shared" ca="1" si="64"/>
        <v>333330</v>
      </c>
      <c r="U77" s="22">
        <f t="shared" ca="1" si="77"/>
        <v>199826.65000000002</v>
      </c>
      <c r="V77" s="22">
        <f t="shared" ca="1" si="78"/>
        <v>199826.65000000002</v>
      </c>
      <c r="W77" s="22">
        <f t="shared" ca="1" si="65"/>
        <v>1383333.3333333335</v>
      </c>
      <c r="X77" s="22">
        <f t="shared" ca="1" si="66"/>
        <v>1383330</v>
      </c>
      <c r="Y77" s="22">
        <f t="shared" ca="1" si="45"/>
        <v>2806880</v>
      </c>
      <c r="Z77" s="22">
        <f t="shared" ca="1" si="79"/>
        <v>210322</v>
      </c>
      <c r="AA77" s="22">
        <f t="shared" ca="1" si="46"/>
        <v>210320</v>
      </c>
      <c r="AB77" s="22">
        <f t="shared" ca="1" si="35"/>
        <v>86671800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2666840</v>
      </c>
      <c r="AJ77" s="22">
        <f t="shared" ca="1" si="80"/>
        <v>0</v>
      </c>
      <c r="AK77" s="22">
        <f t="shared" ca="1" si="81"/>
        <v>0</v>
      </c>
      <c r="AL77" s="69">
        <f t="shared" ca="1" si="69"/>
        <v>6</v>
      </c>
      <c r="AM77" s="69">
        <f t="shared" ca="1" si="52"/>
        <v>6</v>
      </c>
      <c r="AN77" s="4">
        <f t="shared" ca="1" si="70"/>
        <v>2028</v>
      </c>
      <c r="AO77" s="4">
        <f t="shared" ca="1" si="53"/>
        <v>2028</v>
      </c>
      <c r="AP77" s="4">
        <f t="shared" ca="1" si="54"/>
        <v>1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1</v>
      </c>
      <c r="AZ77" s="19"/>
      <c r="BC77" s="19"/>
      <c r="BD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ca="1" si="58"/>
        <v>46954</v>
      </c>
      <c r="C78" s="401"/>
      <c r="D78" s="443">
        <f ca="1">IF(N78=0,IF(N77=1,SUM(D$25:E77)," "),IF(N78=0," ",IF(N79=1,D$25,IF(N79=0,D$10-D$25*(M$14-1)," "))))</f>
        <v>333330</v>
      </c>
      <c r="E78" s="443"/>
      <c r="F78" s="84">
        <f ca="1">IF(N78=0,IF(N77=1,SUM(F$25:F77)," "),IF(M$1=1,P78,IF(M$1=2,Q78," ")))</f>
        <v>176770</v>
      </c>
      <c r="G78" s="84">
        <v>0</v>
      </c>
      <c r="H78" s="84">
        <f t="shared" ca="1" si="59"/>
        <v>510100</v>
      </c>
      <c r="I78" s="84">
        <f t="shared" ca="1" si="60"/>
        <v>350880</v>
      </c>
      <c r="J78" s="84">
        <f t="shared" ca="1" si="41"/>
        <v>186050</v>
      </c>
      <c r="K78" s="84">
        <v>0</v>
      </c>
      <c r="L78" s="84">
        <f t="shared" ca="1" si="61"/>
        <v>536930</v>
      </c>
      <c r="M78" s="4">
        <v>54</v>
      </c>
      <c r="N78" s="4">
        <f t="shared" ca="1" si="34"/>
        <v>1</v>
      </c>
      <c r="O78" s="4">
        <f t="shared" ca="1" si="42"/>
        <v>20</v>
      </c>
      <c r="P78" s="22">
        <f t="shared" ca="1" si="43"/>
        <v>176770</v>
      </c>
      <c r="Q78" s="22">
        <f t="shared" ca="1" si="44"/>
        <v>176770</v>
      </c>
      <c r="R78" s="22">
        <f t="shared" ca="1" si="62"/>
        <v>2333510</v>
      </c>
      <c r="S78" s="22">
        <f t="shared" ca="1" si="63"/>
        <v>333330</v>
      </c>
      <c r="T78" s="22">
        <f t="shared" ca="1" si="64"/>
        <v>333330</v>
      </c>
      <c r="U78" s="22">
        <f t="shared" ca="1" si="77"/>
        <v>176771.32500000001</v>
      </c>
      <c r="V78" s="22">
        <f t="shared" ca="1" si="78"/>
        <v>176771.32500000001</v>
      </c>
      <c r="W78" s="22">
        <f t="shared" ca="1" si="65"/>
        <v>1383333.3333333335</v>
      </c>
      <c r="X78" s="22">
        <f t="shared" ca="1" si="66"/>
        <v>1383330</v>
      </c>
      <c r="Y78" s="22">
        <f t="shared" ca="1" si="45"/>
        <v>2456000</v>
      </c>
      <c r="Z78" s="22">
        <f t="shared" ca="1" si="79"/>
        <v>186052.8</v>
      </c>
      <c r="AA78" s="22">
        <f t="shared" ca="1" si="46"/>
        <v>186050</v>
      </c>
      <c r="AB78" s="22">
        <f t="shared" ca="1" si="35"/>
        <v>76671900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2333510</v>
      </c>
      <c r="AJ78" s="22">
        <f t="shared" ca="1" si="80"/>
        <v>0</v>
      </c>
      <c r="AK78" s="22">
        <f t="shared" ca="1" si="81"/>
        <v>0</v>
      </c>
      <c r="AL78" s="69">
        <f t="shared" ca="1" si="69"/>
        <v>7</v>
      </c>
      <c r="AM78" s="69">
        <f t="shared" ca="1" si="52"/>
        <v>7</v>
      </c>
      <c r="AN78" s="4">
        <f t="shared" ca="1" si="70"/>
        <v>2028</v>
      </c>
      <c r="AO78" s="4">
        <f t="shared" ca="1" si="53"/>
        <v>2028</v>
      </c>
      <c r="AP78" s="4">
        <f t="shared" ca="1" si="54"/>
        <v>1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1</v>
      </c>
      <c r="AZ78" s="19"/>
      <c r="BC78" s="19"/>
      <c r="BD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ca="1" si="58"/>
        <v>46985</v>
      </c>
      <c r="C79" s="401"/>
      <c r="D79" s="443">
        <f ca="1">IF(N79=0,IF(N78=1,SUM(D$25:E78)," "),IF(N79=0," ",IF(N80=1,D$25,IF(N80=0,D$10-D$25*(M$14-1)," "))))</f>
        <v>333330</v>
      </c>
      <c r="E79" s="443"/>
      <c r="F79" s="84">
        <f ca="1">IF(N79=0,IF(N78=1,SUM(F$25:F78)," "),IF(M$1=1,P79,IF(M$1=2,Q79," ")))</f>
        <v>153720</v>
      </c>
      <c r="G79" s="84">
        <v>0</v>
      </c>
      <c r="H79" s="84">
        <f t="shared" ca="1" si="59"/>
        <v>487050</v>
      </c>
      <c r="I79" s="84">
        <f t="shared" ca="1" si="60"/>
        <v>350880</v>
      </c>
      <c r="J79" s="84">
        <f t="shared" ca="1" si="41"/>
        <v>161780</v>
      </c>
      <c r="K79" s="84">
        <v>0</v>
      </c>
      <c r="L79" s="84">
        <f t="shared" ca="1" si="61"/>
        <v>512660</v>
      </c>
      <c r="M79" s="4">
        <v>55</v>
      </c>
      <c r="N79" s="4">
        <f t="shared" ca="1" si="34"/>
        <v>1</v>
      </c>
      <c r="O79" s="4">
        <f t="shared" ca="1" si="42"/>
        <v>20</v>
      </c>
      <c r="P79" s="22">
        <f t="shared" ca="1" si="43"/>
        <v>153720</v>
      </c>
      <c r="Q79" s="22">
        <f t="shared" ca="1" si="44"/>
        <v>153720</v>
      </c>
      <c r="R79" s="22">
        <f t="shared" ca="1" si="62"/>
        <v>2000180</v>
      </c>
      <c r="S79" s="22">
        <f t="shared" ca="1" si="63"/>
        <v>333330</v>
      </c>
      <c r="T79" s="22">
        <f t="shared" ca="1" si="64"/>
        <v>333330</v>
      </c>
      <c r="U79" s="22">
        <f t="shared" ca="1" si="77"/>
        <v>153716</v>
      </c>
      <c r="V79" s="22">
        <f t="shared" ca="1" si="78"/>
        <v>153716</v>
      </c>
      <c r="W79" s="22">
        <f t="shared" ca="1" si="65"/>
        <v>1383333.3333333335</v>
      </c>
      <c r="X79" s="22">
        <f t="shared" ca="1" si="66"/>
        <v>1383330</v>
      </c>
      <c r="Y79" s="22">
        <f t="shared" ca="1" si="45"/>
        <v>2105120</v>
      </c>
      <c r="Z79" s="22">
        <f t="shared" ca="1" si="79"/>
        <v>161783.6</v>
      </c>
      <c r="AA79" s="22">
        <f t="shared" ca="1" si="46"/>
        <v>161780</v>
      </c>
      <c r="AB79" s="22">
        <f t="shared" ca="1" si="35"/>
        <v>66672000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2000180</v>
      </c>
      <c r="AJ79" s="22">
        <f t="shared" ca="1" si="80"/>
        <v>0</v>
      </c>
      <c r="AK79" s="22">
        <f t="shared" ca="1" si="81"/>
        <v>0</v>
      </c>
      <c r="AL79" s="69">
        <f t="shared" ca="1" si="69"/>
        <v>8</v>
      </c>
      <c r="AM79" s="69">
        <f t="shared" ca="1" si="52"/>
        <v>8</v>
      </c>
      <c r="AN79" s="4">
        <f t="shared" ca="1" si="70"/>
        <v>2028</v>
      </c>
      <c r="AO79" s="4">
        <f t="shared" ca="1" si="53"/>
        <v>2028</v>
      </c>
      <c r="AP79" s="4">
        <f t="shared" ca="1" si="54"/>
        <v>1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1</v>
      </c>
      <c r="AZ79" s="19"/>
      <c r="BC79" s="19"/>
      <c r="BD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ca="1" si="58"/>
        <v>47016</v>
      </c>
      <c r="C80" s="401"/>
      <c r="D80" s="443">
        <f ca="1">IF(N80=0,IF(N79=1,SUM(D$25:E79)," "),IF(N80=0," ",IF(N81=1,D$25,IF(N81=0,D$10-D$25*(M$14-1)," "))))</f>
        <v>333330</v>
      </c>
      <c r="E80" s="443"/>
      <c r="F80" s="84">
        <f ca="1">IF(N80=0,IF(N79=1,SUM(F$25:F79)," "),IF(M$1=1,P80,IF(M$1=2,Q80," ")))</f>
        <v>130660</v>
      </c>
      <c r="G80" s="84">
        <v>0</v>
      </c>
      <c r="H80" s="84">
        <f t="shared" ca="1" si="59"/>
        <v>463990</v>
      </c>
      <c r="I80" s="84">
        <f t="shared" ca="1" si="60"/>
        <v>350880</v>
      </c>
      <c r="J80" s="84">
        <f t="shared" ca="1" si="41"/>
        <v>137510</v>
      </c>
      <c r="K80" s="84">
        <v>0</v>
      </c>
      <c r="L80" s="84">
        <f t="shared" ca="1" si="61"/>
        <v>488390</v>
      </c>
      <c r="M80" s="4">
        <v>56</v>
      </c>
      <c r="N80" s="4">
        <f t="shared" ca="1" si="34"/>
        <v>1</v>
      </c>
      <c r="O80" s="4">
        <f t="shared" ca="1" si="42"/>
        <v>20</v>
      </c>
      <c r="P80" s="22">
        <f t="shared" ca="1" si="43"/>
        <v>130660</v>
      </c>
      <c r="Q80" s="22">
        <f t="shared" ca="1" si="44"/>
        <v>130660</v>
      </c>
      <c r="R80" s="22">
        <f t="shared" ca="1" si="62"/>
        <v>1666850</v>
      </c>
      <c r="S80" s="22">
        <f t="shared" ca="1" si="63"/>
        <v>333330</v>
      </c>
      <c r="T80" s="22">
        <f t="shared" ca="1" si="64"/>
        <v>333330</v>
      </c>
      <c r="U80" s="22">
        <f t="shared" ca="1" si="77"/>
        <v>130660.675</v>
      </c>
      <c r="V80" s="22">
        <f t="shared" ca="1" si="78"/>
        <v>130660.675</v>
      </c>
      <c r="W80" s="22">
        <f t="shared" ca="1" si="65"/>
        <v>1383333.3333333335</v>
      </c>
      <c r="X80" s="22">
        <f t="shared" ca="1" si="66"/>
        <v>1383330</v>
      </c>
      <c r="Y80" s="22">
        <f t="shared" ca="1" si="45"/>
        <v>1754240</v>
      </c>
      <c r="Z80" s="22">
        <f t="shared" ca="1" si="79"/>
        <v>137514.4</v>
      </c>
      <c r="AA80" s="22">
        <f t="shared" ca="1" si="46"/>
        <v>137510</v>
      </c>
      <c r="AB80" s="22">
        <f t="shared" ca="1" si="35"/>
        <v>56672100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1666850</v>
      </c>
      <c r="AJ80" s="22">
        <f t="shared" ca="1" si="80"/>
        <v>0</v>
      </c>
      <c r="AK80" s="22">
        <f t="shared" ca="1" si="81"/>
        <v>0</v>
      </c>
      <c r="AL80" s="69">
        <f t="shared" ca="1" si="69"/>
        <v>9</v>
      </c>
      <c r="AM80" s="69">
        <f t="shared" ca="1" si="52"/>
        <v>9</v>
      </c>
      <c r="AN80" s="4">
        <f t="shared" ca="1" si="70"/>
        <v>2028</v>
      </c>
      <c r="AO80" s="4">
        <f t="shared" ca="1" si="53"/>
        <v>2028</v>
      </c>
      <c r="AP80" s="4">
        <f t="shared" ca="1" si="54"/>
        <v>1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1</v>
      </c>
      <c r="AZ80" s="19"/>
      <c r="BC80" s="19"/>
      <c r="BD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ca="1" si="58"/>
        <v>47046</v>
      </c>
      <c r="C81" s="401"/>
      <c r="D81" s="443">
        <f ca="1">IF(N81=0,IF(N80=1,SUM(D$25:E80)," "),IF(N81=0," ",IF(N82=1,D$25,IF(N82=0,D$10-D$25*(M$14-1)," "))))</f>
        <v>333330</v>
      </c>
      <c r="E81" s="443"/>
      <c r="F81" s="84">
        <f ca="1">IF(N81=0,IF(N80=1,SUM(F$25:F80)," "),IF(M$1=1,P81,IF(M$1=2,Q81," ")))</f>
        <v>107600</v>
      </c>
      <c r="G81" s="84">
        <v>0</v>
      </c>
      <c r="H81" s="84">
        <f t="shared" ca="1" si="59"/>
        <v>440930</v>
      </c>
      <c r="I81" s="84">
        <f t="shared" ca="1" si="60"/>
        <v>350880</v>
      </c>
      <c r="J81" s="84">
        <f t="shared" ca="1" si="41"/>
        <v>113240</v>
      </c>
      <c r="K81" s="84">
        <v>0</v>
      </c>
      <c r="L81" s="84">
        <f t="shared" ca="1" si="61"/>
        <v>464120</v>
      </c>
      <c r="M81" s="4">
        <v>57</v>
      </c>
      <c r="N81" s="4">
        <f t="shared" ca="1" si="34"/>
        <v>1</v>
      </c>
      <c r="O81" s="4">
        <f t="shared" ca="1" si="42"/>
        <v>20</v>
      </c>
      <c r="P81" s="22">
        <f t="shared" ca="1" si="43"/>
        <v>107600</v>
      </c>
      <c r="Q81" s="22">
        <f t="shared" ca="1" si="44"/>
        <v>107600</v>
      </c>
      <c r="R81" s="22">
        <f t="shared" ca="1" si="62"/>
        <v>1333520</v>
      </c>
      <c r="S81" s="22">
        <f t="shared" ca="1" si="63"/>
        <v>333330</v>
      </c>
      <c r="T81" s="22">
        <f t="shared" ca="1" si="64"/>
        <v>333330</v>
      </c>
      <c r="U81" s="22">
        <f t="shared" ca="1" si="77"/>
        <v>107605.35</v>
      </c>
      <c r="V81" s="22">
        <f t="shared" ca="1" si="78"/>
        <v>107605.35</v>
      </c>
      <c r="W81" s="22">
        <f t="shared" ca="1" si="65"/>
        <v>1383333.3333333335</v>
      </c>
      <c r="X81" s="22">
        <f t="shared" ca="1" si="66"/>
        <v>1383330</v>
      </c>
      <c r="Y81" s="22">
        <f t="shared" ca="1" si="45"/>
        <v>1403360</v>
      </c>
      <c r="Z81" s="22">
        <f t="shared" ca="1" si="79"/>
        <v>113245.2</v>
      </c>
      <c r="AA81" s="22">
        <f t="shared" ca="1" si="46"/>
        <v>113240</v>
      </c>
      <c r="AB81" s="22">
        <f t="shared" ca="1" si="35"/>
        <v>46672200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1333520</v>
      </c>
      <c r="AJ81" s="22">
        <f t="shared" ca="1" si="80"/>
        <v>0</v>
      </c>
      <c r="AK81" s="22">
        <f t="shared" ca="1" si="81"/>
        <v>0</v>
      </c>
      <c r="AL81" s="69">
        <f t="shared" ca="1" si="69"/>
        <v>10</v>
      </c>
      <c r="AM81" s="69">
        <f t="shared" ca="1" si="52"/>
        <v>10</v>
      </c>
      <c r="AN81" s="4">
        <f t="shared" ca="1" si="70"/>
        <v>2028</v>
      </c>
      <c r="AO81" s="4">
        <f t="shared" ca="1" si="53"/>
        <v>2028</v>
      </c>
      <c r="AP81" s="4">
        <f t="shared" ca="1" si="54"/>
        <v>1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1</v>
      </c>
      <c r="AZ81" s="19"/>
      <c r="BC81" s="19"/>
      <c r="BD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ca="1" si="58"/>
        <v>47077</v>
      </c>
      <c r="C82" s="401"/>
      <c r="D82" s="443">
        <f ca="1">IF(N82=0,IF(N81=1,SUM(D$25:E81)," "),IF(N82=0," ",IF(N83=1,D$25,IF(N83=0,D$10-D$25*(M$14-1)," "))))</f>
        <v>333330</v>
      </c>
      <c r="E82" s="443"/>
      <c r="F82" s="84">
        <f ca="1">IF(N82=0,IF(N81=1,SUM(F$25:F81)," "),IF(M$1=1,P82,IF(M$1=2,Q82," ")))</f>
        <v>84550</v>
      </c>
      <c r="G82" s="84">
        <v>0</v>
      </c>
      <c r="H82" s="84">
        <f t="shared" ca="1" si="59"/>
        <v>417880</v>
      </c>
      <c r="I82" s="84">
        <f t="shared" ca="1" si="60"/>
        <v>350880</v>
      </c>
      <c r="J82" s="84">
        <f t="shared" ca="1" si="41"/>
        <v>88980</v>
      </c>
      <c r="K82" s="84">
        <v>0</v>
      </c>
      <c r="L82" s="84">
        <f t="shared" ca="1" si="61"/>
        <v>439860</v>
      </c>
      <c r="M82" s="4">
        <v>58</v>
      </c>
      <c r="N82" s="4">
        <f t="shared" ca="1" si="34"/>
        <v>1</v>
      </c>
      <c r="O82" s="4">
        <f t="shared" ca="1" si="42"/>
        <v>20</v>
      </c>
      <c r="P82" s="22">
        <f t="shared" ca="1" si="43"/>
        <v>84550</v>
      </c>
      <c r="Q82" s="22">
        <f t="shared" ca="1" si="44"/>
        <v>84550</v>
      </c>
      <c r="R82" s="22">
        <f t="shared" ca="1" si="62"/>
        <v>1000190</v>
      </c>
      <c r="S82" s="22">
        <f t="shared" ca="1" si="63"/>
        <v>333330</v>
      </c>
      <c r="T82" s="22">
        <f t="shared" ca="1" si="64"/>
        <v>333330</v>
      </c>
      <c r="U82" s="22">
        <f t="shared" ca="1" si="77"/>
        <v>84550.024999999994</v>
      </c>
      <c r="V82" s="22">
        <f t="shared" ca="1" si="78"/>
        <v>84550.024999999994</v>
      </c>
      <c r="W82" s="22">
        <f t="shared" ca="1" si="65"/>
        <v>1383333.3333333335</v>
      </c>
      <c r="X82" s="22">
        <f t="shared" ca="1" si="66"/>
        <v>1383330</v>
      </c>
      <c r="Y82" s="22">
        <f t="shared" ca="1" si="45"/>
        <v>1052480</v>
      </c>
      <c r="Z82" s="22">
        <f t="shared" ca="1" si="79"/>
        <v>88976</v>
      </c>
      <c r="AA82" s="22">
        <f t="shared" ca="1" si="46"/>
        <v>88980</v>
      </c>
      <c r="AB82" s="22">
        <f t="shared" ca="1" si="35"/>
        <v>36672300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1000190</v>
      </c>
      <c r="AJ82" s="22">
        <f t="shared" ca="1" si="80"/>
        <v>0</v>
      </c>
      <c r="AK82" s="22">
        <f t="shared" ca="1" si="81"/>
        <v>0</v>
      </c>
      <c r="AL82" s="69">
        <f t="shared" ca="1" si="69"/>
        <v>11</v>
      </c>
      <c r="AM82" s="69">
        <f t="shared" ca="1" si="52"/>
        <v>11</v>
      </c>
      <c r="AN82" s="4">
        <f t="shared" ca="1" si="70"/>
        <v>2028</v>
      </c>
      <c r="AO82" s="4">
        <f t="shared" ca="1" si="53"/>
        <v>2028</v>
      </c>
      <c r="AP82" s="4">
        <f t="shared" ca="1" si="54"/>
        <v>1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19"/>
      <c r="AU82" s="19"/>
      <c r="AV82" s="19"/>
      <c r="AW82" s="19"/>
      <c r="AX82" s="19"/>
      <c r="AY82" s="4">
        <f t="shared" ca="1" si="57"/>
        <v>1</v>
      </c>
      <c r="AZ82" s="19"/>
      <c r="BC82" s="19"/>
      <c r="BD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ca="1" si="58"/>
        <v>47107</v>
      </c>
      <c r="C83" s="401"/>
      <c r="D83" s="443">
        <f ca="1">IF(N83=0,IF(N82=1,SUM(D$25:E82)," "),IF(N83=0," ",IF(N84=1,D$25,IF(N84=0,D$10-D$25*(M$14-1)," "))))</f>
        <v>333330</v>
      </c>
      <c r="E83" s="443"/>
      <c r="F83" s="84">
        <f ca="1">IF(N83=0,IF(N82=1,SUM(F$25:F82)," "),IF(M$1=1,P83,IF(M$1=2,Q83," ")))</f>
        <v>61490</v>
      </c>
      <c r="G83" s="84">
        <v>0</v>
      </c>
      <c r="H83" s="84">
        <f t="shared" ca="1" si="59"/>
        <v>394820</v>
      </c>
      <c r="I83" s="84">
        <f t="shared" ca="1" si="60"/>
        <v>350880</v>
      </c>
      <c r="J83" s="84">
        <f t="shared" ca="1" si="41"/>
        <v>64710</v>
      </c>
      <c r="K83" s="84">
        <v>0</v>
      </c>
      <c r="L83" s="84">
        <f t="shared" ca="1" si="61"/>
        <v>415590</v>
      </c>
      <c r="M83" s="4">
        <v>59</v>
      </c>
      <c r="N83" s="4">
        <f t="shared" ca="1" si="34"/>
        <v>1</v>
      </c>
      <c r="O83" s="4">
        <f t="shared" ca="1" si="42"/>
        <v>20</v>
      </c>
      <c r="P83" s="22">
        <f t="shared" ca="1" si="43"/>
        <v>61490</v>
      </c>
      <c r="Q83" s="22">
        <f t="shared" ca="1" si="44"/>
        <v>61490</v>
      </c>
      <c r="R83" s="22">
        <f t="shared" ca="1" si="62"/>
        <v>666860</v>
      </c>
      <c r="S83" s="22">
        <f t="shared" ca="1" si="63"/>
        <v>333330</v>
      </c>
      <c r="T83" s="22">
        <f t="shared" ca="1" si="64"/>
        <v>333330</v>
      </c>
      <c r="U83" s="22">
        <f t="shared" ca="1" si="77"/>
        <v>61494.7</v>
      </c>
      <c r="V83" s="22">
        <f t="shared" ca="1" si="78"/>
        <v>61494.7</v>
      </c>
      <c r="W83" s="22">
        <f t="shared" ca="1" si="65"/>
        <v>1383333.3333333335</v>
      </c>
      <c r="X83" s="22">
        <f t="shared" ca="1" si="66"/>
        <v>1383330</v>
      </c>
      <c r="Y83" s="22">
        <f t="shared" ca="1" si="45"/>
        <v>701600</v>
      </c>
      <c r="Z83" s="22">
        <f t="shared" ca="1" si="79"/>
        <v>64706.8</v>
      </c>
      <c r="AA83" s="22">
        <f t="shared" ca="1" si="46"/>
        <v>64710</v>
      </c>
      <c r="AB83" s="22">
        <f t="shared" ca="1" si="35"/>
        <v>26672400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666860</v>
      </c>
      <c r="AJ83" s="22">
        <f t="shared" ca="1" si="80"/>
        <v>0</v>
      </c>
      <c r="AK83" s="22">
        <f t="shared" ca="1" si="81"/>
        <v>0</v>
      </c>
      <c r="AL83" s="69">
        <f t="shared" ca="1" si="69"/>
        <v>12</v>
      </c>
      <c r="AM83" s="69">
        <f t="shared" ca="1" si="52"/>
        <v>12</v>
      </c>
      <c r="AN83" s="4">
        <f t="shared" ca="1" si="70"/>
        <v>2028</v>
      </c>
      <c r="AO83" s="4">
        <f t="shared" ca="1" si="53"/>
        <v>2028</v>
      </c>
      <c r="AP83" s="4">
        <f t="shared" ca="1" si="54"/>
        <v>1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1</v>
      </c>
      <c r="AZ83" s="19"/>
      <c r="BC83" s="19"/>
      <c r="BD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ca="1" si="58"/>
        <v>47120</v>
      </c>
      <c r="C84" s="401"/>
      <c r="D84" s="443">
        <f ca="1">IF(N84=0,IF(N83=1,SUM(D$25:E83)," "),IF(N84=0," ",IF(N85=1,D$25,IF(N85=0,D$10-D$25*(M$14-1)," "))))</f>
        <v>333530</v>
      </c>
      <c r="E84" s="443"/>
      <c r="F84" s="84">
        <f ca="1">IF(N84=0,IF(N83=1,SUM(F$25:F83)," "),IF(M$1=1,P84,IF(M$1=2,Q84," ")))</f>
        <v>39980</v>
      </c>
      <c r="G84" s="84">
        <v>0</v>
      </c>
      <c r="H84" s="84">
        <f t="shared" ca="1" si="59"/>
        <v>373510</v>
      </c>
      <c r="I84" s="84">
        <f t="shared" ca="1" si="60"/>
        <v>350720</v>
      </c>
      <c r="J84" s="84">
        <f t="shared" ca="1" si="41"/>
        <v>42050</v>
      </c>
      <c r="K84" s="84">
        <v>0</v>
      </c>
      <c r="L84" s="84">
        <f t="shared" ca="1" si="61"/>
        <v>392770</v>
      </c>
      <c r="M84" s="4">
        <v>60</v>
      </c>
      <c r="N84" s="4">
        <f t="shared" ca="1" si="34"/>
        <v>1</v>
      </c>
      <c r="O84" s="4">
        <f t="shared" ca="1" si="42"/>
        <v>2</v>
      </c>
      <c r="P84" s="22">
        <f t="shared" ca="1" si="43"/>
        <v>39980</v>
      </c>
      <c r="Q84" s="22">
        <f t="shared" ca="1" si="44"/>
        <v>39980</v>
      </c>
      <c r="R84" s="22">
        <f t="shared" ca="1" si="62"/>
        <v>333530</v>
      </c>
      <c r="S84" s="22">
        <f t="shared" ca="1" si="63"/>
        <v>333530</v>
      </c>
      <c r="T84" s="22">
        <f t="shared" ca="1" si="64"/>
        <v>333530</v>
      </c>
      <c r="U84" s="22">
        <f t="shared" ca="1" si="77"/>
        <v>39977.318888888891</v>
      </c>
      <c r="V84" s="22">
        <f t="shared" ca="1" si="78"/>
        <v>39977.318888888891</v>
      </c>
      <c r="W84" s="22">
        <f t="shared" ca="1" si="65"/>
        <v>1475555.5555555555</v>
      </c>
      <c r="X84" s="22">
        <f t="shared" ca="1" si="66"/>
        <v>1475560</v>
      </c>
      <c r="Y84" s="22">
        <f t="shared" ca="1" si="45"/>
        <v>350720</v>
      </c>
      <c r="Z84" s="22">
        <f t="shared" ca="1" si="79"/>
        <v>42054.808888888889</v>
      </c>
      <c r="AA84" s="22">
        <f t="shared" ca="1" si="46"/>
        <v>42050</v>
      </c>
      <c r="AB84" s="22">
        <f t="shared" ca="1" si="35"/>
        <v>667060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333530</v>
      </c>
      <c r="AJ84" s="22">
        <f t="shared" ca="1" si="80"/>
        <v>0</v>
      </c>
      <c r="AK84" s="22">
        <f t="shared" ca="1" si="81"/>
        <v>0</v>
      </c>
      <c r="AL84" s="69">
        <f t="shared" ca="1" si="69"/>
        <v>13</v>
      </c>
      <c r="AM84" s="69">
        <f t="shared" ca="1" si="52"/>
        <v>1</v>
      </c>
      <c r="AN84" s="4">
        <f t="shared" ca="1" si="70"/>
        <v>2028</v>
      </c>
      <c r="AO84" s="4">
        <f t="shared" ca="1" si="53"/>
        <v>2029</v>
      </c>
      <c r="AP84" s="4">
        <f t="shared" ca="1" si="54"/>
        <v>1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1</v>
      </c>
      <c r="AZ84" s="19"/>
      <c r="BC84" s="19"/>
      <c r="BD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>ИТОГО</v>
      </c>
      <c r="C85" s="401"/>
      <c r="D85" s="443">
        <f ca="1">IF(N85=0,IF(N84=1,SUM(D$25:E84)," "),IF(N85=0," ",IF(N86=1,D$25,IF(N86=0,D$10-D$25*(M$14-1)," "))))</f>
        <v>20000000</v>
      </c>
      <c r="E85" s="443"/>
      <c r="F85" s="84">
        <f ca="1">IF(N85=0,IF(N84=1,SUM(F$25:F84)," "),IF(M$1=1,P85,IF(M$1=2,Q85," ")))</f>
        <v>42962100</v>
      </c>
      <c r="G85" s="84">
        <v>0</v>
      </c>
      <c r="H85" s="84">
        <f t="shared" ca="1" si="59"/>
        <v>62962100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>
        <f t="shared" ca="1" si="63"/>
        <v>20000000</v>
      </c>
      <c r="T85" s="22">
        <f t="shared" ca="1" si="64"/>
        <v>20000000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IF(N86=1,Y85*G$12*20/36000+Y85*G$12*10/36000,IF(N86=0,IF(N85=0,0,Y85*G$12*Q$12/36000)))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C85" s="19"/>
      <c r="BD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42962100</v>
      </c>
      <c r="Q86" s="71">
        <f ca="1">SUM(Q25:Q85)</f>
        <v>42962100</v>
      </c>
      <c r="R86" s="71">
        <f ca="1">SUM(R25:R85)</f>
        <v>610005900</v>
      </c>
      <c r="S86" s="71"/>
      <c r="T86" s="71"/>
      <c r="U86" s="71">
        <f ca="1">SUM(U25:U85)</f>
        <v>42962122.143888891</v>
      </c>
      <c r="V86" s="71">
        <f ca="1">SUM(V25:V85)</f>
        <v>42962122.143888891</v>
      </c>
      <c r="W86" s="71">
        <f ca="1">SUM(W25:W85)</f>
        <v>82953888.888888881</v>
      </c>
      <c r="X86" s="71">
        <f ca="1">SUM(X25:X85)</f>
        <v>82953700</v>
      </c>
      <c r="Y86" s="71"/>
      <c r="Z86" s="71"/>
      <c r="AA86" s="71"/>
      <c r="AB86" s="71">
        <f ca="1">SUM(AB25:AB85)</f>
        <v>18617500960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610005900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A86" s="43"/>
      <c r="BB86" s="43"/>
    </row>
    <row r="87" spans="1:141" ht="67.5" hidden="1" customHeight="1">
      <c r="A87" s="99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6.2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A92" s="24"/>
      <c r="BB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107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A93" s="24"/>
      <c r="BB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A94" s="24"/>
      <c r="BB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A95" s="24"/>
      <c r="BB95" s="24"/>
    </row>
    <row r="96" spans="1:141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A96" s="122"/>
      <c r="BB96" s="122"/>
    </row>
    <row r="97" spans="1:54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A97" s="122"/>
      <c r="BB97" s="122"/>
    </row>
    <row r="98" spans="1:54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67"/>
      <c r="J98" s="67"/>
      <c r="K98" s="67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A98" s="122"/>
      <c r="BB98" s="122"/>
    </row>
    <row r="99" spans="1:54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A99" s="122"/>
      <c r="BB99" s="122"/>
    </row>
    <row r="100" spans="1:54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A100" s="122"/>
      <c r="BB100" s="122"/>
    </row>
    <row r="101" spans="1:54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A101" s="122"/>
      <c r="BB101" s="122"/>
    </row>
    <row r="102" spans="1:54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A102" s="122"/>
      <c r="BB102" s="122"/>
    </row>
    <row r="103" spans="1:54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A103" s="122"/>
      <c r="BB103" s="122"/>
    </row>
    <row r="104" spans="1:54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A104" s="122"/>
      <c r="BB104" s="122"/>
    </row>
    <row r="105" spans="1:54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A105" s="122"/>
      <c r="BB105" s="122"/>
    </row>
    <row r="106" spans="1:54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A106" s="122"/>
      <c r="BB106" s="122"/>
    </row>
    <row r="107" spans="1:54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A107" s="122"/>
      <c r="BB107" s="122"/>
    </row>
    <row r="108" spans="1:54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A108" s="122"/>
      <c r="BB108" s="122"/>
    </row>
    <row r="109" spans="1:54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A109" s="122"/>
      <c r="BB109" s="122"/>
    </row>
    <row r="110" spans="1:54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A110" s="122"/>
      <c r="BB110" s="122"/>
    </row>
    <row r="111" spans="1:54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A111" s="122"/>
      <c r="BB111" s="122"/>
    </row>
    <row r="112" spans="1:54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A112" s="122"/>
      <c r="BB112" s="122"/>
    </row>
    <row r="113" spans="1:54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A113" s="122"/>
      <c r="BB113" s="122"/>
    </row>
    <row r="114" spans="1:54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A114" s="122"/>
      <c r="BB114" s="122"/>
    </row>
    <row r="115" spans="1:54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A115" s="122"/>
      <c r="BB115" s="122"/>
    </row>
    <row r="116" spans="1:54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A116" s="122"/>
      <c r="BB116" s="122"/>
    </row>
    <row r="117" spans="1:54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A117" s="122"/>
      <c r="BB117" s="122"/>
    </row>
    <row r="118" spans="1:54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A118" s="122"/>
      <c r="BB118" s="122"/>
    </row>
    <row r="119" spans="1:54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A119" s="122"/>
      <c r="BB119" s="122"/>
    </row>
    <row r="120" spans="1:54" s="34" customFormat="1" ht="30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A120" s="122"/>
      <c r="BB120" s="122"/>
    </row>
    <row r="121" spans="1:54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A121" s="122"/>
      <c r="BB121" s="122"/>
    </row>
    <row r="122" spans="1:54" s="34" customFormat="1" ht="31.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A122" s="122"/>
      <c r="BB122" s="122"/>
    </row>
    <row r="123" spans="1:54" s="34" customFormat="1" ht="51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A123" s="122"/>
      <c r="BB123" s="122"/>
    </row>
    <row r="124" spans="1:54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A124" s="122"/>
      <c r="BB124" s="122"/>
    </row>
    <row r="125" spans="1:54" s="34" customFormat="1" ht="50.25" customHeight="1">
      <c r="A125" s="32"/>
      <c r="B125" s="456" t="s">
        <v>199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A125" s="122"/>
      <c r="BB125" s="122"/>
    </row>
    <row r="126" spans="1:54" s="34" customFormat="1" ht="48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A126" s="122"/>
      <c r="BB126" s="122"/>
    </row>
    <row r="127" spans="1:54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A127" s="122"/>
      <c r="BB127" s="122"/>
    </row>
    <row r="128" spans="1:54" s="34" customFormat="1" ht="36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A128" s="122"/>
      <c r="BB128" s="122"/>
    </row>
    <row r="129" spans="1:54" s="34" customFormat="1" ht="28.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A129" s="122"/>
      <c r="BB129" s="122"/>
    </row>
    <row r="130" spans="1:54" s="34" customFormat="1" ht="36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A130" s="122"/>
      <c r="BB130" s="122"/>
    </row>
    <row r="131" spans="1:54" s="34" customFormat="1" ht="36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A131" s="122"/>
      <c r="BB131" s="122"/>
    </row>
    <row r="132" spans="1:54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A132" s="122"/>
      <c r="BB132" s="122"/>
    </row>
    <row r="133" spans="1:54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A133" s="122"/>
      <c r="BB133" s="122"/>
    </row>
    <row r="134" spans="1:54" s="34" customFormat="1" ht="14.2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A134" s="122"/>
      <c r="BB134" s="122"/>
    </row>
    <row r="135" spans="1:54" s="34" customFormat="1" ht="31.5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A135" s="122"/>
      <c r="BB135" s="122"/>
    </row>
    <row r="136" spans="1:54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A136" s="122"/>
      <c r="BB136" s="122"/>
    </row>
    <row r="137" spans="1:54" s="34" customFormat="1" ht="53.2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A137" s="122"/>
      <c r="BB137" s="122"/>
    </row>
    <row r="138" spans="1:54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A138" s="122"/>
      <c r="BB138" s="122"/>
    </row>
    <row r="139" spans="1:54" s="34" customFormat="1" ht="12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A139" s="122"/>
      <c r="BB139" s="122"/>
    </row>
    <row r="140" spans="1:54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A140" s="122"/>
      <c r="BB140" s="122"/>
    </row>
    <row r="141" spans="1:54" s="34" customFormat="1" ht="11.2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A141" s="122"/>
      <c r="BB141" s="122"/>
    </row>
    <row r="142" spans="1:54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A142" s="122"/>
      <c r="BB142" s="122"/>
    </row>
    <row r="143" spans="1:54" s="34" customFormat="1" ht="39.7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A143" s="122"/>
      <c r="BB143" s="122"/>
    </row>
    <row r="144" spans="1:54" s="34" customFormat="1" ht="43.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A144" s="122"/>
      <c r="BB144" s="122"/>
    </row>
    <row r="145" spans="1:54" s="34" customFormat="1" ht="53.2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A145" s="122"/>
      <c r="BB145" s="122"/>
    </row>
    <row r="146" spans="1:54" s="34" customFormat="1" ht="19.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A146" s="122"/>
      <c r="BB146" s="122"/>
    </row>
    <row r="147" spans="1:54" s="34" customFormat="1" ht="81.7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A147" s="122"/>
      <c r="BB147" s="122"/>
    </row>
    <row r="148" spans="1:54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A148" s="122"/>
      <c r="BB148" s="122"/>
    </row>
    <row r="149" spans="1:54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4" ht="16.5" thickBot="1">
      <c r="A150" s="2"/>
      <c r="B150" s="465">
        <f ca="1">IF(A150=0,TODAY(),A150)</f>
        <v>45294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50:C50"/>
    <mergeCell ref="D30:E30"/>
    <mergeCell ref="D38:E38"/>
    <mergeCell ref="D33:E33"/>
    <mergeCell ref="D31:E31"/>
    <mergeCell ref="B32:C32"/>
    <mergeCell ref="B64:C64"/>
    <mergeCell ref="B54:C54"/>
    <mergeCell ref="D54:E54"/>
    <mergeCell ref="B56:C56"/>
    <mergeCell ref="D37:E37"/>
    <mergeCell ref="B36:C36"/>
    <mergeCell ref="D36:E36"/>
    <mergeCell ref="B37:C37"/>
    <mergeCell ref="D40:E40"/>
    <mergeCell ref="B43:C43"/>
    <mergeCell ref="D43:E43"/>
    <mergeCell ref="B31:C31"/>
    <mergeCell ref="B33:C33"/>
    <mergeCell ref="B41:C41"/>
    <mergeCell ref="D41:E41"/>
    <mergeCell ref="B42:C42"/>
    <mergeCell ref="D42:E42"/>
    <mergeCell ref="B52:C52"/>
    <mergeCell ref="D52:E52"/>
    <mergeCell ref="B65:C65"/>
    <mergeCell ref="D65:E65"/>
    <mergeCell ref="B53:C53"/>
    <mergeCell ref="D53:E53"/>
    <mergeCell ref="B60:C60"/>
    <mergeCell ref="D60:E60"/>
    <mergeCell ref="B59:C59"/>
    <mergeCell ref="D59:E59"/>
    <mergeCell ref="B61:C61"/>
    <mergeCell ref="D61:E61"/>
    <mergeCell ref="B63:C63"/>
    <mergeCell ref="D63:E63"/>
    <mergeCell ref="D64:E64"/>
    <mergeCell ref="B66:C66"/>
    <mergeCell ref="D66:E66"/>
    <mergeCell ref="B68:C68"/>
    <mergeCell ref="D68:E68"/>
    <mergeCell ref="B74:C74"/>
    <mergeCell ref="D74:E74"/>
    <mergeCell ref="B87:K87"/>
    <mergeCell ref="D71:E71"/>
    <mergeCell ref="B72:C72"/>
    <mergeCell ref="D72:E72"/>
    <mergeCell ref="B73:C73"/>
    <mergeCell ref="D73:E73"/>
    <mergeCell ref="B67:C67"/>
    <mergeCell ref="D67:E67"/>
    <mergeCell ref="B70:C70"/>
    <mergeCell ref="D70:E70"/>
    <mergeCell ref="B71:C71"/>
    <mergeCell ref="D83:E83"/>
    <mergeCell ref="D75:E75"/>
    <mergeCell ref="B82:C82"/>
    <mergeCell ref="B79:C79"/>
    <mergeCell ref="B69:C69"/>
    <mergeCell ref="D69:E69"/>
    <mergeCell ref="B75:C75"/>
    <mergeCell ref="I23:L23"/>
    <mergeCell ref="D17:F17"/>
    <mergeCell ref="B17:C17"/>
    <mergeCell ref="B18:C18"/>
    <mergeCell ref="D18:F18"/>
    <mergeCell ref="D19:F19"/>
    <mergeCell ref="D20:F20"/>
    <mergeCell ref="D21:F21"/>
    <mergeCell ref="D22:E22"/>
    <mergeCell ref="B23:C24"/>
    <mergeCell ref="D23:H23"/>
    <mergeCell ref="D24:E24"/>
    <mergeCell ref="B14:C14"/>
    <mergeCell ref="M11:P11"/>
    <mergeCell ref="B12:C12"/>
    <mergeCell ref="D12:E12"/>
    <mergeCell ref="M12:P12"/>
    <mergeCell ref="B11:C11"/>
    <mergeCell ref="D11:E11"/>
    <mergeCell ref="N1:Q1"/>
    <mergeCell ref="B7:C7"/>
    <mergeCell ref="D7:F7"/>
    <mergeCell ref="B5:I5"/>
    <mergeCell ref="D10:E10"/>
    <mergeCell ref="F1:H4"/>
    <mergeCell ref="B8:C8"/>
    <mergeCell ref="D8:F8"/>
    <mergeCell ref="B10:C10"/>
    <mergeCell ref="D14:E14"/>
    <mergeCell ref="B13:C13"/>
    <mergeCell ref="D13:F13"/>
    <mergeCell ref="B40:C40"/>
    <mergeCell ref="D16:E16"/>
    <mergeCell ref="B15:C15"/>
    <mergeCell ref="D15:E15"/>
    <mergeCell ref="B16:C16"/>
    <mergeCell ref="B25:C25"/>
    <mergeCell ref="B26:C26"/>
    <mergeCell ref="B28:C28"/>
    <mergeCell ref="B35:C35"/>
    <mergeCell ref="B29:C29"/>
    <mergeCell ref="B27:C27"/>
    <mergeCell ref="B30:C30"/>
    <mergeCell ref="D27:E27"/>
    <mergeCell ref="D25:E25"/>
    <mergeCell ref="D35:E35"/>
    <mergeCell ref="D26:E26"/>
    <mergeCell ref="D34:E34"/>
    <mergeCell ref="D32:E32"/>
    <mergeCell ref="D29:E29"/>
    <mergeCell ref="D28:E28"/>
    <mergeCell ref="B34:C34"/>
    <mergeCell ref="B39:C39"/>
    <mergeCell ref="D39:E39"/>
    <mergeCell ref="B38:C38"/>
    <mergeCell ref="B44:C44"/>
    <mergeCell ref="D44:E44"/>
    <mergeCell ref="B49:C49"/>
    <mergeCell ref="D49:E49"/>
    <mergeCell ref="B45:C45"/>
    <mergeCell ref="D45:E45"/>
    <mergeCell ref="B62:C62"/>
    <mergeCell ref="D62:E62"/>
    <mergeCell ref="B48:C48"/>
    <mergeCell ref="D48:E48"/>
    <mergeCell ref="B46:C46"/>
    <mergeCell ref="D46:E46"/>
    <mergeCell ref="D55:E55"/>
    <mergeCell ref="D56:E56"/>
    <mergeCell ref="B55:C55"/>
    <mergeCell ref="B51:C51"/>
    <mergeCell ref="D50:E50"/>
    <mergeCell ref="D51:E51"/>
    <mergeCell ref="B57:C57"/>
    <mergeCell ref="D57:E57"/>
    <mergeCell ref="B58:C58"/>
    <mergeCell ref="D58:E58"/>
    <mergeCell ref="B47:C47"/>
    <mergeCell ref="D47:E47"/>
    <mergeCell ref="P94:Q94"/>
    <mergeCell ref="B93:J93"/>
    <mergeCell ref="B86:C86"/>
    <mergeCell ref="D86:E86"/>
    <mergeCell ref="B92:J92"/>
    <mergeCell ref="B89:H89"/>
    <mergeCell ref="D85:E85"/>
    <mergeCell ref="B78:C78"/>
    <mergeCell ref="D78:E78"/>
    <mergeCell ref="N94:O94"/>
    <mergeCell ref="D79:E79"/>
    <mergeCell ref="B81:C81"/>
    <mergeCell ref="D81:E81"/>
    <mergeCell ref="B84:C84"/>
    <mergeCell ref="B80:C80"/>
    <mergeCell ref="D80:E80"/>
    <mergeCell ref="D82:E82"/>
    <mergeCell ref="B83:C83"/>
    <mergeCell ref="B76:C76"/>
    <mergeCell ref="D76:E76"/>
    <mergeCell ref="B77:C77"/>
    <mergeCell ref="D77:E77"/>
    <mergeCell ref="B150:C150"/>
    <mergeCell ref="D150:F150"/>
    <mergeCell ref="G150:H150"/>
    <mergeCell ref="B122:L122"/>
    <mergeCell ref="B131:L131"/>
    <mergeCell ref="B149:L149"/>
    <mergeCell ref="B125:L125"/>
    <mergeCell ref="B96:H96"/>
    <mergeCell ref="D84:E84"/>
    <mergeCell ref="B105:K105"/>
    <mergeCell ref="B124:L124"/>
    <mergeCell ref="B107:K107"/>
    <mergeCell ref="B108:K108"/>
    <mergeCell ref="B85:C85"/>
    <mergeCell ref="B123:L123"/>
    <mergeCell ref="B113:K113"/>
    <mergeCell ref="B99:K99"/>
    <mergeCell ref="B101:K101"/>
    <mergeCell ref="B104:K104"/>
    <mergeCell ref="B102:K102"/>
    <mergeCell ref="B103:K103"/>
    <mergeCell ref="B98:H98"/>
    <mergeCell ref="B97:K97"/>
    <mergeCell ref="B136:H136"/>
    <mergeCell ref="B121:L121"/>
    <mergeCell ref="B126:L126"/>
    <mergeCell ref="B127:L127"/>
    <mergeCell ref="B133:L133"/>
    <mergeCell ref="B134:L134"/>
    <mergeCell ref="B128:L128"/>
    <mergeCell ref="B100:K100"/>
    <mergeCell ref="B109:K109"/>
    <mergeCell ref="B110:K110"/>
    <mergeCell ref="B115:K115"/>
    <mergeCell ref="B106:K106"/>
    <mergeCell ref="B114:K114"/>
    <mergeCell ref="B120:L120"/>
    <mergeCell ref="B116:K116"/>
    <mergeCell ref="B117:K117"/>
    <mergeCell ref="B119:K119"/>
    <mergeCell ref="B112:K112"/>
    <mergeCell ref="B111:K111"/>
    <mergeCell ref="B118:K118"/>
    <mergeCell ref="B129:L129"/>
    <mergeCell ref="B132:L132"/>
    <mergeCell ref="B130:L130"/>
    <mergeCell ref="B147:L147"/>
    <mergeCell ref="B148:L148"/>
    <mergeCell ref="B144:H144"/>
    <mergeCell ref="I144:L144"/>
    <mergeCell ref="B146:H146"/>
    <mergeCell ref="I146:L146"/>
    <mergeCell ref="I145:L145"/>
    <mergeCell ref="B145:H145"/>
    <mergeCell ref="B135:H135"/>
    <mergeCell ref="I136:L136"/>
    <mergeCell ref="B143:H143"/>
    <mergeCell ref="I143:L143"/>
    <mergeCell ref="B140:L140"/>
    <mergeCell ref="B137:H137"/>
    <mergeCell ref="B139:L139"/>
    <mergeCell ref="I142:L142"/>
    <mergeCell ref="B141:L141"/>
    <mergeCell ref="B142:H142"/>
    <mergeCell ref="I135:L135"/>
    <mergeCell ref="I138:L138"/>
    <mergeCell ref="I137:L137"/>
    <mergeCell ref="B138:H138"/>
  </mergeCells>
  <phoneticPr fontId="22" type="noConversion"/>
  <conditionalFormatting sqref="A11 A14:A15">
    <cfRule type="cellIs" dxfId="440" priority="34" stopIfTrue="1" operator="greaterThan">
      <formula>61</formula>
    </cfRule>
    <cfRule type="expression" dxfId="439" priority="35" stopIfTrue="1">
      <formula>$A$24</formula>
    </cfRule>
  </conditionalFormatting>
  <conditionalFormatting sqref="B26:C85 D48:F85 H48:H85">
    <cfRule type="expression" dxfId="438" priority="1" stopIfTrue="1">
      <formula>$N26</formula>
    </cfRule>
  </conditionalFormatting>
  <conditionalFormatting sqref="B18:F18">
    <cfRule type="expression" dxfId="437" priority="26" stopIfTrue="1">
      <formula>$M$8</formula>
    </cfRule>
  </conditionalFormatting>
  <conditionalFormatting sqref="B25:H25">
    <cfRule type="expression" dxfId="436" priority="7" stopIfTrue="1">
      <formula>$N$25</formula>
    </cfRule>
  </conditionalFormatting>
  <conditionalFormatting sqref="B96:I119">
    <cfRule type="expression" dxfId="435" priority="4" stopIfTrue="1">
      <formula>A96</formula>
    </cfRule>
  </conditionalFormatting>
  <conditionalFormatting sqref="D12:E12">
    <cfRule type="expression" dxfId="434" priority="33" stopIfTrue="1">
      <formula>$A$24</formula>
    </cfRule>
  </conditionalFormatting>
  <conditionalFormatting sqref="D39:F39 H39">
    <cfRule type="expression" dxfId="433" priority="21" stopIfTrue="1">
      <formula>$N$39</formula>
    </cfRule>
  </conditionalFormatting>
  <conditionalFormatting sqref="D40:F40 H40">
    <cfRule type="expression" dxfId="432" priority="22" stopIfTrue="1">
      <formula>$N$40</formula>
    </cfRule>
  </conditionalFormatting>
  <conditionalFormatting sqref="D41:F41 H41">
    <cfRule type="expression" dxfId="431" priority="23" stopIfTrue="1">
      <formula>$N$41</formula>
    </cfRule>
  </conditionalFormatting>
  <conditionalFormatting sqref="D42:F42 H42">
    <cfRule type="expression" dxfId="430" priority="24" stopIfTrue="1">
      <formula>$N$42</formula>
    </cfRule>
  </conditionalFormatting>
  <conditionalFormatting sqref="D43:F43 H43">
    <cfRule type="expression" dxfId="429" priority="28" stopIfTrue="1">
      <formula>$N$43</formula>
    </cfRule>
  </conditionalFormatting>
  <conditionalFormatting sqref="D44:F44 H44">
    <cfRule type="expression" dxfId="428" priority="29" stopIfTrue="1">
      <formula>$N$44</formula>
    </cfRule>
  </conditionalFormatting>
  <conditionalFormatting sqref="D45:F45 H45">
    <cfRule type="expression" dxfId="427" priority="30" stopIfTrue="1">
      <formula>$N$45</formula>
    </cfRule>
  </conditionalFormatting>
  <conditionalFormatting sqref="D46:F46 H46">
    <cfRule type="expression" dxfId="426" priority="31" stopIfTrue="1">
      <formula>$N$46</formula>
    </cfRule>
  </conditionalFormatting>
  <conditionalFormatting sqref="D47:F47 H47">
    <cfRule type="expression" dxfId="425" priority="32" stopIfTrue="1">
      <formula>$N$47</formula>
    </cfRule>
  </conditionalFormatting>
  <conditionalFormatting sqref="D26:H26">
    <cfRule type="expression" dxfId="424" priority="8" stopIfTrue="1">
      <formula>$N$26</formula>
    </cfRule>
  </conditionalFormatting>
  <conditionalFormatting sqref="D27:H27">
    <cfRule type="expression" dxfId="423" priority="9" stopIfTrue="1">
      <formula>$N$27</formula>
    </cfRule>
  </conditionalFormatting>
  <conditionalFormatting sqref="D28:H28">
    <cfRule type="expression" dxfId="422" priority="10" stopIfTrue="1">
      <formula>$N$28</formula>
    </cfRule>
  </conditionalFormatting>
  <conditionalFormatting sqref="D29:H29">
    <cfRule type="expression" dxfId="421" priority="11" stopIfTrue="1">
      <formula>$N$29</formula>
    </cfRule>
  </conditionalFormatting>
  <conditionalFormatting sqref="D30:H30">
    <cfRule type="expression" dxfId="420" priority="12" stopIfTrue="1">
      <formula>$N$30</formula>
    </cfRule>
  </conditionalFormatting>
  <conditionalFormatting sqref="D31:H31">
    <cfRule type="expression" dxfId="419" priority="13" stopIfTrue="1">
      <formula>$N$31</formula>
    </cfRule>
  </conditionalFormatting>
  <conditionalFormatting sqref="D32:H32">
    <cfRule type="expression" dxfId="418" priority="14" stopIfTrue="1">
      <formula>$N$32</formula>
    </cfRule>
  </conditionalFormatting>
  <conditionalFormatting sqref="D33:H33">
    <cfRule type="expression" dxfId="417" priority="15" stopIfTrue="1">
      <formula>$N$33</formula>
    </cfRule>
  </conditionalFormatting>
  <conditionalFormatting sqref="D34:H34">
    <cfRule type="expression" dxfId="416" priority="16" stopIfTrue="1">
      <formula>$N$34</formula>
    </cfRule>
  </conditionalFormatting>
  <conditionalFormatting sqref="D35:H35">
    <cfRule type="expression" dxfId="415" priority="17" stopIfTrue="1">
      <formula>$N$35</formula>
    </cfRule>
  </conditionalFormatting>
  <conditionalFormatting sqref="D36:H36">
    <cfRule type="expression" dxfId="414" priority="18" stopIfTrue="1">
      <formula>$N$36</formula>
    </cfRule>
  </conditionalFormatting>
  <conditionalFormatting sqref="D37:H37">
    <cfRule type="expression" dxfId="413" priority="19" stopIfTrue="1">
      <formula>$N$37</formula>
    </cfRule>
  </conditionalFormatting>
  <conditionalFormatting sqref="D38:H38 G39:G85">
    <cfRule type="expression" dxfId="412" priority="20" stopIfTrue="1">
      <formula>$N$38</formula>
    </cfRule>
  </conditionalFormatting>
  <conditionalFormatting sqref="F10 D11:E11">
    <cfRule type="expression" dxfId="411" priority="25" stopIfTrue="1">
      <formula>$M$5</formula>
    </cfRule>
  </conditionalFormatting>
  <conditionalFormatting sqref="G10:L10">
    <cfRule type="expression" dxfId="410" priority="27" stopIfTrue="1">
      <formula>$A$1</formula>
    </cfRule>
  </conditionalFormatting>
  <conditionalFormatting sqref="I24:K24">
    <cfRule type="expression" dxfId="409" priority="38" stopIfTrue="1">
      <formula>$D$15</formula>
    </cfRule>
  </conditionalFormatting>
  <conditionalFormatting sqref="I23:L23 L24">
    <cfRule type="expression" dxfId="408" priority="39" stopIfTrue="1">
      <formula>$D$15</formula>
    </cfRule>
  </conditionalFormatting>
  <conditionalFormatting sqref="I25:L85">
    <cfRule type="expression" dxfId="407" priority="6" stopIfTrue="1">
      <formula>$AY25</formula>
    </cfRule>
  </conditionalFormatting>
  <conditionalFormatting sqref="J96:J119">
    <cfRule type="expression" dxfId="406" priority="5" stopIfTrue="1">
      <formula>H96</formula>
    </cfRule>
  </conditionalFormatting>
  <conditionalFormatting sqref="K96:K119">
    <cfRule type="expression" dxfId="405" priority="3" stopIfTrue="1">
      <formula>H96</formula>
    </cfRule>
  </conditionalFormatting>
  <conditionalFormatting sqref="L96:L119">
    <cfRule type="expression" dxfId="404" priority="2" stopIfTrue="1">
      <formula>H96</formula>
    </cfRule>
  </conditionalFormatting>
  <dataValidations count="2">
    <dataValidation type="list" allowBlank="1" showInputMessage="1" showErrorMessage="1" sqref="D14:E14" xr:uid="{00000000-0002-0000-0900-000000000000}">
      <formula1>$W$12:$W$17</formula1>
    </dataValidation>
    <dataValidation type="list" allowBlank="1" showInputMessage="1" showErrorMessage="1" sqref="D15:E15" xr:uid="{00000000-0002-0000-0900-000001000000}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K175"/>
  <sheetViews>
    <sheetView topLeftCell="A5" zoomScale="90" zoomScaleNormal="90" workbookViewId="0">
      <selection activeCell="B5" sqref="B5:I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28515625" style="21" customWidth="1"/>
    <col min="9" max="10" width="16.5703125" style="21" customWidth="1"/>
    <col min="11" max="11" width="16.5703125" style="21" hidden="1" customWidth="1"/>
    <col min="12" max="12" width="23" style="21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19"/>
    <col min="51" max="51" width="9.140625" style="4"/>
    <col min="52" max="53" width="9.140625" style="19"/>
    <col min="54" max="56" width="9.140625" style="118"/>
    <col min="57" max="57" width="9.140625" style="47"/>
    <col min="58" max="58" width="9.140625" style="19"/>
    <col min="59" max="141" width="9.140625" style="20"/>
    <col min="142" max="16384" width="9.140625" style="21"/>
  </cols>
  <sheetData>
    <row r="1" spans="1:57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  <c r="BB1" s="73"/>
      <c r="BC1" s="73"/>
      <c r="BD1" s="73"/>
      <c r="BE1" s="19"/>
    </row>
    <row r="2" spans="1:57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7"/>
      <c r="AU2" s="47"/>
      <c r="AV2" s="47"/>
      <c r="AW2" s="47"/>
      <c r="AX2" s="47"/>
      <c r="AY2" s="46"/>
      <c r="AZ2" s="47"/>
      <c r="BA2" s="47"/>
      <c r="BB2" s="113"/>
      <c r="BC2" s="113"/>
      <c r="BD2" s="113"/>
    </row>
    <row r="3" spans="1:57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  <c r="BB3" s="113"/>
      <c r="BC3" s="113"/>
      <c r="BD3" s="113"/>
      <c r="BE3" s="19"/>
    </row>
    <row r="4" spans="1:57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7"/>
      <c r="AU4" s="47"/>
      <c r="AV4" s="47"/>
      <c r="AW4" s="47"/>
      <c r="AX4" s="47"/>
      <c r="AY4" s="46"/>
      <c r="AZ4" s="47"/>
      <c r="BA4" s="47"/>
      <c r="BB4" s="113"/>
      <c r="BC4" s="113"/>
      <c r="BD4" s="113"/>
    </row>
    <row r="5" spans="1:57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6">
        <f>IF(M1=0,1,0)</f>
        <v>0</v>
      </c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7"/>
      <c r="AU5" s="47"/>
      <c r="AV5" s="47"/>
      <c r="AW5" s="47"/>
      <c r="AX5" s="47"/>
      <c r="AY5" s="46"/>
      <c r="AZ5" s="47"/>
      <c r="BA5" s="47"/>
      <c r="BB5" s="113"/>
      <c r="BC5" s="113"/>
      <c r="BD5" s="113"/>
    </row>
    <row r="6" spans="1:57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7"/>
      <c r="AU6" s="47"/>
      <c r="AV6" s="47"/>
      <c r="AW6" s="47"/>
      <c r="AX6" s="47"/>
      <c r="AY6" s="46"/>
      <c r="AZ6" s="47"/>
      <c r="BA6" s="47"/>
      <c r="BB6" s="113"/>
      <c r="BC6" s="113"/>
      <c r="BD6" s="113"/>
    </row>
    <row r="7" spans="1:57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7"/>
      <c r="AU7" s="47"/>
      <c r="AV7" s="47"/>
      <c r="AW7" s="47"/>
      <c r="AX7" s="47"/>
      <c r="AY7" s="46"/>
      <c r="AZ7" s="47"/>
      <c r="BA7" s="47"/>
      <c r="BB7" s="113"/>
      <c r="BC7" s="113"/>
      <c r="BD7" s="113"/>
    </row>
    <row r="8" spans="1:57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6">
        <v>1</v>
      </c>
      <c r="N8" s="46">
        <v>0</v>
      </c>
      <c r="O8" s="46">
        <v>0</v>
      </c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7"/>
      <c r="AU8" s="47"/>
      <c r="AV8" s="47"/>
      <c r="AW8" s="47"/>
      <c r="AX8" s="47"/>
      <c r="AY8" s="46"/>
      <c r="AZ8" s="47"/>
      <c r="BA8" s="47"/>
      <c r="BB8" s="113"/>
      <c r="BC8" s="113"/>
      <c r="BD8" s="113"/>
    </row>
    <row r="9" spans="1:57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M9" s="46"/>
      <c r="N9" s="46"/>
      <c r="O9" s="54"/>
      <c r="Y9" s="4">
        <v>0</v>
      </c>
      <c r="BB9" s="114"/>
      <c r="BC9" s="114"/>
      <c r="BD9" s="114"/>
      <c r="BE9" s="19"/>
    </row>
    <row r="10" spans="1:57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40000000</v>
      </c>
      <c r="E10" s="450"/>
      <c r="F10" s="11" t="s">
        <v>189</v>
      </c>
      <c r="G10" s="12" t="s">
        <v>7</v>
      </c>
      <c r="H10" s="13">
        <f ca="1">F22+G22+A92+D10</f>
        <v>58243350</v>
      </c>
      <c r="I10" s="40"/>
      <c r="J10" s="40"/>
      <c r="K10" s="40"/>
      <c r="L10" s="40"/>
      <c r="X10" s="4">
        <v>12</v>
      </c>
      <c r="Y10" s="4">
        <v>1</v>
      </c>
      <c r="BB10" s="114"/>
      <c r="BC10" s="114"/>
      <c r="BD10" s="114"/>
      <c r="BE10" s="19"/>
    </row>
    <row r="11" spans="1:57" ht="15" customHeight="1">
      <c r="A11" s="17">
        <v>30</v>
      </c>
      <c r="B11" s="408" t="s">
        <v>8</v>
      </c>
      <c r="C11" s="409"/>
      <c r="D11" s="413">
        <f>IF(D14=12,78,88)</f>
        <v>78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6">
        <f ca="1">IF(DAY(D16)=31,31,30)</f>
        <v>30</v>
      </c>
      <c r="S11" s="46"/>
      <c r="T11" s="46"/>
      <c r="U11" s="46"/>
      <c r="V11" s="46"/>
      <c r="W11" s="46"/>
      <c r="X11" s="46">
        <v>18</v>
      </c>
      <c r="Y11" s="46">
        <v>3</v>
      </c>
      <c r="Z11" s="46">
        <f>IF(D14=12,IF(D15&lt;&gt;3,IF(D15&lt;&gt;6,1,0),0),0)</f>
        <v>0</v>
      </c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7"/>
      <c r="AU11" s="47"/>
      <c r="AV11" s="47"/>
      <c r="AW11" s="47"/>
      <c r="AX11" s="47"/>
      <c r="AY11" s="46"/>
      <c r="AZ11" s="47"/>
      <c r="BA11" s="47"/>
      <c r="BB11" s="115"/>
      <c r="BC11" s="115"/>
      <c r="BD11" s="115"/>
    </row>
    <row r="12" spans="1:57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 ca="1">DATE(YEAR(0),MONTH(0),DAY(D16)-1)</f>
        <v>2</v>
      </c>
      <c r="X12" s="4">
        <v>24</v>
      </c>
      <c r="Y12" s="4">
        <v>6</v>
      </c>
      <c r="BB12" s="115"/>
      <c r="BC12" s="115"/>
      <c r="BD12" s="115"/>
      <c r="BE12" s="19"/>
    </row>
    <row r="13" spans="1:57" ht="26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R13" s="46"/>
      <c r="S13" s="46"/>
      <c r="T13" s="46"/>
      <c r="U13" s="46"/>
      <c r="V13" s="46"/>
      <c r="W13" s="46"/>
      <c r="X13" s="46">
        <v>36</v>
      </c>
      <c r="Y13" s="46">
        <v>12</v>
      </c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7"/>
      <c r="AU13" s="47"/>
      <c r="AV13" s="47"/>
      <c r="AW13" s="47"/>
      <c r="AX13" s="47"/>
      <c r="AY13" s="46"/>
      <c r="AZ13" s="47"/>
      <c r="BA13" s="47"/>
      <c r="BB13" s="115"/>
      <c r="BC13" s="115"/>
      <c r="BD13" s="115"/>
    </row>
    <row r="14" spans="1:57" ht="15" customHeight="1">
      <c r="A14" s="17">
        <f ca="1">IF(DAY(D16)&lt;=21,D14,D14+1)</f>
        <v>12</v>
      </c>
      <c r="B14" s="408" t="s">
        <v>13</v>
      </c>
      <c r="C14" s="409"/>
      <c r="D14" s="413">
        <v>12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 ca="1">IF(M1=1,IF(F10="USD",0,A14),IF(M1=2,A14," "))</f>
        <v>12</v>
      </c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>
        <v>48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7"/>
      <c r="AU14" s="47"/>
      <c r="AV14" s="47"/>
      <c r="AW14" s="47"/>
      <c r="AX14" s="47"/>
      <c r="AY14" s="46"/>
      <c r="AZ14" s="47"/>
      <c r="BA14" s="47"/>
      <c r="BB14" s="115"/>
      <c r="BC14" s="115"/>
      <c r="BD14" s="115"/>
    </row>
    <row r="15" spans="1:57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>
        <v>60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7"/>
      <c r="AU15" s="47"/>
      <c r="AV15" s="47"/>
      <c r="AW15" s="47"/>
      <c r="AX15" s="47"/>
      <c r="AY15" s="46"/>
      <c r="AZ15" s="47"/>
      <c r="BA15" s="47"/>
      <c r="BB15" s="115"/>
      <c r="BC15" s="115"/>
      <c r="BD15" s="115"/>
    </row>
    <row r="16" spans="1:57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 ca="1">A14-D15</f>
        <v>6</v>
      </c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7"/>
      <c r="AU16" s="47"/>
      <c r="AV16" s="47"/>
      <c r="AW16" s="47"/>
      <c r="AX16" s="47"/>
      <c r="AY16" s="46"/>
      <c r="AZ16" s="47"/>
      <c r="BA16" s="47"/>
      <c r="BB16" s="115"/>
      <c r="BC16" s="115"/>
      <c r="BD16" s="115"/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7"/>
      <c r="AU17" s="47"/>
      <c r="AV17" s="47"/>
      <c r="AW17" s="47"/>
      <c r="AX17" s="47"/>
      <c r="AY17" s="46"/>
      <c r="AZ17" s="47"/>
      <c r="BA17" s="47"/>
      <c r="BB17" s="115"/>
      <c r="BC17" s="115"/>
      <c r="BD17" s="115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7"/>
      <c r="AU18" s="47"/>
      <c r="AV18" s="47"/>
      <c r="AW18" s="47"/>
      <c r="AX18" s="47"/>
      <c r="AY18" s="46"/>
      <c r="AZ18" s="47"/>
      <c r="BA18" s="47"/>
      <c r="BB18" s="115"/>
      <c r="BC18" s="115"/>
      <c r="BD18" s="115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7"/>
      <c r="AU19" s="47"/>
      <c r="AV19" s="47"/>
      <c r="AW19" s="47"/>
      <c r="AX19" s="47"/>
      <c r="AY19" s="46"/>
      <c r="AZ19" s="47"/>
      <c r="BA19" s="47"/>
      <c r="BB19" s="115"/>
      <c r="BC19" s="115"/>
      <c r="BD19" s="115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7"/>
      <c r="AU20" s="47"/>
      <c r="AV20" s="47"/>
      <c r="AW20" s="47"/>
      <c r="AX20" s="47"/>
      <c r="AY20" s="46"/>
      <c r="AZ20" s="47"/>
      <c r="BA20" s="47"/>
      <c r="BB20" s="115"/>
      <c r="BC20" s="115"/>
      <c r="BD20" s="115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7"/>
      <c r="AU21" s="47"/>
      <c r="AV21" s="47"/>
      <c r="AW21" s="47"/>
      <c r="AX21" s="47"/>
      <c r="AY21" s="46"/>
      <c r="AZ21" s="47"/>
      <c r="BA21" s="47"/>
      <c r="BB21" s="115"/>
      <c r="BC21" s="115"/>
      <c r="BD21" s="115"/>
    </row>
    <row r="22" spans="1:141" hidden="1">
      <c r="A22" s="4"/>
      <c r="B22" s="4"/>
      <c r="C22" s="4"/>
      <c r="D22" s="404">
        <f ca="1">SUM(D25:E85)</f>
        <v>80000000</v>
      </c>
      <c r="E22" s="272"/>
      <c r="F22" s="22">
        <f ca="1">SUM(F25:F86)/2</f>
        <v>18243350</v>
      </c>
      <c r="G22" s="22">
        <v>0</v>
      </c>
      <c r="H22" s="22">
        <f ca="1">SUM(H25:H72)</f>
        <v>116486700</v>
      </c>
      <c r="I22" s="22"/>
      <c r="J22" s="22"/>
      <c r="K22" s="22"/>
      <c r="L22" s="22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7"/>
      <c r="AU22" s="47"/>
      <c r="AV22" s="47"/>
      <c r="AW22" s="47"/>
      <c r="AX22" s="47"/>
      <c r="AY22" s="46"/>
      <c r="AZ22" s="47"/>
      <c r="BA22" s="47"/>
      <c r="BB22" s="115"/>
      <c r="BC22" s="115"/>
      <c r="BD22" s="115"/>
    </row>
    <row r="23" spans="1:141" ht="18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7"/>
      <c r="AU23" s="47"/>
      <c r="AV23" s="47"/>
      <c r="AW23" s="47"/>
      <c r="AX23" s="47"/>
      <c r="AY23" s="46"/>
      <c r="AZ23" s="47"/>
      <c r="BA23" s="47"/>
      <c r="BB23" s="115"/>
      <c r="BC23" s="115"/>
      <c r="BD23" s="115"/>
    </row>
    <row r="24" spans="1:141" ht="38.25" customHeight="1">
      <c r="A24" s="4">
        <f ca="1"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M24" s="46"/>
      <c r="N24" s="48" t="s">
        <v>26</v>
      </c>
      <c r="O24" s="48" t="s">
        <v>27</v>
      </c>
      <c r="P24" s="48" t="s">
        <v>28</v>
      </c>
      <c r="Q24" s="48" t="s">
        <v>29</v>
      </c>
      <c r="R24" s="48" t="s">
        <v>30</v>
      </c>
      <c r="S24" s="48">
        <v>2</v>
      </c>
      <c r="T24" s="48"/>
      <c r="U24" s="48" t="s">
        <v>31</v>
      </c>
      <c r="V24" s="48" t="s">
        <v>32</v>
      </c>
      <c r="W24" s="48" t="s">
        <v>142</v>
      </c>
      <c r="X24" s="48" t="s">
        <v>142</v>
      </c>
      <c r="Y24" s="48"/>
      <c r="Z24" s="48"/>
      <c r="AA24" s="48"/>
      <c r="AB24" s="48" t="s">
        <v>33</v>
      </c>
      <c r="AC24" s="48" t="s">
        <v>28</v>
      </c>
      <c r="AD24" s="48" t="s">
        <v>29</v>
      </c>
      <c r="AE24" s="48" t="s">
        <v>143</v>
      </c>
      <c r="AF24" s="48" t="s">
        <v>143</v>
      </c>
      <c r="AG24" s="48"/>
      <c r="AH24" s="48"/>
      <c r="AI24" s="48" t="s">
        <v>30</v>
      </c>
      <c r="AJ24" s="48" t="s">
        <v>31</v>
      </c>
      <c r="AK24" s="48" t="s">
        <v>32</v>
      </c>
      <c r="AL24" s="51"/>
      <c r="AM24" s="51"/>
      <c r="AN24" s="51"/>
      <c r="AO24" s="51"/>
      <c r="AP24" s="51"/>
      <c r="AQ24" s="51"/>
      <c r="AR24" s="51"/>
      <c r="AS24" s="51"/>
      <c r="AT24" s="52"/>
      <c r="AU24" s="52"/>
      <c r="AV24" s="52"/>
      <c r="AW24" s="52"/>
      <c r="AX24" s="52"/>
      <c r="AY24" s="51"/>
      <c r="AZ24" s="52"/>
      <c r="BA24" s="52"/>
      <c r="BB24" s="73"/>
      <c r="BC24" s="73"/>
      <c r="BD24" s="73"/>
      <c r="BE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рублей",IF(AW25&lt;=5,ROUND(AU25,0)-AW25,ROUND(AU25,0)+AX25)," ")))</f>
        <v>3333330</v>
      </c>
      <c r="E25" s="443"/>
      <c r="F25" s="84">
        <f ca="1">IF(M1=1,P25,IF(M1=2,Q25," "))</f>
        <v>2340000</v>
      </c>
      <c r="G25" s="84">
        <v>0</v>
      </c>
      <c r="H25" s="84">
        <f ca="1">SUM(D25:G25)+A87</f>
        <v>5673330</v>
      </c>
      <c r="I25" s="84">
        <f ca="1">T25</f>
        <v>3333330</v>
      </c>
      <c r="J25" s="84">
        <f t="shared" ref="J25:J30" ca="1" si="0">AA25</f>
        <v>2340000</v>
      </c>
      <c r="K25" s="84">
        <v>0</v>
      </c>
      <c r="L25" s="84">
        <f ca="1">SUM(I25:K25)+A87</f>
        <v>5673330</v>
      </c>
      <c r="M25" s="51">
        <v>1</v>
      </c>
      <c r="N25" s="51">
        <f ca="1">IF(M1=1,IF(M14&gt;0,1,0),IF(M1=2,IF(M14&gt;0,1,0),0))</f>
        <v>1</v>
      </c>
      <c r="O25" s="51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56">
        <f t="shared" ref="P25:P56" ca="1" si="2">IF(U25&lt;&gt;0,IF(VALUE(RIGHT(ROUND(U25,0)))&lt;=5,ROUND(U25,0)-VALUE(RIGHT(ROUND(U25,0))),ROUND(U25,0)+10-VALUE(RIGHT(ROUND(U25,0)))),0)</f>
        <v>2340000</v>
      </c>
      <c r="Q25" s="56">
        <f t="shared" ref="Q25:Q56" ca="1" si="3">IF(V25&lt;&gt;0,IF(VALUE(RIGHT(ROUND(V25,0)))&lt;=5,ROUND(V25,0)-VALUE(RIGHT(ROUND(V25,0))),ROUND(V25,0)+10-VALUE(RIGHT(ROUND(V25,0)))),0)</f>
        <v>2340000</v>
      </c>
      <c r="R25" s="56">
        <f>D10</f>
        <v>40000000</v>
      </c>
      <c r="S25" s="56">
        <f ca="1">IF(N25=0,0,IF(F10="USD",ROUND(D10/M14,2),IF(F10="бел. рублей",IF(AW25&lt;=5,ROUND(AU25,0)-AW25,ROUND(AU25,0)+AX25)," ")))</f>
        <v>3333330</v>
      </c>
      <c r="T25" s="56">
        <f ca="1">IF(N25=0,0,IF(F10="USD",ROUND(D10/M14,2),IF(F10="бел. рублей",IF(AW25&lt;=5,ROUND(AU25,0)-AW25,ROUND(AU25,0)+AX25)," ")))</f>
        <v>3333330</v>
      </c>
      <c r="U25" s="56">
        <f ca="1">R25*Q11*D11/36000</f>
        <v>2340000</v>
      </c>
      <c r="V25" s="56">
        <f ca="1">R25*Q11*D11/36000</f>
        <v>2340000</v>
      </c>
      <c r="W25" s="56">
        <f ca="1">IF(D10*Q11*D11/36000&lt;&gt;0,IF(VALUE(RIGHT(ROUND(D10*Q11*D11/36000,0)))&lt;=5,ROUND(D10*Q11*D11/36000,0)-VALUE(RIGHT(ROUND(D10*Q11*D11/36000,0))),ROUND(D10*Q11*D11/36000,0)+10-VALUE(RIGHT(ROUND(D10*Q11*D11/36000,0)))),0)</f>
        <v>2340000</v>
      </c>
      <c r="X25" s="56">
        <f ca="1">IF(D10*Q11*D11/36000&lt;&gt;0,IF(VALUE(RIGHT(ROUND(D10*Q11*D11/36000,0)))&lt;=5,ROUND(D10*Q11*D11/36000,0)-VALUE(RIGHT(ROUND(D10*Q11*D11/36000,0))),ROUND(D10*Q11*D11/36000,0)+10-VALUE(RIGHT(ROUND(D10*Q11*D11/36000,0)))),0)</f>
        <v>2340000</v>
      </c>
      <c r="Y25" s="56">
        <f>IF(M25&lt;=(D$15+1),D$10,Y24-I24)</f>
        <v>40000000</v>
      </c>
      <c r="Z25" s="56">
        <f ca="1">Y25*Q11*D11/36000</f>
        <v>2340000</v>
      </c>
      <c r="AA25" s="56">
        <f ca="1">IF(Z25&lt;&gt;0,IF(VALUE(RIGHT(ROUND(Z25,0)))&lt;=5,ROUND(Z25,0)-VALUE(RIGHT(ROUND(Z25,0))),ROUND(Z25,0)+10-VALUE(RIGHT(ROUND(Z25,0)))),0)</f>
        <v>2340000</v>
      </c>
      <c r="AB25" s="56">
        <f ca="1">R25*Q11</f>
        <v>1080000000</v>
      </c>
      <c r="AC25" s="56">
        <f t="shared" ref="AC25:AC56" ca="1" si="4">IF(AJ25&lt;&gt;0,IF(VALUE(RIGHT(ROUND(AJ25,0)))&lt;=5,ROUND(AJ25,0)-VALUE(RIGHT(ROUND(AJ25,0))),ROUND(AJ25,0)+10-VALUE(RIGHT(ROUND(AJ25,0)))),0)</f>
        <v>0</v>
      </c>
      <c r="AD25" s="56">
        <f t="shared" ref="AD25:AD56" ca="1" si="5">IF(AK25&lt;&gt;0,IF(VALUE(RIGHT(ROUND(AK25,0)))&lt;=5,ROUND(AK25,0)-VALUE(RIGHT(ROUND(AK25,0))),ROUND(AK25,0)+10-VALUE(RIGHT(ROUND(AK25,0)))),0)</f>
        <v>0</v>
      </c>
      <c r="AE25" s="56">
        <f ca="1">AI25*Q11*G12/36000</f>
        <v>0</v>
      </c>
      <c r="AF25" s="56">
        <f ca="1">IF(AE25&lt;&gt;0,IF(VALUE(RIGHT(ROUND(AE25,0)))&lt;=5,ROUND(AE25,0)-VALUE(RIGHT(ROUND(AE25,0))),ROUND(AE25,0)+10-VALUE(RIGHT(ROUND(AE25,0)))),0)</f>
        <v>0</v>
      </c>
      <c r="AG25" s="56">
        <f ca="1">Y25*Q11*G12/36000</f>
        <v>0</v>
      </c>
      <c r="AH25" s="56">
        <f ca="1">IF(AG25&lt;&gt;0,IF(VALUE(RIGHT(ROUND(AG25,0)))&lt;=5,ROUND(AG25,0)-VALUE(RIGHT(ROUND(AG25,0))),ROUND(AG25,0)+10-VALUE(RIGHT(ROUND(AG25,0)))),0)</f>
        <v>0</v>
      </c>
      <c r="AI25" s="56">
        <f t="shared" ref="AI25:AI56" si="6">R25</f>
        <v>40000000</v>
      </c>
      <c r="AJ25" s="56">
        <f ca="1">AI25*Q11*G12/36000</f>
        <v>0</v>
      </c>
      <c r="AK25" s="56">
        <f ca="1">AI25*Q11*G12/36000</f>
        <v>0</v>
      </c>
      <c r="AL25" s="57">
        <f ca="1">IF(N25=0,0,MONTH(D16)+1)</f>
        <v>2</v>
      </c>
      <c r="AM25" s="57">
        <f t="shared" ref="AM25:AM56" ca="1" si="7">IF(AL25=13,1,AL25)</f>
        <v>2</v>
      </c>
      <c r="AN25" s="51">
        <f ca="1">IF(N25=0,0,YEAR(D16))</f>
        <v>2024</v>
      </c>
      <c r="AO25" s="51">
        <f t="shared" ref="AO25:AO56" ca="1" si="8">IF(AM25=1,AN25+1,AN25)</f>
        <v>2024</v>
      </c>
      <c r="AP25" s="51">
        <f t="shared" ref="AP25:AP56" ca="1" si="9">IF((AN25/2012)=1,1,IF((AN25/2016)=1,1,IF((AN25/2020)=1,1,IF((AN25/2024)=1,1,IF((AN25/2028)=1,1,IF((AN25/2032)=1,1,0))))))</f>
        <v>1</v>
      </c>
      <c r="AQ25" s="51">
        <f t="shared" ref="AQ25:AQ56" ca="1" si="10">IF(AM25=2,IF(AP25=1,29,28),30)</f>
        <v>29</v>
      </c>
      <c r="AR25" s="51">
        <f t="shared" ref="AR25:AR56" si="11">IF(C$24=30,AQ25,20)</f>
        <v>20</v>
      </c>
      <c r="AS25" s="51"/>
      <c r="AT25" s="52"/>
      <c r="AU25" s="52">
        <f ca="1">IF(N25=0,0,IF(F10="USD",ROUND(D10/M14,2),IF(F10="бел. рублей",ROUND(D10/M14,0)," ")))</f>
        <v>3333333</v>
      </c>
      <c r="AV25" s="64" t="str">
        <f ca="1">RIGHT(AU25)</f>
        <v>3</v>
      </c>
      <c r="AW25" s="52">
        <f ca="1">VALUE(AV25)</f>
        <v>3</v>
      </c>
      <c r="AX25" s="52">
        <f ca="1">10-AW25</f>
        <v>7</v>
      </c>
      <c r="AY25" s="51">
        <f ca="1">IF(D$15=0,0,IF(N25=1,1,0))</f>
        <v>1</v>
      </c>
      <c r="AZ25" s="52"/>
      <c r="BA25" s="52"/>
      <c r="BB25" s="73"/>
      <c r="BC25" s="73"/>
      <c r="BD25" s="73"/>
      <c r="BE25" s="52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2">A25+1</f>
        <v>2</v>
      </c>
      <c r="B26" s="268">
        <f t="shared" ref="B26:B57" ca="1" si="13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3333330</v>
      </c>
      <c r="E26" s="443"/>
      <c r="F26" s="84">
        <f ca="1">IF(N26=0,IF(N25=1,F25," "),IF(M1=1,P26,IF(M1=2,Q26," ")))</f>
        <v>2527780</v>
      </c>
      <c r="G26" s="84">
        <v>0</v>
      </c>
      <c r="H26" s="84">
        <f t="shared" ref="H26:H57" ca="1" si="14">IF(SUM(D26:G26)=0," ",SUM(D26:G26))</f>
        <v>5861110</v>
      </c>
      <c r="I26" s="84">
        <f ca="1">IF(N26=1,IF(N27=1,IF(M26&lt;=D$15,T26,AV$26),D$10-AV$26*M$16+AV$26),0)</f>
        <v>3636360</v>
      </c>
      <c r="J26" s="84">
        <f t="shared" ca="1" si="0"/>
        <v>2600000</v>
      </c>
      <c r="K26" s="84">
        <v>0</v>
      </c>
      <c r="L26" s="84">
        <f ca="1">IF(SUM(I26:K26)=0," ",SUM(I26:K26))</f>
        <v>6236360</v>
      </c>
      <c r="M26" s="51">
        <f t="shared" ref="M26:M48" si="15">M25+1</f>
        <v>2</v>
      </c>
      <c r="N26" s="51">
        <f ca="1">IF(M1=1,IF(M14&gt;1,1,0),IF(M1=2,IF(M14&gt;1,1,0),0))</f>
        <v>1</v>
      </c>
      <c r="O26" s="51">
        <f t="shared" ca="1" si="1"/>
        <v>20</v>
      </c>
      <c r="P26" s="56">
        <f t="shared" ca="1" si="2"/>
        <v>2527780</v>
      </c>
      <c r="Q26" s="56">
        <f t="shared" ca="1" si="3"/>
        <v>2527780</v>
      </c>
      <c r="R26" s="56">
        <f t="shared" ref="R26:R57" ca="1" si="16">IF(N26=0,0,R25-D25)</f>
        <v>36666670</v>
      </c>
      <c r="S26" s="56">
        <f>IF(M26&lt;=D$15,D$10/(D$14-M25),D26)</f>
        <v>3636363.6363636362</v>
      </c>
      <c r="T26" s="56">
        <f>IF(S26&lt;&gt;0,IF(VALUE(RIGHT(ROUND(S26,0)))&lt;=5,ROUND(S26,0)-VALUE(RIGHT(ROUND(S26,0))),ROUND(S26,0)+10-VALUE(RIGHT(ROUND(S26,0)))),0)</f>
        <v>3636360</v>
      </c>
      <c r="U26" s="56">
        <f ca="1">IF(N27=1,R25*D11*20/36000+R26*D11*10/36000,IF(N27=0,IF(N26=0,0,R26*D11*Q12/36000+R25*D11*20/36000+R26*D11*10/36000)))</f>
        <v>2527777.85</v>
      </c>
      <c r="V26" s="56">
        <f ca="1">IF(N27=1,R25*D11*20/36000+R26*D11*10/36000,IF(N27=0,IF(N26=0,0,R26*D11*Q12/36000+R25*D11*20/36000+R26*D11*10/36000)))</f>
        <v>2527777.85</v>
      </c>
      <c r="W26" s="56">
        <f ca="1">IF(N27=1,$D$10*$D$11*20/36000+$D$10*$D$11*10/36000,IF(N27=0,IF(N26=0,0,$D$10*$D$11*$Q$12/36000+$D$10*$D$11*20/36000+$D$10*$D$11*10/36000)))</f>
        <v>2600000</v>
      </c>
      <c r="X26" s="56">
        <f ca="1">IF(W26&lt;&gt;0,IF(VALUE(RIGHT(ROUND(W26,0)))&lt;=5,ROUND(W26,0)-VALUE(RIGHT(ROUND(W26,0))),ROUND(W26,0)+10-VALUE(RIGHT(ROUND(W26,0)))),0)</f>
        <v>2600000</v>
      </c>
      <c r="Y26" s="56">
        <f t="shared" ref="Y26:Y85" si="17">IF(M26&lt;=(D$15+1),D$10,Y25-I25)</f>
        <v>40000000</v>
      </c>
      <c r="Z26" s="56">
        <f ca="1">IF(N27=1,Y25*D$11*20/36000+Y26*D$11*10/36000,IF(N27=0,IF(N26=0,0,Y26*D$11*Q$12/36000+Y25*D$11*20/36000+Y26*D$11*10/36000)))</f>
        <v>2600000</v>
      </c>
      <c r="AA26" s="56">
        <f t="shared" ref="AA26:AA85" ca="1" si="18">IF(Z26&lt;&gt;0,IF(VALUE(RIGHT(ROUND(Z26,0)))&lt;=5,ROUND(Z26,0)-VALUE(RIGHT(ROUND(Z26,0))),ROUND(Z26,0)+10-VALUE(RIGHT(ROUND(Z26,0)))),0)</f>
        <v>2600000</v>
      </c>
      <c r="AB26" s="56">
        <f ca="1">IF(R27=0,R26*Q12,(R25*20+R26*10))</f>
        <v>1166666700</v>
      </c>
      <c r="AC26" s="56">
        <f t="shared" ca="1" si="4"/>
        <v>0</v>
      </c>
      <c r="AD26" s="56">
        <f t="shared" ca="1" si="5"/>
        <v>0</v>
      </c>
      <c r="AE26" s="56">
        <f ca="1">IF(N27=1,D$10*G$12*20/36000+D$10*G$12*10/36000,IF(N27=0,IF(N26=0,0,D$10*G$12*Q$12/36000+D$10*G$12*20/36000+D$10*G$12*10/36000)))</f>
        <v>0</v>
      </c>
      <c r="AF26" s="56">
        <f t="shared" ref="AF26:AF85" ca="1" si="19">IF(AE26&lt;&gt;0,IF(VALUE(RIGHT(ROUND(AE26,0)))&lt;=5,ROUND(AE26,0)-VALUE(RIGHT(ROUND(AE26,0))),ROUND(AE26,0)+10-VALUE(RIGHT(ROUND(AE26,0)))),0)</f>
        <v>0</v>
      </c>
      <c r="AG26" s="56">
        <f ca="1">IF(N27=1,Y25*G$12*20/36000+Y26*G$12*10/36000,IF(N27=0,IF(N26=0,0,Y26*G$12*Q$12/36000+Y25*G$12*20/36000+Y26*G$12*10/36000)))</f>
        <v>0</v>
      </c>
      <c r="AH26" s="56">
        <f t="shared" ref="AH26:AH85" ca="1" si="20">IF(AG26&lt;&gt;0,IF(VALUE(RIGHT(ROUND(AG26,0)))&lt;=5,ROUND(AG26,0)-VALUE(RIGHT(ROUND(AG26,0))),ROUND(AG26,0)+10-VALUE(RIGHT(ROUND(AG26,0)))),0)</f>
        <v>0</v>
      </c>
      <c r="AI26" s="56">
        <f t="shared" ca="1" si="6"/>
        <v>36666670</v>
      </c>
      <c r="AJ26" s="56">
        <f ca="1">IF(N27=1,AI25*G12*20/36000+AI26*G12*10/36000,IF(N27=0,IF(N26=0,0,AI26*G12*Q12/36000+AI25*G12*20/36000+AI26*G12*10/36000)))</f>
        <v>0</v>
      </c>
      <c r="AK26" s="56">
        <f ca="1">IF(N27=1,AI25*G12*20/36000+AI26*G12*10/36000,IF(N27=0,IF(N26=0,0,AI26*G12*Q12/36000+AI25*G12*20/36000+AI26*G12*10/36000)))</f>
        <v>0</v>
      </c>
      <c r="AL26" s="57">
        <f t="shared" ref="AL26:AL57" ca="1" si="21">IF(N26=0,0,MONTH(B25)+1)</f>
        <v>3</v>
      </c>
      <c r="AM26" s="57">
        <f t="shared" ca="1" si="7"/>
        <v>3</v>
      </c>
      <c r="AN26" s="51">
        <f t="shared" ref="AN26:AN57" ca="1" si="22">IF(N26=0,0,YEAR(B25))</f>
        <v>2024</v>
      </c>
      <c r="AO26" s="51">
        <f t="shared" ca="1" si="8"/>
        <v>2024</v>
      </c>
      <c r="AP26" s="51">
        <f t="shared" ca="1" si="9"/>
        <v>1</v>
      </c>
      <c r="AQ26" s="51">
        <f t="shared" ca="1" si="10"/>
        <v>30</v>
      </c>
      <c r="AR26" s="51">
        <f t="shared" si="11"/>
        <v>20</v>
      </c>
      <c r="AS26" s="51">
        <f t="shared" ref="AS26:AS57" ca="1" si="23">AQ25</f>
        <v>29</v>
      </c>
      <c r="AT26" s="52"/>
      <c r="AU26" s="51">
        <f ca="1">ROUNDUP(D$10/(A$14-D$15),0)</f>
        <v>6666667</v>
      </c>
      <c r="AV26" s="56">
        <f ca="1">IF(AU26&lt;&gt;0,IF(VALUE(RIGHT(ROUND(AU26,0)))&lt;=5,ROUND(AU26,0)-VALUE(RIGHT(ROUND(AU26,0))),ROUND(AU26,0)+10-VALUE(RIGHT(ROUND(AU26,0)))),0)</f>
        <v>6666670</v>
      </c>
      <c r="AW26" s="52"/>
      <c r="AX26" s="52"/>
      <c r="AY26" s="51">
        <f t="shared" ref="AY26:AY85" ca="1" si="24">IF(D$15=0,0,IF(N26=1,1,0))</f>
        <v>1</v>
      </c>
      <c r="AZ26" s="52"/>
      <c r="BA26" s="52"/>
      <c r="BB26" s="73"/>
      <c r="BC26" s="73"/>
      <c r="BD26" s="73"/>
      <c r="BE26" s="52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2"/>
        <v>3</v>
      </c>
      <c r="B27" s="268">
        <f t="shared" ca="1" si="13"/>
        <v>45402</v>
      </c>
      <c r="C27" s="401"/>
      <c r="D27" s="443">
        <f ca="1">IF(N27=0,IF(N26=1,D25+D26," "),IF(N27=0,0,IF(N28=1,D25,IF(N28=0,D10-D25*(M14-1)," "))))</f>
        <v>3333330</v>
      </c>
      <c r="E27" s="443"/>
      <c r="F27" s="84">
        <f ca="1">IF(N27=0,IF(N26=1,F25+F26," "),IF(M1=1,P27,IF(M1=2,Q27," ")))</f>
        <v>2311110</v>
      </c>
      <c r="G27" s="84">
        <v>0</v>
      </c>
      <c r="H27" s="84">
        <f t="shared" ca="1" si="14"/>
        <v>5644440</v>
      </c>
      <c r="I27" s="84">
        <f ca="1">IF(N27=1,IF(N28=1,IF(M27&lt;=D$15,T27,AV$26),D$10-AV$26*M$16+AV$26),0)</f>
        <v>4000000</v>
      </c>
      <c r="J27" s="84">
        <f t="shared" ca="1" si="0"/>
        <v>2600000</v>
      </c>
      <c r="K27" s="84">
        <v>0</v>
      </c>
      <c r="L27" s="84">
        <f ca="1">IF(SUM(I27:K27)=0," ",SUM(I27:K27))</f>
        <v>6600000</v>
      </c>
      <c r="M27" s="51">
        <f t="shared" si="15"/>
        <v>3</v>
      </c>
      <c r="N27" s="51">
        <f ca="1">IF(M1=1,IF(M14&gt;2,1,0),IF(M1=2,IF(M14&gt;2,1,0),0))</f>
        <v>1</v>
      </c>
      <c r="O27" s="51">
        <f t="shared" ca="1" si="1"/>
        <v>20</v>
      </c>
      <c r="P27" s="56">
        <f t="shared" ca="1" si="2"/>
        <v>2311110</v>
      </c>
      <c r="Q27" s="56">
        <f t="shared" ca="1" si="3"/>
        <v>2311110</v>
      </c>
      <c r="R27" s="56">
        <f t="shared" ca="1" si="16"/>
        <v>33333340</v>
      </c>
      <c r="S27" s="56">
        <f t="shared" ref="S27:S85" si="25">IF(M27&lt;=D$15,D$10/(D$14-M26),D27)</f>
        <v>4000000</v>
      </c>
      <c r="T27" s="56">
        <f t="shared" ref="T27:T85" si="26">IF(S27&lt;&gt;0,IF(VALUE(RIGHT(ROUND(S27,0)))&lt;=5,ROUND(S27,0)-VALUE(RIGHT(ROUND(S27,0))),ROUND(S27,0)+10-VALUE(RIGHT(ROUND(S27,0)))),0)</f>
        <v>4000000</v>
      </c>
      <c r="U27" s="56">
        <f ca="1">IF(N28=1,R26*D11*20/36000+R27*D11*10/36000,IF(N28=0,IF(N27=0,0,R27*D11*Q12/36000+R26*D11*20/36000+R27*D11*10/36000)))</f>
        <v>2311111.4000000004</v>
      </c>
      <c r="V27" s="56">
        <f ca="1">IF(N28=1,R26*D11*20/36000+R27*D11*10/36000,IF(N28=0,IF(N27=0,0,R27*D11*Q12/36000+R26*D11*20/36000+R27*D11*10/36000)))</f>
        <v>2311111.4000000004</v>
      </c>
      <c r="W27" s="56">
        <f t="shared" ref="W27:W84" ca="1" si="27">IF(N28=1,$D$10*$D$11*20/36000+$D$10*$D$11*10/36000,IF(N28=0,IF(N27=0,0,$D$10*$D$11*$Q$12/36000+$D$10*$D$11*20/36000+$D$10*$D$11*10/36000)))</f>
        <v>2600000</v>
      </c>
      <c r="X27" s="56">
        <f t="shared" ref="X27:X85" ca="1" si="28">IF(W27&lt;&gt;0,IF(VALUE(RIGHT(ROUND(W27,0)))&lt;=5,ROUND(W27,0)-VALUE(RIGHT(ROUND(W27,0))),ROUND(W27,0)+10-VALUE(RIGHT(ROUND(W27,0)))),0)</f>
        <v>2600000</v>
      </c>
      <c r="Y27" s="56">
        <f t="shared" si="17"/>
        <v>40000000</v>
      </c>
      <c r="Z27" s="56">
        <f t="shared" ref="Z27:Z84" ca="1" si="29">IF(N28=1,Y26*D$11*20/36000+Y27*D$11*10/36000,IF(N28=0,IF(N27=0,0,Y27*D$11*Q$12/36000+Y26*D$11*20/36000+Y27*D$11*10/36000)))</f>
        <v>2600000</v>
      </c>
      <c r="AA27" s="56">
        <f t="shared" ca="1" si="18"/>
        <v>2600000</v>
      </c>
      <c r="AB27" s="56">
        <f ca="1">IF(R28=0,R27*Q12,(R26*20+R27*10))</f>
        <v>1066666800</v>
      </c>
      <c r="AC27" s="56">
        <f t="shared" ca="1" si="4"/>
        <v>0</v>
      </c>
      <c r="AD27" s="56">
        <f t="shared" ca="1" si="5"/>
        <v>0</v>
      </c>
      <c r="AE27" s="56">
        <f ca="1">IF(N28=1,D$10*G$12*20/36000+D$10*G$12*10/36000,IF(N28=0,IF(N27=0,0,D$10*G$12*Q$12/36000+D$10*G$12*20/36000+D$10*G$12*10/36000)))</f>
        <v>0</v>
      </c>
      <c r="AF27" s="56">
        <f t="shared" ca="1" si="19"/>
        <v>0</v>
      </c>
      <c r="AG27" s="56">
        <f t="shared" ref="AG27:AG84" ca="1" si="30">IF(N28=1,Y26*G$12*20/36000+Y27*G$12*10/36000,IF(N28=0,IF(N27=0,0,Y27*G$12*Q$12/36000+Y26*G$12*20/36000+Y27*G$12*10/36000)))</f>
        <v>0</v>
      </c>
      <c r="AH27" s="56">
        <f t="shared" ca="1" si="20"/>
        <v>0</v>
      </c>
      <c r="AI27" s="56">
        <f t="shared" ca="1" si="6"/>
        <v>33333340</v>
      </c>
      <c r="AJ27" s="56">
        <f ca="1">IF(N28=1,AI26*G12*20/36000+AI27*G12*10/36000,IF(N28=0,IF(N27=0,0,AI27*G12*Q12/36000+AI26*G12*20/36000+AI27*G12*10/36000)))</f>
        <v>0</v>
      </c>
      <c r="AK27" s="56">
        <f ca="1">IF(N28=1,AI26*G12*20/36000+AI27*G12*10/36000,IF(N28=0,IF(N27=0,0,AI27*G12*Q12/36000+AI26*G12*20/36000+AI27*G12*10/36000)))</f>
        <v>0</v>
      </c>
      <c r="AL27" s="57">
        <f t="shared" ca="1" si="21"/>
        <v>4</v>
      </c>
      <c r="AM27" s="57">
        <f t="shared" ca="1" si="7"/>
        <v>4</v>
      </c>
      <c r="AN27" s="51">
        <f t="shared" ca="1" si="22"/>
        <v>2024</v>
      </c>
      <c r="AO27" s="51">
        <f t="shared" ca="1" si="8"/>
        <v>2024</v>
      </c>
      <c r="AP27" s="51">
        <f t="shared" ca="1" si="9"/>
        <v>1</v>
      </c>
      <c r="AQ27" s="51">
        <f t="shared" ca="1" si="10"/>
        <v>30</v>
      </c>
      <c r="AR27" s="51">
        <f t="shared" si="11"/>
        <v>20</v>
      </c>
      <c r="AS27" s="51">
        <f t="shared" ca="1" si="23"/>
        <v>30</v>
      </c>
      <c r="AT27" s="52"/>
      <c r="AU27" s="52"/>
      <c r="AV27" s="52"/>
      <c r="AW27" s="52"/>
      <c r="AX27" s="52"/>
      <c r="AY27" s="51">
        <f t="shared" ca="1" si="24"/>
        <v>1</v>
      </c>
      <c r="AZ27" s="52"/>
      <c r="BA27" s="52"/>
      <c r="BB27" s="73"/>
      <c r="BC27" s="73"/>
      <c r="BD27" s="73"/>
      <c r="BE27" s="52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2"/>
        <v>4</v>
      </c>
      <c r="B28" s="268">
        <f t="shared" ca="1" si="13"/>
        <v>45432</v>
      </c>
      <c r="C28" s="401"/>
      <c r="D28" s="443">
        <f ca="1">IF(N28=0,IF(N27=1,D25+D26+D27," "),IF(N28=0,0,IF(N29=1,D25,IF(N29=0,D10-D25*(M14-1)," "))))</f>
        <v>3333330</v>
      </c>
      <c r="E28" s="443"/>
      <c r="F28" s="84">
        <f ca="1">IF(N28=0,IF(N27=1,F25+F26+F27," "),IF(M1=1,P28,IF(M1=2,Q28," ")))</f>
        <v>2094440</v>
      </c>
      <c r="G28" s="84">
        <v>0</v>
      </c>
      <c r="H28" s="84">
        <f t="shared" ca="1" si="14"/>
        <v>5427770</v>
      </c>
      <c r="I28" s="84">
        <f ca="1">IF(N28=1,IF(N29=1,IF(M28&lt;=D$15,T28,AV$26),D$10-AV$26*M$16+AV$26),0)</f>
        <v>4444440</v>
      </c>
      <c r="J28" s="84">
        <f t="shared" ca="1" si="0"/>
        <v>2600000</v>
      </c>
      <c r="K28" s="84">
        <v>0</v>
      </c>
      <c r="L28" s="84">
        <f ca="1">IF(SUM(I28:K28)=0," ",SUM(I28:K28))</f>
        <v>7044440</v>
      </c>
      <c r="M28" s="51">
        <f t="shared" si="15"/>
        <v>4</v>
      </c>
      <c r="N28" s="51">
        <f ca="1">IF(M1=1,IF(M14&gt;3,1,0),IF(M1=2,IF(M14&gt;3,1,0),0))</f>
        <v>1</v>
      </c>
      <c r="O28" s="51">
        <f t="shared" ca="1" si="1"/>
        <v>20</v>
      </c>
      <c r="P28" s="56">
        <f t="shared" ca="1" si="2"/>
        <v>2094440</v>
      </c>
      <c r="Q28" s="56">
        <f t="shared" ca="1" si="3"/>
        <v>2094440</v>
      </c>
      <c r="R28" s="56">
        <f t="shared" ca="1" si="16"/>
        <v>30000010</v>
      </c>
      <c r="S28" s="56">
        <f t="shared" si="25"/>
        <v>4444444.444444444</v>
      </c>
      <c r="T28" s="56">
        <f t="shared" si="26"/>
        <v>4444440</v>
      </c>
      <c r="U28" s="56">
        <f ca="1">IF(N29=1,R27*D11*20/36000+R28*D11*10/36000,IF(N29=0,IF(N28=0,0,R28*D11*Q12/36000+R27*D11*20/36000+R28*D11*10/36000)))</f>
        <v>2094444.9500000002</v>
      </c>
      <c r="V28" s="56">
        <f ca="1">IF(N29=1,R27*D11*20/36000+R28*D11*10/36000,IF(N29=0,IF(N28=0,0,R28*D11*Q12/36000+R27*D11*20/36000+R28*D11*10/36000)))</f>
        <v>2094444.9500000002</v>
      </c>
      <c r="W28" s="56">
        <f t="shared" ca="1" si="27"/>
        <v>2600000</v>
      </c>
      <c r="X28" s="56">
        <f t="shared" ca="1" si="28"/>
        <v>2600000</v>
      </c>
      <c r="Y28" s="56">
        <f t="shared" si="17"/>
        <v>40000000</v>
      </c>
      <c r="Z28" s="56">
        <f t="shared" ca="1" si="29"/>
        <v>2600000</v>
      </c>
      <c r="AA28" s="56">
        <f t="shared" ca="1" si="18"/>
        <v>2600000</v>
      </c>
      <c r="AB28" s="56">
        <f ca="1">IF(R29=0,R28*Q12,(R27*20+R28*10))</f>
        <v>966666900</v>
      </c>
      <c r="AC28" s="56">
        <f t="shared" ca="1" si="4"/>
        <v>0</v>
      </c>
      <c r="AD28" s="56">
        <f t="shared" ca="1" si="5"/>
        <v>0</v>
      </c>
      <c r="AE28" s="56">
        <f t="shared" ref="AE28:AE84" ca="1" si="31">IF(N29=1,D$10*G$12*20/36000+D$10*G$12*10/36000,IF(N29=0,IF(N28=0,0,D$10*G$12*Q$12/36000+D$10*G$12*20/36000+D$10*G$12*10/36000)))</f>
        <v>0</v>
      </c>
      <c r="AF28" s="56">
        <f t="shared" ca="1" si="19"/>
        <v>0</v>
      </c>
      <c r="AG28" s="56">
        <f t="shared" ca="1" si="30"/>
        <v>0</v>
      </c>
      <c r="AH28" s="56">
        <f t="shared" ca="1" si="20"/>
        <v>0</v>
      </c>
      <c r="AI28" s="56">
        <f t="shared" ca="1" si="6"/>
        <v>30000010</v>
      </c>
      <c r="AJ28" s="56">
        <f ca="1">IF(N29=1,AI27*G12*20/36000+AI28*G12*10/36000,IF(N29=0,IF(N28=0,0,AI28*G12*Q12/36000+AI27*G12*20/36000+AI28*G12*10/36000)))</f>
        <v>0</v>
      </c>
      <c r="AK28" s="56">
        <f ca="1">IF(N29=1,AI27*G12*20/36000+AI28*G12*10/36000,IF(N29=0,IF(N28=0,0,AI28*G12*Q12/36000+AI27*G12*20/36000+AI28*G12*10/36000)))</f>
        <v>0</v>
      </c>
      <c r="AL28" s="57">
        <f t="shared" ca="1" si="21"/>
        <v>5</v>
      </c>
      <c r="AM28" s="57">
        <f t="shared" ca="1" si="7"/>
        <v>5</v>
      </c>
      <c r="AN28" s="51">
        <f t="shared" ca="1" si="22"/>
        <v>2024</v>
      </c>
      <c r="AO28" s="51">
        <f t="shared" ca="1" si="8"/>
        <v>2024</v>
      </c>
      <c r="AP28" s="51">
        <f t="shared" ca="1" si="9"/>
        <v>1</v>
      </c>
      <c r="AQ28" s="51">
        <f t="shared" ca="1" si="10"/>
        <v>30</v>
      </c>
      <c r="AR28" s="51">
        <f t="shared" si="11"/>
        <v>20</v>
      </c>
      <c r="AS28" s="51">
        <f t="shared" ca="1" si="23"/>
        <v>30</v>
      </c>
      <c r="AT28" s="52"/>
      <c r="AU28" s="52"/>
      <c r="AV28" s="52"/>
      <c r="AW28" s="52"/>
      <c r="AX28" s="52"/>
      <c r="AY28" s="51">
        <f t="shared" ca="1" si="24"/>
        <v>1</v>
      </c>
      <c r="AZ28" s="52"/>
      <c r="BA28" s="52"/>
      <c r="BB28" s="73"/>
      <c r="BC28" s="73"/>
      <c r="BD28" s="73"/>
      <c r="BE28" s="52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2"/>
        <v>5</v>
      </c>
      <c r="B29" s="268">
        <f t="shared" ca="1" si="13"/>
        <v>45463</v>
      </c>
      <c r="C29" s="401"/>
      <c r="D29" s="443">
        <f ca="1">IF(N29=0,IF(N28=1,D25+D26+D27+D28," "),IF(N29=0,0,IF(N30=1,D25,IF(N30=0,D10-D25*(M14-1)," "))))</f>
        <v>3333330</v>
      </c>
      <c r="E29" s="443"/>
      <c r="F29" s="84">
        <f ca="1">IF(N29=0,IF(N28=1,F25+F26+F27+F28," "),IF(M1=1,P29,IF(M1=2,Q29," ")))</f>
        <v>1877780</v>
      </c>
      <c r="G29" s="84">
        <v>0</v>
      </c>
      <c r="H29" s="84">
        <f t="shared" ca="1" si="14"/>
        <v>5211110</v>
      </c>
      <c r="I29" s="84">
        <f ca="1">IF(N29=1,IF(N30=1,IF(M29&lt;=D$15,T29,AV$26),D$10-AV$26*M$16+AV$26),0)</f>
        <v>5000000</v>
      </c>
      <c r="J29" s="84">
        <f t="shared" ca="1" si="0"/>
        <v>2600000</v>
      </c>
      <c r="K29" s="84">
        <v>0</v>
      </c>
      <c r="L29" s="84">
        <f ca="1">IF(SUM(I29:K29)=0," ",SUM(I29:K29))</f>
        <v>7600000</v>
      </c>
      <c r="M29" s="51">
        <f t="shared" si="15"/>
        <v>5</v>
      </c>
      <c r="N29" s="51">
        <f ca="1">IF(M1=1,IF(M14&gt;4,1,0),IF(M1=2,IF(M14&gt;4,1,0),0))</f>
        <v>1</v>
      </c>
      <c r="O29" s="51">
        <f t="shared" ca="1" si="1"/>
        <v>20</v>
      </c>
      <c r="P29" s="56">
        <f t="shared" ca="1" si="2"/>
        <v>1877780</v>
      </c>
      <c r="Q29" s="56">
        <f t="shared" ca="1" si="3"/>
        <v>1877780</v>
      </c>
      <c r="R29" s="56">
        <f t="shared" ca="1" si="16"/>
        <v>26666680</v>
      </c>
      <c r="S29" s="56">
        <f t="shared" si="25"/>
        <v>5000000</v>
      </c>
      <c r="T29" s="56">
        <f t="shared" si="26"/>
        <v>5000000</v>
      </c>
      <c r="U29" s="56">
        <f ca="1">IF(N30=1,R28*D11*20/36000+R29*D11*10/36000,IF(N30=0,IF(N29=0,0,R29*D11*Q12/36000+R28*D11*20/36000+R29*D11*10/36000)))</f>
        <v>1877778.5</v>
      </c>
      <c r="V29" s="56">
        <f ca="1">IF(N30=1,R28*D11*20/36000+R29*D11*10/36000,IF(N30=0,IF(N29=0,0,R29*D11*Q12/36000+R28*D11*20/36000+R29*D11*10/36000)))</f>
        <v>1877778.5</v>
      </c>
      <c r="W29" s="56">
        <f t="shared" ca="1" si="27"/>
        <v>2600000</v>
      </c>
      <c r="X29" s="56">
        <f t="shared" ca="1" si="28"/>
        <v>2600000</v>
      </c>
      <c r="Y29" s="56">
        <f t="shared" si="17"/>
        <v>40000000</v>
      </c>
      <c r="Z29" s="56">
        <f t="shared" ca="1" si="29"/>
        <v>2600000</v>
      </c>
      <c r="AA29" s="56">
        <f t="shared" ca="1" si="18"/>
        <v>2600000</v>
      </c>
      <c r="AB29" s="56">
        <f ca="1">IF(R30=0,R29*Q12,(R28*20+R29*10))</f>
        <v>866667000</v>
      </c>
      <c r="AC29" s="56">
        <f t="shared" ca="1" si="4"/>
        <v>0</v>
      </c>
      <c r="AD29" s="56">
        <f t="shared" ca="1" si="5"/>
        <v>0</v>
      </c>
      <c r="AE29" s="56">
        <f t="shared" ca="1" si="31"/>
        <v>0</v>
      </c>
      <c r="AF29" s="56">
        <f t="shared" ca="1" si="19"/>
        <v>0</v>
      </c>
      <c r="AG29" s="56">
        <f t="shared" ca="1" si="30"/>
        <v>0</v>
      </c>
      <c r="AH29" s="56">
        <f t="shared" ca="1" si="20"/>
        <v>0</v>
      </c>
      <c r="AI29" s="56">
        <f t="shared" ca="1" si="6"/>
        <v>26666680</v>
      </c>
      <c r="AJ29" s="56">
        <f ca="1">IF(N30=1,AI28*G12*20/36000+AI29*G12*10/36000,IF(N30=0,IF(N29=0,0,AI29*G12*Q12/36000+AI28*G12*20/36000+AI29*G12*10/36000)))</f>
        <v>0</v>
      </c>
      <c r="AK29" s="56">
        <f ca="1">IF(N30=1,AI28*G12*20/36000+AI29*G12*10/36000,IF(N30=0,IF(N29=0,0,AI29*G12*Q12/36000+AI28*G12*20/36000+AI29*G12*10/36000)))</f>
        <v>0</v>
      </c>
      <c r="AL29" s="57">
        <f t="shared" ca="1" si="21"/>
        <v>6</v>
      </c>
      <c r="AM29" s="57">
        <f t="shared" ca="1" si="7"/>
        <v>6</v>
      </c>
      <c r="AN29" s="51">
        <f t="shared" ca="1" si="22"/>
        <v>2024</v>
      </c>
      <c r="AO29" s="51">
        <f t="shared" ca="1" si="8"/>
        <v>2024</v>
      </c>
      <c r="AP29" s="51">
        <f t="shared" ca="1" si="9"/>
        <v>1</v>
      </c>
      <c r="AQ29" s="51">
        <f t="shared" ca="1" si="10"/>
        <v>30</v>
      </c>
      <c r="AR29" s="51">
        <f t="shared" si="11"/>
        <v>20</v>
      </c>
      <c r="AS29" s="51">
        <f t="shared" ca="1" si="23"/>
        <v>30</v>
      </c>
      <c r="AT29" s="52"/>
      <c r="AU29" s="52"/>
      <c r="AV29" s="52"/>
      <c r="AW29" s="52"/>
      <c r="AX29" s="52"/>
      <c r="AY29" s="51">
        <f t="shared" ca="1" si="24"/>
        <v>1</v>
      </c>
      <c r="AZ29" s="52"/>
      <c r="BA29" s="52"/>
      <c r="BB29" s="73"/>
      <c r="BC29" s="73"/>
      <c r="BD29" s="73"/>
      <c r="BE29" s="52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2"/>
        <v>6</v>
      </c>
      <c r="B30" s="268">
        <f t="shared" ca="1" si="13"/>
        <v>45493</v>
      </c>
      <c r="C30" s="401"/>
      <c r="D30" s="443">
        <f ca="1">IF(N30=0,IF(N29=1,D25+D26+D27+D28+D29," "),IF(N30=0,0,IF(N31=1,D25,IF(N31=0,D10-D25*(M14-1)," "))))</f>
        <v>3333330</v>
      </c>
      <c r="E30" s="443"/>
      <c r="F30" s="84">
        <f ca="1">IF(N30=0,IF(N29=1,F25+F26+F27+F28+F29," "),IF(M1=1,P30,IF(M1=2,Q30," ")))</f>
        <v>1661110</v>
      </c>
      <c r="G30" s="84">
        <v>0</v>
      </c>
      <c r="H30" s="84">
        <f t="shared" ca="1" si="14"/>
        <v>4994440</v>
      </c>
      <c r="I30" s="84">
        <f ca="1">IF(N30=1,IF(N31=1,IF(M30&lt;=D$15,T30,AV$26),D$10-AV$26*M$16+AV$26),0)</f>
        <v>5714290</v>
      </c>
      <c r="J30" s="84">
        <f t="shared" ca="1" si="0"/>
        <v>2600000</v>
      </c>
      <c r="K30" s="84">
        <v>0</v>
      </c>
      <c r="L30" s="84">
        <f ca="1">IF(SUM(I30:K30)=0," ",SUM(I30:K30))</f>
        <v>8314290</v>
      </c>
      <c r="M30" s="51">
        <f t="shared" si="15"/>
        <v>6</v>
      </c>
      <c r="N30" s="51">
        <f ca="1">IF(M1=1,IF(M14&gt;5,1,0),IF(M1=2,IF(M14&gt;5,1,0),0))</f>
        <v>1</v>
      </c>
      <c r="O30" s="51">
        <f t="shared" ca="1" si="1"/>
        <v>20</v>
      </c>
      <c r="P30" s="56">
        <f t="shared" ca="1" si="2"/>
        <v>1661110</v>
      </c>
      <c r="Q30" s="56">
        <f t="shared" ca="1" si="3"/>
        <v>1661110</v>
      </c>
      <c r="R30" s="56">
        <f t="shared" ca="1" si="16"/>
        <v>23333350</v>
      </c>
      <c r="S30" s="56">
        <f t="shared" si="25"/>
        <v>5714285.7142857146</v>
      </c>
      <c r="T30" s="56">
        <f t="shared" si="26"/>
        <v>5714290</v>
      </c>
      <c r="U30" s="56">
        <f ca="1">IF(N31=1,R29*D11*20/36000+R30*D11*10/36000,IF(N31=0,IF(N30=0,0,R30*D11*Q12/36000+R29*D11*20/36000+R30*D11*10/36000)))</f>
        <v>1661112.05</v>
      </c>
      <c r="V30" s="56">
        <f ca="1">IF(N31=1,R29*D11*20/36000+R30*D11*10/36000,IF(N31=0,IF(N30=0,0,R30*D11*Q12/36000+R29*D11*20/36000+R30*D11*10/36000)))</f>
        <v>1661112.05</v>
      </c>
      <c r="W30" s="56">
        <f t="shared" ca="1" si="27"/>
        <v>2600000</v>
      </c>
      <c r="X30" s="56">
        <f t="shared" ca="1" si="28"/>
        <v>2600000</v>
      </c>
      <c r="Y30" s="56">
        <f t="shared" si="17"/>
        <v>40000000</v>
      </c>
      <c r="Z30" s="56">
        <f t="shared" ca="1" si="29"/>
        <v>2600000</v>
      </c>
      <c r="AA30" s="56">
        <f t="shared" ca="1" si="18"/>
        <v>2600000</v>
      </c>
      <c r="AB30" s="56">
        <f ca="1">IF(R31=0,R30*Q12,(R29*20+R30*10))</f>
        <v>766667100</v>
      </c>
      <c r="AC30" s="56">
        <f t="shared" ca="1" si="4"/>
        <v>0</v>
      </c>
      <c r="AD30" s="56">
        <f t="shared" ca="1" si="5"/>
        <v>0</v>
      </c>
      <c r="AE30" s="56">
        <f t="shared" ca="1" si="31"/>
        <v>0</v>
      </c>
      <c r="AF30" s="56">
        <f t="shared" ca="1" si="19"/>
        <v>0</v>
      </c>
      <c r="AG30" s="56">
        <f t="shared" ca="1" si="30"/>
        <v>0</v>
      </c>
      <c r="AH30" s="56">
        <f t="shared" ca="1" si="20"/>
        <v>0</v>
      </c>
      <c r="AI30" s="56">
        <f t="shared" ca="1" si="6"/>
        <v>23333350</v>
      </c>
      <c r="AJ30" s="56">
        <f ca="1">IF(N31=1,AI29*G12*20/36000+AI30*G12*10/36000,IF(N31=0,IF(N30=0,0,AI30*G12*Q12/36000+AI29*G12*20/36000+AI30*G12*10/36000)))</f>
        <v>0</v>
      </c>
      <c r="AK30" s="56">
        <f ca="1">IF(N31=1,AI29*G12*20/36000+AI30*G12*10/36000,IF(N31=0,IF(N30=0,0,AI30*G12*Q12/36000+AI29*G12*20/36000+AI30*G12*10/36000)))</f>
        <v>0</v>
      </c>
      <c r="AL30" s="57">
        <f t="shared" ca="1" si="21"/>
        <v>7</v>
      </c>
      <c r="AM30" s="57">
        <f t="shared" ca="1" si="7"/>
        <v>7</v>
      </c>
      <c r="AN30" s="51">
        <f t="shared" ca="1" si="22"/>
        <v>2024</v>
      </c>
      <c r="AO30" s="51">
        <f t="shared" ca="1" si="8"/>
        <v>2024</v>
      </c>
      <c r="AP30" s="51">
        <f t="shared" ca="1" si="9"/>
        <v>1</v>
      </c>
      <c r="AQ30" s="51">
        <f t="shared" ca="1" si="10"/>
        <v>30</v>
      </c>
      <c r="AR30" s="51">
        <f t="shared" si="11"/>
        <v>20</v>
      </c>
      <c r="AS30" s="51">
        <f t="shared" ca="1" si="23"/>
        <v>30</v>
      </c>
      <c r="AT30" s="52"/>
      <c r="AU30" s="52"/>
      <c r="AV30" s="52"/>
      <c r="AW30" s="52"/>
      <c r="AX30" s="52"/>
      <c r="AY30" s="51">
        <f t="shared" ca="1" si="24"/>
        <v>1</v>
      </c>
      <c r="AZ30" s="52"/>
      <c r="BA30" s="52"/>
      <c r="BB30" s="73"/>
      <c r="BC30" s="73"/>
      <c r="BD30" s="73"/>
      <c r="BE30" s="52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2"/>
        <v>7</v>
      </c>
      <c r="B31" s="268">
        <f t="shared" ca="1" si="13"/>
        <v>45524</v>
      </c>
      <c r="C31" s="401"/>
      <c r="D31" s="443">
        <f ca="1">IF(N31=0,IF(N30=1,D25+D26+D27+D28+D29+D30," "),IF(N31=0," ",IF(N32=1,D25,IF(N32=0,D10-D25*(M14-1)," "))))</f>
        <v>3333330</v>
      </c>
      <c r="E31" s="443"/>
      <c r="F31" s="84">
        <f ca="1">IF(N31=0,IF(N30=1,F25+F26+F27+F28+F29+F30," "),IF(M1=1,P31,IF(M1=2,Q31," ")))</f>
        <v>1444450</v>
      </c>
      <c r="G31" s="84">
        <v>0</v>
      </c>
      <c r="H31" s="84">
        <f t="shared" ca="1" si="14"/>
        <v>4777780</v>
      </c>
      <c r="I31" s="84">
        <f t="shared" ref="I31:I85" ca="1" si="32">IF(N31=1,IF(N32=1,IF(M31&lt;=D$15,T31,AV$26),D$10-AV$26*M$16+AV$26),0)</f>
        <v>6666670</v>
      </c>
      <c r="J31" s="84">
        <f t="shared" ref="J31:J85" ca="1" si="33">AA31</f>
        <v>2600000</v>
      </c>
      <c r="K31" s="84">
        <v>0</v>
      </c>
      <c r="L31" s="84">
        <f t="shared" ref="L31:L85" ca="1" si="34">IF(SUM(I31:K31)=0," ",SUM(I31:K31))</f>
        <v>9266670</v>
      </c>
      <c r="M31" s="51">
        <f t="shared" si="15"/>
        <v>7</v>
      </c>
      <c r="N31" s="51">
        <f ca="1">IF(M1=1,IF(M14&gt;6,1,0),IF(M1=2,IF(M14&gt;6,1,0),0))</f>
        <v>1</v>
      </c>
      <c r="O31" s="51">
        <f t="shared" ca="1" si="1"/>
        <v>20</v>
      </c>
      <c r="P31" s="56">
        <f t="shared" ca="1" si="2"/>
        <v>1444450</v>
      </c>
      <c r="Q31" s="56">
        <f t="shared" ca="1" si="3"/>
        <v>1444450</v>
      </c>
      <c r="R31" s="56">
        <f t="shared" ca="1" si="16"/>
        <v>20000020</v>
      </c>
      <c r="S31" s="56">
        <f t="shared" ca="1" si="25"/>
        <v>3333330</v>
      </c>
      <c r="T31" s="56">
        <f t="shared" ca="1" si="26"/>
        <v>3333330</v>
      </c>
      <c r="U31" s="56">
        <f ca="1">IF(N32=1,R30*D11*20/36000+R31*D11*10/36000,IF(N32=0,IF(N31=0,0,R31*D11*Q12/36000)))</f>
        <v>1444445.6</v>
      </c>
      <c r="V31" s="56">
        <f ca="1">IF(N32=1,R30*D11*20/36000+R31*D11*10/36000,IF(N32=0,IF(N31=0,0,R31*D11*Q12/36000)))</f>
        <v>1444445.6</v>
      </c>
      <c r="W31" s="56">
        <f t="shared" ca="1" si="27"/>
        <v>2600000</v>
      </c>
      <c r="X31" s="56">
        <f t="shared" ca="1" si="28"/>
        <v>2600000</v>
      </c>
      <c r="Y31" s="56">
        <f t="shared" si="17"/>
        <v>40000000</v>
      </c>
      <c r="Z31" s="56">
        <f t="shared" ca="1" si="29"/>
        <v>2600000</v>
      </c>
      <c r="AA31" s="56">
        <f t="shared" ca="1" si="18"/>
        <v>2600000</v>
      </c>
      <c r="AB31" s="56">
        <f ca="1">IF(R32=0,R31*Q12,(R30*20+R31*10))</f>
        <v>666667200</v>
      </c>
      <c r="AC31" s="56">
        <f t="shared" ca="1" si="4"/>
        <v>0</v>
      </c>
      <c r="AD31" s="56">
        <f t="shared" ca="1" si="5"/>
        <v>0</v>
      </c>
      <c r="AE31" s="56">
        <f t="shared" ca="1" si="31"/>
        <v>0</v>
      </c>
      <c r="AF31" s="56">
        <f t="shared" ca="1" si="19"/>
        <v>0</v>
      </c>
      <c r="AG31" s="56">
        <f t="shared" ca="1" si="30"/>
        <v>0</v>
      </c>
      <c r="AH31" s="56">
        <f t="shared" ca="1" si="20"/>
        <v>0</v>
      </c>
      <c r="AI31" s="56">
        <f t="shared" ca="1" si="6"/>
        <v>20000020</v>
      </c>
      <c r="AJ31" s="56">
        <f ca="1">IF(N32=1,AI30*G$12*20/36000+AI31*G$12*10/36000,IF(N32=0,IF(N31=0,0,AI31*G$12*Q$12/36000)))</f>
        <v>0</v>
      </c>
      <c r="AK31" s="56">
        <f ca="1">IF(N32=1,AI30*G$12*20/36000+AI31*G$12*10/36000,IF(N32=0,IF(N31=0,0,AI31*G$12*Q$12/36000)))</f>
        <v>0</v>
      </c>
      <c r="AL31" s="57">
        <f t="shared" ca="1" si="21"/>
        <v>8</v>
      </c>
      <c r="AM31" s="57">
        <f t="shared" ca="1" si="7"/>
        <v>8</v>
      </c>
      <c r="AN31" s="51">
        <f t="shared" ca="1" si="22"/>
        <v>2024</v>
      </c>
      <c r="AO31" s="51">
        <f t="shared" ca="1" si="8"/>
        <v>2024</v>
      </c>
      <c r="AP31" s="51">
        <f t="shared" ca="1" si="9"/>
        <v>1</v>
      </c>
      <c r="AQ31" s="51">
        <f t="shared" ca="1" si="10"/>
        <v>30</v>
      </c>
      <c r="AR31" s="51">
        <f t="shared" si="11"/>
        <v>20</v>
      </c>
      <c r="AS31" s="51">
        <f t="shared" ca="1" si="23"/>
        <v>30</v>
      </c>
      <c r="AT31" s="52"/>
      <c r="AU31" s="52"/>
      <c r="AV31" s="52"/>
      <c r="AW31" s="52"/>
      <c r="AX31" s="52"/>
      <c r="AY31" s="51">
        <f t="shared" ca="1" si="24"/>
        <v>1</v>
      </c>
      <c r="AZ31" s="52"/>
      <c r="BA31" s="52"/>
      <c r="BB31" s="73"/>
      <c r="BC31" s="73"/>
      <c r="BD31" s="73"/>
      <c r="BE31" s="52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2"/>
        <v>8</v>
      </c>
      <c r="B32" s="268">
        <f t="shared" ca="1" si="13"/>
        <v>45555</v>
      </c>
      <c r="C32" s="401"/>
      <c r="D32" s="443">
        <f ca="1">IF(N32=0,IF(N31=1,D25+D26+D27+D28+D29+D30+D31," "),IF(N32=0," ",IF(N33=1,D25,IF(N33=0,D10-D25*(M14-1)," "))))</f>
        <v>3333330</v>
      </c>
      <c r="E32" s="443"/>
      <c r="F32" s="84">
        <f ca="1">IF(N32=0,IF(N31=1,F25+F26+F27+F28+F29+F30+F31," "),IF(M1=1,P32,IF(M1=2,Q32," ")))</f>
        <v>1227780</v>
      </c>
      <c r="G32" s="84">
        <v>0</v>
      </c>
      <c r="H32" s="84">
        <f t="shared" ca="1" si="14"/>
        <v>4561110</v>
      </c>
      <c r="I32" s="84">
        <f t="shared" ca="1" si="32"/>
        <v>6666670</v>
      </c>
      <c r="J32" s="84">
        <f t="shared" ca="1" si="33"/>
        <v>2455550</v>
      </c>
      <c r="K32" s="84">
        <v>0</v>
      </c>
      <c r="L32" s="84">
        <f t="shared" ca="1" si="34"/>
        <v>9122220</v>
      </c>
      <c r="M32" s="51">
        <f t="shared" si="15"/>
        <v>8</v>
      </c>
      <c r="N32" s="51">
        <f ca="1">IF(M1=1,IF(M14&gt;7,1,0),IF(M1=2,IF(M14&gt;7,1,0),0))</f>
        <v>1</v>
      </c>
      <c r="O32" s="51">
        <f t="shared" ca="1" si="1"/>
        <v>20</v>
      </c>
      <c r="P32" s="56">
        <f t="shared" ca="1" si="2"/>
        <v>1227780</v>
      </c>
      <c r="Q32" s="56">
        <f t="shared" ca="1" si="3"/>
        <v>1227780</v>
      </c>
      <c r="R32" s="56">
        <f t="shared" ca="1" si="16"/>
        <v>16666690</v>
      </c>
      <c r="S32" s="56">
        <f t="shared" ca="1" si="25"/>
        <v>3333330</v>
      </c>
      <c r="T32" s="56">
        <f t="shared" ca="1" si="26"/>
        <v>3333330</v>
      </c>
      <c r="U32" s="56">
        <f ca="1">IF(N33=1,R31*D11*20/36000+R32*D11*10/36000,IF(N33=0,IF(N32=0,0,R32*D11*Q12/36000+R31*D11*20/36000+R32*D11*10/36000)))</f>
        <v>1227779.1499999999</v>
      </c>
      <c r="V32" s="56">
        <f ca="1">IF(N33=1,R31*D11*20/36000+R32*D11*10/36000,IF(N33=0,IF(N32=0,0,R32*D11*Q12/36000+R31*D11*20/36000+R32*D11*10/36000)))</f>
        <v>1227779.1499999999</v>
      </c>
      <c r="W32" s="56">
        <f t="shared" ca="1" si="27"/>
        <v>2600000</v>
      </c>
      <c r="X32" s="56">
        <f t="shared" ca="1" si="28"/>
        <v>2600000</v>
      </c>
      <c r="Y32" s="56">
        <f t="shared" ca="1" si="17"/>
        <v>33333330</v>
      </c>
      <c r="Z32" s="56">
        <f t="shared" ca="1" si="29"/>
        <v>2455555.4833333334</v>
      </c>
      <c r="AA32" s="56">
        <f t="shared" ca="1" si="18"/>
        <v>2455550</v>
      </c>
      <c r="AB32" s="56">
        <f ca="1">IF(R33=0,R32*Q12,(R31*20+R32*10))</f>
        <v>566667300</v>
      </c>
      <c r="AC32" s="56">
        <f t="shared" ca="1" si="4"/>
        <v>0</v>
      </c>
      <c r="AD32" s="56">
        <f t="shared" ca="1" si="5"/>
        <v>0</v>
      </c>
      <c r="AE32" s="56">
        <f t="shared" ca="1" si="31"/>
        <v>0</v>
      </c>
      <c r="AF32" s="56">
        <f t="shared" ca="1" si="19"/>
        <v>0</v>
      </c>
      <c r="AG32" s="56">
        <f t="shared" ca="1" si="30"/>
        <v>0</v>
      </c>
      <c r="AH32" s="56">
        <f t="shared" ca="1" si="20"/>
        <v>0</v>
      </c>
      <c r="AI32" s="56">
        <f t="shared" ca="1" si="6"/>
        <v>16666690</v>
      </c>
      <c r="AJ32" s="56">
        <f ca="1">IF(N33=1,AI31*G12*20/36000+AI32*G12*10/36000,IF(N33=0,IF(N32=0,0,AI32*G12*Q12/36000+AI31*G12*20/36000+AI32*G12*10/36000)))</f>
        <v>0</v>
      </c>
      <c r="AK32" s="56">
        <f ca="1">IF(N33=1,AI31*G12*20/36000+AI32*G12*10/36000,IF(N33=0,IF(N32=0,0,AI32*G12*Q12/36000+AI31*G12*20/36000+AI32*G12*10/36000)))</f>
        <v>0</v>
      </c>
      <c r="AL32" s="57">
        <f t="shared" ca="1" si="21"/>
        <v>9</v>
      </c>
      <c r="AM32" s="57">
        <f t="shared" ca="1" si="7"/>
        <v>9</v>
      </c>
      <c r="AN32" s="51">
        <f t="shared" ca="1" si="22"/>
        <v>2024</v>
      </c>
      <c r="AO32" s="51">
        <f t="shared" ca="1" si="8"/>
        <v>2024</v>
      </c>
      <c r="AP32" s="51">
        <f t="shared" ca="1" si="9"/>
        <v>1</v>
      </c>
      <c r="AQ32" s="51">
        <f t="shared" ca="1" si="10"/>
        <v>30</v>
      </c>
      <c r="AR32" s="51">
        <f t="shared" si="11"/>
        <v>20</v>
      </c>
      <c r="AS32" s="51">
        <f t="shared" ca="1" si="23"/>
        <v>30</v>
      </c>
      <c r="AT32" s="52"/>
      <c r="AU32" s="52"/>
      <c r="AV32" s="52"/>
      <c r="AW32" s="52"/>
      <c r="AX32" s="52"/>
      <c r="AY32" s="51">
        <f t="shared" ca="1" si="24"/>
        <v>1</v>
      </c>
      <c r="AZ32" s="52"/>
      <c r="BA32" s="52"/>
      <c r="BB32" s="73"/>
      <c r="BC32" s="73"/>
      <c r="BD32" s="73"/>
      <c r="BE32" s="52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2"/>
        <v>9</v>
      </c>
      <c r="B33" s="268">
        <f t="shared" ca="1" si="13"/>
        <v>45585</v>
      </c>
      <c r="C33" s="401"/>
      <c r="D33" s="443">
        <f ca="1">IF(N33=0,IF(N32=1,D25+D26+D27+D28+D29+D30+D31+D32," "),IF(N33=0," ",IF(N34=1,D25,IF(N34=0,D10-D25*(M14-1)," "))))</f>
        <v>3333330</v>
      </c>
      <c r="E33" s="443"/>
      <c r="F33" s="84">
        <f ca="1">IF(N33=0,IF(N32=1,F25+F26+F27+F28+F29+F30+F31+F32," "),IF(M1=1,P33,IF(M1=2,Q33," ")))</f>
        <v>1011110</v>
      </c>
      <c r="G33" s="84">
        <v>0</v>
      </c>
      <c r="H33" s="84">
        <f t="shared" ca="1" si="14"/>
        <v>4344440</v>
      </c>
      <c r="I33" s="84">
        <f t="shared" ca="1" si="32"/>
        <v>6666670</v>
      </c>
      <c r="J33" s="84">
        <f t="shared" ca="1" si="33"/>
        <v>2022220</v>
      </c>
      <c r="K33" s="84">
        <v>0</v>
      </c>
      <c r="L33" s="84">
        <f t="shared" ca="1" si="34"/>
        <v>8688890</v>
      </c>
      <c r="M33" s="51">
        <f t="shared" si="15"/>
        <v>9</v>
      </c>
      <c r="N33" s="51">
        <f ca="1">IF(M1=1,IF(M14&gt;8,1,0),IF(M1=2,IF(M14&gt;8,1,0),0))</f>
        <v>1</v>
      </c>
      <c r="O33" s="51">
        <f t="shared" ca="1" si="1"/>
        <v>20</v>
      </c>
      <c r="P33" s="56">
        <f t="shared" ca="1" si="2"/>
        <v>1011110</v>
      </c>
      <c r="Q33" s="56">
        <f t="shared" ca="1" si="3"/>
        <v>1011110</v>
      </c>
      <c r="R33" s="56">
        <f t="shared" ca="1" si="16"/>
        <v>13333360</v>
      </c>
      <c r="S33" s="56">
        <f t="shared" ca="1" si="25"/>
        <v>3333330</v>
      </c>
      <c r="T33" s="56">
        <f t="shared" ca="1" si="26"/>
        <v>3333330</v>
      </c>
      <c r="U33" s="56">
        <f ca="1">IF(N34=1,R32*D11*20/36000+R33*D11*10/36000,IF(N34=0,IF(N33=0,0,R33*D11*Q12/36000+R32*D11*20/36000+R33*D11*10/36000)))</f>
        <v>1011112.7</v>
      </c>
      <c r="V33" s="56">
        <f ca="1">IF(N34=1,R32*D11*20/36000+R33*D11*10/36000,IF(N34=0,IF(N33=0,0,R33*D11*Q12/36000+R32*D11*20/36000+R33*D11*10/36000)))</f>
        <v>1011112.7</v>
      </c>
      <c r="W33" s="56">
        <f t="shared" ca="1" si="27"/>
        <v>2600000</v>
      </c>
      <c r="X33" s="56">
        <f t="shared" ca="1" si="28"/>
        <v>2600000</v>
      </c>
      <c r="Y33" s="56">
        <f t="shared" ca="1" si="17"/>
        <v>26666660</v>
      </c>
      <c r="Z33" s="56">
        <f t="shared" ca="1" si="29"/>
        <v>2022221.9333333333</v>
      </c>
      <c r="AA33" s="56">
        <f t="shared" ca="1" si="18"/>
        <v>2022220</v>
      </c>
      <c r="AB33" s="56">
        <f ca="1">IF(R34=0,R33*Q12,(R32*20+R33*10))</f>
        <v>466667400</v>
      </c>
      <c r="AC33" s="56">
        <f t="shared" ca="1" si="4"/>
        <v>0</v>
      </c>
      <c r="AD33" s="56">
        <f t="shared" ca="1" si="5"/>
        <v>0</v>
      </c>
      <c r="AE33" s="56">
        <f t="shared" ca="1" si="31"/>
        <v>0</v>
      </c>
      <c r="AF33" s="56">
        <f t="shared" ca="1" si="19"/>
        <v>0</v>
      </c>
      <c r="AG33" s="56">
        <f t="shared" ca="1" si="30"/>
        <v>0</v>
      </c>
      <c r="AH33" s="56">
        <f t="shared" ca="1" si="20"/>
        <v>0</v>
      </c>
      <c r="AI33" s="56">
        <f t="shared" ca="1" si="6"/>
        <v>13333360</v>
      </c>
      <c r="AJ33" s="56">
        <f ca="1">IF(N34=1,AI32*G12*20/36000+AI33*G12*10/36000,IF(N34=0,IF(N33=0,0,AI33*G12*Q12/36000+AI32*G12*20/36000+AI33*G12*10/36000)))</f>
        <v>0</v>
      </c>
      <c r="AK33" s="56">
        <f ca="1">IF(N34=1,AI32*G12*20/36000+AI33*G12*10/36000,IF(N34=0,IF(N33=0,0,AI33*G12*Q12/36000+AI32*G12*20/36000+AI33*G12*10/36000)))</f>
        <v>0</v>
      </c>
      <c r="AL33" s="57">
        <f t="shared" ca="1" si="21"/>
        <v>10</v>
      </c>
      <c r="AM33" s="57">
        <f t="shared" ca="1" si="7"/>
        <v>10</v>
      </c>
      <c r="AN33" s="51">
        <f t="shared" ca="1" si="22"/>
        <v>2024</v>
      </c>
      <c r="AO33" s="51">
        <f t="shared" ca="1" si="8"/>
        <v>2024</v>
      </c>
      <c r="AP33" s="51">
        <f t="shared" ca="1" si="9"/>
        <v>1</v>
      </c>
      <c r="AQ33" s="51">
        <f t="shared" ca="1" si="10"/>
        <v>30</v>
      </c>
      <c r="AR33" s="51">
        <f t="shared" si="11"/>
        <v>20</v>
      </c>
      <c r="AS33" s="51">
        <f t="shared" ca="1" si="23"/>
        <v>30</v>
      </c>
      <c r="AT33" s="52"/>
      <c r="AU33" s="52"/>
      <c r="AV33" s="52"/>
      <c r="AW33" s="52"/>
      <c r="AX33" s="52"/>
      <c r="AY33" s="51">
        <f t="shared" ca="1" si="24"/>
        <v>1</v>
      </c>
      <c r="AZ33" s="52"/>
      <c r="BA33" s="52"/>
      <c r="BB33" s="73"/>
      <c r="BC33" s="73"/>
      <c r="BD33" s="73"/>
      <c r="BE33" s="52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2"/>
        <v>10</v>
      </c>
      <c r="B34" s="268">
        <f t="shared" ca="1" si="13"/>
        <v>45616</v>
      </c>
      <c r="C34" s="401"/>
      <c r="D34" s="443">
        <f ca="1">IF(N34=0,IF(N33=1,D25+D26+D27+D28+D29+D30+D31+D32+D33," "),IF(N34=0," ",IF(N35=1,D25,IF(N35=0,D10-D25*(M14-1)," "))))</f>
        <v>3333330</v>
      </c>
      <c r="E34" s="443"/>
      <c r="F34" s="84">
        <f ca="1">IF(N34=0,IF(N33=1,F25+F26+F27+F28+F29+F30+F31+F32+F33," "),IF(M1=1,P34,IF(M1=2,Q34," ")))</f>
        <v>794450</v>
      </c>
      <c r="G34" s="84">
        <v>0</v>
      </c>
      <c r="H34" s="84">
        <f t="shared" ca="1" si="14"/>
        <v>4127780</v>
      </c>
      <c r="I34" s="84">
        <f t="shared" ca="1" si="32"/>
        <v>6666670</v>
      </c>
      <c r="J34" s="84">
        <f t="shared" ca="1" si="33"/>
        <v>1588890</v>
      </c>
      <c r="K34" s="84">
        <v>0</v>
      </c>
      <c r="L34" s="84">
        <f t="shared" ca="1" si="34"/>
        <v>8255560</v>
      </c>
      <c r="M34" s="51">
        <f t="shared" si="15"/>
        <v>10</v>
      </c>
      <c r="N34" s="51">
        <f ca="1">IF(M1=1,IF(M14&gt;9,1,0),IF(M1=2,IF(M14&gt;9,1,0),0))</f>
        <v>1</v>
      </c>
      <c r="O34" s="51">
        <f t="shared" ca="1" si="1"/>
        <v>20</v>
      </c>
      <c r="P34" s="56">
        <f t="shared" ca="1" si="2"/>
        <v>794450</v>
      </c>
      <c r="Q34" s="56">
        <f t="shared" ca="1" si="3"/>
        <v>794450</v>
      </c>
      <c r="R34" s="56">
        <f t="shared" ca="1" si="16"/>
        <v>10000030</v>
      </c>
      <c r="S34" s="56">
        <f t="shared" ca="1" si="25"/>
        <v>3333330</v>
      </c>
      <c r="T34" s="56">
        <f t="shared" ca="1" si="26"/>
        <v>3333330</v>
      </c>
      <c r="U34" s="56">
        <f ca="1">IF(N35=1,R33*D11*20/36000+R34*D11*10/36000,IF(N35=0,IF(N34=0,0,R34*D11*Q12/36000+29*D11*20/36000+R34*D11*10/36000)))</f>
        <v>794446.25</v>
      </c>
      <c r="V34" s="56">
        <f ca="1">IF(N35=1,R33*D11*20/36000+R34*D11*10/36000,IF(N35=0,IF(N34=0,0,R34*D11*Q12/36000+29*D11*20/36000+R34*D11*10/36000)))</f>
        <v>794446.25</v>
      </c>
      <c r="W34" s="56">
        <f t="shared" ca="1" si="27"/>
        <v>2600000</v>
      </c>
      <c r="X34" s="56">
        <f t="shared" ca="1" si="28"/>
        <v>2600000</v>
      </c>
      <c r="Y34" s="56">
        <f t="shared" ca="1" si="17"/>
        <v>19999990</v>
      </c>
      <c r="Z34" s="56">
        <f t="shared" ca="1" si="29"/>
        <v>1588888.3833333333</v>
      </c>
      <c r="AA34" s="56">
        <f t="shared" ca="1" si="18"/>
        <v>1588890</v>
      </c>
      <c r="AB34" s="56">
        <f ca="1">IF(R35=0,R34*Q12,(R33*20+R34*10))</f>
        <v>366667500</v>
      </c>
      <c r="AC34" s="56">
        <f t="shared" ca="1" si="4"/>
        <v>0</v>
      </c>
      <c r="AD34" s="56">
        <f t="shared" ca="1" si="5"/>
        <v>0</v>
      </c>
      <c r="AE34" s="56">
        <f t="shared" ca="1" si="31"/>
        <v>0</v>
      </c>
      <c r="AF34" s="56">
        <f t="shared" ca="1" si="19"/>
        <v>0</v>
      </c>
      <c r="AG34" s="56">
        <f t="shared" ca="1" si="30"/>
        <v>0</v>
      </c>
      <c r="AH34" s="56">
        <f t="shared" ca="1" si="20"/>
        <v>0</v>
      </c>
      <c r="AI34" s="56">
        <f t="shared" ca="1" si="6"/>
        <v>10000030</v>
      </c>
      <c r="AJ34" s="56">
        <f ca="1">IF(N35=1,AI33*G12*20/36000+AI34*G12*10/36000,IF(N35=0,IF(N34=0,0,AI34*G12*Q12/36000+29*G12*20/36000+AI34*G12*10/36000)))</f>
        <v>0</v>
      </c>
      <c r="AK34" s="56">
        <f ca="1">IF(N35=1,AI33*G12*20/36000+AI34*G12*10/36000,IF(N35=0,IF(N34=0,0,AI34*G12*Q12/36000+29*G12*20/36000+AI34*G12*10/36000)))</f>
        <v>0</v>
      </c>
      <c r="AL34" s="57">
        <f t="shared" ca="1" si="21"/>
        <v>11</v>
      </c>
      <c r="AM34" s="57">
        <f t="shared" ca="1" si="7"/>
        <v>11</v>
      </c>
      <c r="AN34" s="51">
        <f t="shared" ca="1" si="22"/>
        <v>2024</v>
      </c>
      <c r="AO34" s="51">
        <f t="shared" ca="1" si="8"/>
        <v>2024</v>
      </c>
      <c r="AP34" s="51">
        <f t="shared" ca="1" si="9"/>
        <v>1</v>
      </c>
      <c r="AQ34" s="51">
        <f t="shared" ca="1" si="10"/>
        <v>30</v>
      </c>
      <c r="AR34" s="51">
        <f t="shared" si="11"/>
        <v>20</v>
      </c>
      <c r="AS34" s="51">
        <f t="shared" ca="1" si="23"/>
        <v>30</v>
      </c>
      <c r="AT34" s="52"/>
      <c r="AU34" s="52"/>
      <c r="AV34" s="52"/>
      <c r="AW34" s="52"/>
      <c r="AX34" s="52"/>
      <c r="AY34" s="51">
        <f t="shared" ca="1" si="24"/>
        <v>1</v>
      </c>
      <c r="AZ34" s="52"/>
      <c r="BA34" s="52"/>
      <c r="BB34" s="73"/>
      <c r="BC34" s="73"/>
      <c r="BD34" s="73"/>
      <c r="BE34" s="52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2"/>
        <v>11</v>
      </c>
      <c r="B35" s="268">
        <f t="shared" ca="1" si="13"/>
        <v>45646</v>
      </c>
      <c r="C35" s="401"/>
      <c r="D35" s="443">
        <f ca="1">IF(N35=0,IF(N34=1,D25+D26+D27+D28+D29+D30+D31+D32+D33+D34," "),IF(N35=0," ",IF(N36=1,D25,IF(N36=0,D10-D25*(M14-1)," "))))</f>
        <v>3333330</v>
      </c>
      <c r="E35" s="443"/>
      <c r="F35" s="84">
        <f ca="1">IF(N35=0,IF(N34=1,F25+F26+F27+F28+F29+F30+F31+F32+F33+F34," "),IF(M1=1,P35,IF(M1=2,Q35," ")))</f>
        <v>577780</v>
      </c>
      <c r="G35" s="84">
        <v>0</v>
      </c>
      <c r="H35" s="84">
        <f t="shared" ca="1" si="14"/>
        <v>3911110</v>
      </c>
      <c r="I35" s="84">
        <f t="shared" ca="1" si="32"/>
        <v>6666670</v>
      </c>
      <c r="J35" s="84">
        <f t="shared" ca="1" si="33"/>
        <v>1155550</v>
      </c>
      <c r="K35" s="84">
        <v>0</v>
      </c>
      <c r="L35" s="84">
        <f t="shared" ca="1" si="34"/>
        <v>7822220</v>
      </c>
      <c r="M35" s="51">
        <f t="shared" si="15"/>
        <v>11</v>
      </c>
      <c r="N35" s="51">
        <f ca="1">IF(M1=1,IF(M14&gt;10,1,0),IF(M1=2,IF(M14&gt;10,1,0),0))</f>
        <v>1</v>
      </c>
      <c r="O35" s="51">
        <f t="shared" ca="1" si="1"/>
        <v>20</v>
      </c>
      <c r="P35" s="56">
        <f t="shared" ca="1" si="2"/>
        <v>577780</v>
      </c>
      <c r="Q35" s="56">
        <f t="shared" ca="1" si="3"/>
        <v>577780</v>
      </c>
      <c r="R35" s="56">
        <f t="shared" ca="1" si="16"/>
        <v>6666700</v>
      </c>
      <c r="S35" s="56">
        <f t="shared" ca="1" si="25"/>
        <v>3333330</v>
      </c>
      <c r="T35" s="56">
        <f t="shared" ca="1" si="26"/>
        <v>3333330</v>
      </c>
      <c r="U35" s="56">
        <f ca="1">IF(N36=1,R34*D11*20/36000+R35*D11*10/36000,IF(N36=0,IF(N35=0,0,R35*D11*Q12/36000+R34*D11*20/36000+R35*D11*10/36000)))</f>
        <v>577779.80000000005</v>
      </c>
      <c r="V35" s="56">
        <f ca="1">IF(N36=1,R34*D11*20/36000+R35*D11*10/36000,IF(N36=0,IF(N35=0,0,R35*D11*Q12/36000+R34*D11*20/36000+R35*D11*10/36000)))</f>
        <v>577779.80000000005</v>
      </c>
      <c r="W35" s="56">
        <f t="shared" ca="1" si="27"/>
        <v>2600000</v>
      </c>
      <c r="X35" s="56">
        <f t="shared" ca="1" si="28"/>
        <v>2600000</v>
      </c>
      <c r="Y35" s="56">
        <f t="shared" ca="1" si="17"/>
        <v>13333320</v>
      </c>
      <c r="Z35" s="56">
        <f t="shared" ca="1" si="29"/>
        <v>1155554.8333333333</v>
      </c>
      <c r="AA35" s="56">
        <f t="shared" ca="1" si="18"/>
        <v>1155550</v>
      </c>
      <c r="AB35" s="56">
        <f ca="1">IF(R36=0,R35*Q12,(R34*20+R35*10))</f>
        <v>266667600</v>
      </c>
      <c r="AC35" s="56">
        <f t="shared" ca="1" si="4"/>
        <v>0</v>
      </c>
      <c r="AD35" s="56">
        <f t="shared" ca="1" si="5"/>
        <v>0</v>
      </c>
      <c r="AE35" s="56">
        <f t="shared" ca="1" si="31"/>
        <v>0</v>
      </c>
      <c r="AF35" s="56">
        <f t="shared" ca="1" si="19"/>
        <v>0</v>
      </c>
      <c r="AG35" s="56">
        <f t="shared" ca="1" si="30"/>
        <v>0</v>
      </c>
      <c r="AH35" s="56">
        <f t="shared" ca="1" si="20"/>
        <v>0</v>
      </c>
      <c r="AI35" s="56">
        <f t="shared" ca="1" si="6"/>
        <v>6666700</v>
      </c>
      <c r="AJ35" s="56">
        <f ca="1">IF(N36=1,AI34*G12*20/36000+AI35*G12*10/36000,IF(N36=0,IF(N35=0,0,AI35*G12*Q12/36000+AI34*G12*20/36000+AI35*G12*10/36000)))</f>
        <v>0</v>
      </c>
      <c r="AK35" s="56">
        <f ca="1">IF(N36=1,AI34*G12*20/36000+AI35*G12*10/36000,IF(N36=0,IF(N35=0,0,AI35*G12*Q12/36000+AI34*G12*20/36000+AI35*G12*10/36000)))</f>
        <v>0</v>
      </c>
      <c r="AL35" s="57">
        <f t="shared" ca="1" si="21"/>
        <v>12</v>
      </c>
      <c r="AM35" s="57">
        <f t="shared" ca="1" si="7"/>
        <v>12</v>
      </c>
      <c r="AN35" s="51">
        <f t="shared" ca="1" si="22"/>
        <v>2024</v>
      </c>
      <c r="AO35" s="51">
        <f t="shared" ca="1" si="8"/>
        <v>2024</v>
      </c>
      <c r="AP35" s="51">
        <f t="shared" ca="1" si="9"/>
        <v>1</v>
      </c>
      <c r="AQ35" s="51">
        <f t="shared" ca="1" si="10"/>
        <v>30</v>
      </c>
      <c r="AR35" s="51">
        <f t="shared" si="11"/>
        <v>20</v>
      </c>
      <c r="AS35" s="51">
        <f t="shared" ca="1" si="23"/>
        <v>30</v>
      </c>
      <c r="AT35" s="52"/>
      <c r="AU35" s="52"/>
      <c r="AV35" s="52"/>
      <c r="AW35" s="52"/>
      <c r="AX35" s="52"/>
      <c r="AY35" s="51">
        <f t="shared" ca="1" si="24"/>
        <v>1</v>
      </c>
      <c r="AZ35" s="52"/>
      <c r="BA35" s="52"/>
      <c r="BB35" s="73"/>
      <c r="BC35" s="73"/>
      <c r="BD35" s="73"/>
      <c r="BE35" s="52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2"/>
        <v>12</v>
      </c>
      <c r="B36" s="268">
        <f t="shared" ca="1" si="13"/>
        <v>45659</v>
      </c>
      <c r="C36" s="401"/>
      <c r="D36" s="443">
        <f ca="1">IF(N36=0,IF(N35=1,D25+D26+D27+D28+D29+D30+D31+D32+D33+D34+D35," "),IF(N36=0," ",IF(N37=1,D25,IF(N37=0,D10-D25*(M14-1)," "))))</f>
        <v>3333370</v>
      </c>
      <c r="E36" s="443"/>
      <c r="F36" s="84">
        <f ca="1">IF(N36=0,IF(N35=1,F25+F26+F27+F28+F29+F30+F31+F32+F33+F34+F35," "),IF(M1=1,P36,IF(M1=2,Q36," ")))</f>
        <v>375560</v>
      </c>
      <c r="G36" s="84">
        <v>0</v>
      </c>
      <c r="H36" s="84">
        <f t="shared" ca="1" si="14"/>
        <v>3708930</v>
      </c>
      <c r="I36" s="84">
        <f t="shared" ca="1" si="32"/>
        <v>6666650</v>
      </c>
      <c r="J36" s="84">
        <f t="shared" ca="1" si="33"/>
        <v>751110</v>
      </c>
      <c r="K36" s="84">
        <v>0</v>
      </c>
      <c r="L36" s="84">
        <f t="shared" ca="1" si="34"/>
        <v>7417760</v>
      </c>
      <c r="M36" s="51">
        <f t="shared" si="15"/>
        <v>12</v>
      </c>
      <c r="N36" s="51">
        <f ca="1">IF(M1=1,IF(M14&gt;11,1,0),IF(M1=2,IF(M14&gt;11,1,0),0))</f>
        <v>1</v>
      </c>
      <c r="O36" s="51">
        <f t="shared" ca="1" si="1"/>
        <v>2</v>
      </c>
      <c r="P36" s="56">
        <f t="shared" ca="1" si="2"/>
        <v>375560</v>
      </c>
      <c r="Q36" s="56">
        <f t="shared" ca="1" si="3"/>
        <v>375560</v>
      </c>
      <c r="R36" s="56">
        <f t="shared" ca="1" si="16"/>
        <v>3333370</v>
      </c>
      <c r="S36" s="56">
        <f t="shared" ca="1" si="25"/>
        <v>3333370</v>
      </c>
      <c r="T36" s="56">
        <f t="shared" ca="1" si="26"/>
        <v>3333370</v>
      </c>
      <c r="U36" s="56">
        <f ca="1">IF(N37=1,R35*D11*20/36000+R36*D11*10/36000,IF(N37=0,IF(N36=0,0,R36*D11*Q12/36000+R35*D11*20/36000+R36*D11*10/36000)))</f>
        <v>375557.95333333331</v>
      </c>
      <c r="V36" s="56">
        <f ca="1">IF(N37=1,R35*D11*20/36000+R36*D11*10/36000,IF(N37=0,IF(N36=0,0,R36*D11*Q12/36000+R35*D11*20/36000+R36*D11*10/36000)))</f>
        <v>375557.95333333331</v>
      </c>
      <c r="W36" s="56">
        <f t="shared" ca="1" si="27"/>
        <v>2773333.333333333</v>
      </c>
      <c r="X36" s="56">
        <f t="shared" ca="1" si="28"/>
        <v>2773330</v>
      </c>
      <c r="Y36" s="56">
        <f t="shared" ca="1" si="17"/>
        <v>6666650</v>
      </c>
      <c r="Z36" s="56">
        <f t="shared" ca="1" si="29"/>
        <v>751110.1</v>
      </c>
      <c r="AA36" s="56">
        <f t="shared" ca="1" si="18"/>
        <v>751110</v>
      </c>
      <c r="AB36" s="56">
        <f ca="1">IF(R37=0,R36*Q12,(R35*20+R36*10))</f>
        <v>6666740</v>
      </c>
      <c r="AC36" s="56">
        <f t="shared" ca="1" si="4"/>
        <v>0</v>
      </c>
      <c r="AD36" s="56">
        <f t="shared" ca="1" si="5"/>
        <v>0</v>
      </c>
      <c r="AE36" s="56">
        <f t="shared" ca="1" si="31"/>
        <v>0</v>
      </c>
      <c r="AF36" s="56">
        <f t="shared" ca="1" si="19"/>
        <v>0</v>
      </c>
      <c r="AG36" s="56">
        <f t="shared" ca="1" si="30"/>
        <v>0</v>
      </c>
      <c r="AH36" s="56">
        <f t="shared" ca="1" si="20"/>
        <v>0</v>
      </c>
      <c r="AI36" s="56">
        <f t="shared" ca="1" si="6"/>
        <v>3333370</v>
      </c>
      <c r="AJ36" s="56">
        <f ca="1">IF(N37=1,AI35*G12*20/36000+AI36*G12*10/36000,IF(N37=0,IF(N36=0,0,AI36*G12*Q12/36000+AI35*G12*20/36000+AI36*G12*10/36000)))</f>
        <v>0</v>
      </c>
      <c r="AK36" s="56">
        <f ca="1">IF(N37=1,AI35*G12*20/36000+AI36*G12*10/36000,IF(N37=0,IF(N36=0,0,AI36*G12*Q12/36000+AI35*G12*20/36000+AI36*G12*10/36000)))</f>
        <v>0</v>
      </c>
      <c r="AL36" s="57">
        <f t="shared" ca="1" si="21"/>
        <v>13</v>
      </c>
      <c r="AM36" s="57">
        <f t="shared" ca="1" si="7"/>
        <v>1</v>
      </c>
      <c r="AN36" s="51">
        <f t="shared" ca="1" si="22"/>
        <v>2024</v>
      </c>
      <c r="AO36" s="51">
        <f t="shared" ca="1" si="8"/>
        <v>2025</v>
      </c>
      <c r="AP36" s="51">
        <f t="shared" ca="1" si="9"/>
        <v>1</v>
      </c>
      <c r="AQ36" s="51">
        <f t="shared" ca="1" si="10"/>
        <v>30</v>
      </c>
      <c r="AR36" s="51">
        <f t="shared" si="11"/>
        <v>20</v>
      </c>
      <c r="AS36" s="51">
        <f t="shared" ca="1" si="23"/>
        <v>30</v>
      </c>
      <c r="AT36" s="52"/>
      <c r="AU36" s="52"/>
      <c r="AV36" s="52"/>
      <c r="AW36" s="52"/>
      <c r="AX36" s="52"/>
      <c r="AY36" s="51">
        <f t="shared" ca="1" si="24"/>
        <v>1</v>
      </c>
      <c r="AZ36" s="52"/>
      <c r="BA36" s="52"/>
      <c r="BB36" s="73"/>
      <c r="BC36" s="73"/>
      <c r="BD36" s="73"/>
      <c r="BE36" s="52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2"/>
        <v>13</v>
      </c>
      <c r="B37" s="268" t="str">
        <f t="shared" ca="1" si="13"/>
        <v>ИТОГО</v>
      </c>
      <c r="C37" s="401"/>
      <c r="D37" s="443">
        <f ca="1">IF(N37=0,IF(N36=1,D25+D26+D27+D28+D29+D30+D31+D32+D33+D34+D35+D36," "),IF(N37=0," ",IF(N38=1,D25,IF(N38=0,D10-D25*(M14-1)," "))))</f>
        <v>40000000</v>
      </c>
      <c r="E37" s="443"/>
      <c r="F37" s="84">
        <f ca="1">IF(N37=0,IF(N36=1,F25+F26+F27+F28+F29+F30+F31+F32+F33+F34+F35+F36," "),IF(M1=1,P37,IF(M1=2,Q37," ")))</f>
        <v>18243350</v>
      </c>
      <c r="G37" s="84">
        <v>0</v>
      </c>
      <c r="H37" s="84">
        <f t="shared" ca="1" si="14"/>
        <v>58243350</v>
      </c>
      <c r="I37" s="84">
        <f t="shared" ca="1" si="32"/>
        <v>0</v>
      </c>
      <c r="J37" s="84">
        <f t="shared" ca="1" si="33"/>
        <v>0</v>
      </c>
      <c r="K37" s="84">
        <v>0</v>
      </c>
      <c r="L37" s="84" t="str">
        <f t="shared" ca="1" si="34"/>
        <v xml:space="preserve"> </v>
      </c>
      <c r="M37" s="51">
        <f t="shared" si="15"/>
        <v>13</v>
      </c>
      <c r="N37" s="51">
        <f ca="1">IF(M1=1,IF(M14&gt;12,1,0),IF(M1=2,IF(M14&gt;12,1,0),0))</f>
        <v>0</v>
      </c>
      <c r="O37" s="51">
        <f t="shared" ca="1" si="1"/>
        <v>20</v>
      </c>
      <c r="P37" s="56">
        <f t="shared" ca="1" si="2"/>
        <v>0</v>
      </c>
      <c r="Q37" s="56">
        <f t="shared" ca="1" si="3"/>
        <v>0</v>
      </c>
      <c r="R37" s="56">
        <f t="shared" ca="1" si="16"/>
        <v>0</v>
      </c>
      <c r="S37" s="56">
        <f t="shared" ca="1" si="25"/>
        <v>40000000</v>
      </c>
      <c r="T37" s="56">
        <f t="shared" ca="1" si="26"/>
        <v>40000000</v>
      </c>
      <c r="U37" s="56">
        <f ca="1">IF(N38=1,R36*D$11*20/36000+R37*D$11*10/36000,IF(N38=0,IF(N37=0,0,IF(D16&gt;20,R36*D$11*20/36000+R37*D$11*(Q$12-20)/36000,R37*D$11*Q$12/36000))))</f>
        <v>0</v>
      </c>
      <c r="V37" s="56">
        <f ca="1">IF(N38=1,R36*D$11*20/36000+R37*D$11*10/36000,IF(N38=0,IF(N37=0,0,IF(D16&gt;20,R36*D$11*20/36000+R37*D$11*(Q$12-20)/36000,R37*D$11*Q$12/36000))))</f>
        <v>0</v>
      </c>
      <c r="W37" s="56">
        <f t="shared" ca="1" si="27"/>
        <v>0</v>
      </c>
      <c r="X37" s="56">
        <f t="shared" ca="1" si="28"/>
        <v>0</v>
      </c>
      <c r="Y37" s="56">
        <f t="shared" ca="1" si="17"/>
        <v>0</v>
      </c>
      <c r="Z37" s="56">
        <f ca="1">IF(N38=1,Y36*D$11*20/36000+Y37*D$11*10/36000,IF(N38=0,IF(N37=0,0,IF(D$16&gt;20,Y36*D$11*20/36000+Y37*D$11*(Q$12-20)/36000,Y37*D$11*Q$12/36000))))</f>
        <v>0</v>
      </c>
      <c r="AA37" s="56">
        <f t="shared" ca="1" si="18"/>
        <v>0</v>
      </c>
      <c r="AB37" s="56">
        <f ca="1">IF(R38=0,R37*Q12,(R36*20+R37*10))</f>
        <v>0</v>
      </c>
      <c r="AC37" s="56">
        <f t="shared" ca="1" si="4"/>
        <v>0</v>
      </c>
      <c r="AD37" s="56">
        <f t="shared" ca="1" si="5"/>
        <v>0</v>
      </c>
      <c r="AE37" s="56">
        <f t="shared" ca="1" si="31"/>
        <v>0</v>
      </c>
      <c r="AF37" s="56">
        <f t="shared" ca="1" si="19"/>
        <v>0</v>
      </c>
      <c r="AG37" s="56">
        <f t="shared" ca="1" si="30"/>
        <v>0</v>
      </c>
      <c r="AH37" s="56">
        <f t="shared" ca="1" si="20"/>
        <v>0</v>
      </c>
      <c r="AI37" s="56">
        <f t="shared" ca="1" si="6"/>
        <v>0</v>
      </c>
      <c r="AJ37" s="56">
        <f ca="1">IF(N38=1,AI36*G12*20/36000+AI37*G12*10/36000,IF(N38=0,IF(N37=0,0,AI37*G12*Q12/36000)))</f>
        <v>0</v>
      </c>
      <c r="AK37" s="56">
        <f ca="1">IF(N38=1,AI36*G12*20/36000+AI37*G12*10/36000,IF(N38=0,IF(N37=0,0,AI37*G12*Q12/36000)))</f>
        <v>0</v>
      </c>
      <c r="AL37" s="57">
        <f t="shared" ca="1" si="21"/>
        <v>0</v>
      </c>
      <c r="AM37" s="57">
        <f t="shared" ca="1" si="7"/>
        <v>0</v>
      </c>
      <c r="AN37" s="51">
        <f t="shared" ca="1" si="22"/>
        <v>0</v>
      </c>
      <c r="AO37" s="51">
        <f t="shared" ca="1" si="8"/>
        <v>0</v>
      </c>
      <c r="AP37" s="51">
        <f t="shared" ca="1" si="9"/>
        <v>0</v>
      </c>
      <c r="AQ37" s="51">
        <f t="shared" ca="1" si="10"/>
        <v>30</v>
      </c>
      <c r="AR37" s="51">
        <f t="shared" si="11"/>
        <v>20</v>
      </c>
      <c r="AS37" s="51">
        <f t="shared" ca="1" si="23"/>
        <v>30</v>
      </c>
      <c r="AT37" s="52"/>
      <c r="AU37" s="52"/>
      <c r="AV37" s="52"/>
      <c r="AW37" s="52"/>
      <c r="AX37" s="52"/>
      <c r="AY37" s="51">
        <f t="shared" ca="1" si="24"/>
        <v>0</v>
      </c>
      <c r="AZ37" s="52"/>
      <c r="BA37" s="52"/>
      <c r="BB37" s="73"/>
      <c r="BC37" s="73"/>
      <c r="BD37" s="73"/>
      <c r="BE37" s="52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2"/>
        <v>14</v>
      </c>
      <c r="B38" s="268" t="str">
        <f t="shared" ca="1" si="13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4"/>
        <v xml:space="preserve"> </v>
      </c>
      <c r="I38" s="84">
        <f t="shared" ca="1" si="32"/>
        <v>0</v>
      </c>
      <c r="J38" s="84">
        <f t="shared" ca="1" si="33"/>
        <v>0</v>
      </c>
      <c r="K38" s="84">
        <v>0</v>
      </c>
      <c r="L38" s="84" t="str">
        <f t="shared" ca="1" si="34"/>
        <v xml:space="preserve"> </v>
      </c>
      <c r="M38" s="51">
        <f t="shared" si="15"/>
        <v>14</v>
      </c>
      <c r="N38" s="51">
        <f ca="1">IF(M1=1,IF(M14&gt;13,1,0),IF(M1=2,IF(M14&gt;13,1,0),0))</f>
        <v>0</v>
      </c>
      <c r="O38" s="51">
        <f t="shared" ca="1" si="1"/>
        <v>20</v>
      </c>
      <c r="P38" s="56">
        <f t="shared" ca="1" si="2"/>
        <v>0</v>
      </c>
      <c r="Q38" s="56">
        <f t="shared" ca="1" si="3"/>
        <v>0</v>
      </c>
      <c r="R38" s="56">
        <f t="shared" ca="1" si="16"/>
        <v>0</v>
      </c>
      <c r="S38" s="56" t="str">
        <f t="shared" ca="1" si="25"/>
        <v xml:space="preserve"> </v>
      </c>
      <c r="T38" s="56" t="e">
        <f t="shared" ca="1" si="26"/>
        <v>#VALUE!</v>
      </c>
      <c r="U38" s="56">
        <f ca="1">IF(N39=1,R37*D11*20/36000+R38*D11*10/36000,IF(N39=0,IF(N38=0,0,R38*D11*Q12/36000+R37*D11*20/36000+R38*D11*10/36000)))</f>
        <v>0</v>
      </c>
      <c r="V38" s="56">
        <f ca="1">IF(N39=1,R37*D11*20/36000+R38*D11*10/36000,IF(N39=0,IF(N38=0,0,R38*D11*Q12/36000+R37*D11*20/36000+R38*D11*10/36000)))</f>
        <v>0</v>
      </c>
      <c r="W38" s="56">
        <f t="shared" ca="1" si="27"/>
        <v>0</v>
      </c>
      <c r="X38" s="56">
        <f t="shared" ca="1" si="28"/>
        <v>0</v>
      </c>
      <c r="Y38" s="56">
        <f t="shared" ca="1" si="17"/>
        <v>0</v>
      </c>
      <c r="Z38" s="56">
        <f t="shared" ca="1" si="29"/>
        <v>0</v>
      </c>
      <c r="AA38" s="56">
        <f t="shared" ca="1" si="18"/>
        <v>0</v>
      </c>
      <c r="AB38" s="56">
        <f ca="1">IF(R39=0,R38*Q12,(R37*20+R38*10))</f>
        <v>0</v>
      </c>
      <c r="AC38" s="56">
        <f t="shared" ca="1" si="4"/>
        <v>0</v>
      </c>
      <c r="AD38" s="56">
        <f t="shared" ca="1" si="5"/>
        <v>0</v>
      </c>
      <c r="AE38" s="56">
        <f t="shared" ca="1" si="31"/>
        <v>0</v>
      </c>
      <c r="AF38" s="56">
        <f t="shared" ca="1" si="19"/>
        <v>0</v>
      </c>
      <c r="AG38" s="56">
        <f t="shared" ca="1" si="30"/>
        <v>0</v>
      </c>
      <c r="AH38" s="56">
        <f t="shared" ca="1" si="20"/>
        <v>0</v>
      </c>
      <c r="AI38" s="56">
        <f t="shared" ca="1" si="6"/>
        <v>0</v>
      </c>
      <c r="AJ38" s="56">
        <f ca="1">IF(N39=1,AI37*G12*20/36000+AI38*G12*10/36000,IF(N39=0,IF(N38=0,0,AI38*G12*Q12/36000+AI37*G12*20/36000+AI38*G12*10/36000)))</f>
        <v>0</v>
      </c>
      <c r="AK38" s="56">
        <f ca="1">IF(N39=1,AI37*G12*20/36000+AI38*G12*10/36000,IF(N39=0,IF(N38=0,0,AI38*G12*Q12/36000+AI37*G12*20/36000+AI38*G12*10/36000)))</f>
        <v>0</v>
      </c>
      <c r="AL38" s="57">
        <f t="shared" ca="1" si="21"/>
        <v>0</v>
      </c>
      <c r="AM38" s="57">
        <f t="shared" ca="1" si="7"/>
        <v>0</v>
      </c>
      <c r="AN38" s="51">
        <f t="shared" ca="1" si="22"/>
        <v>0</v>
      </c>
      <c r="AO38" s="51">
        <f t="shared" ca="1" si="8"/>
        <v>0</v>
      </c>
      <c r="AP38" s="51">
        <f t="shared" ca="1" si="9"/>
        <v>0</v>
      </c>
      <c r="AQ38" s="51">
        <f t="shared" ca="1" si="10"/>
        <v>30</v>
      </c>
      <c r="AR38" s="51">
        <f t="shared" si="11"/>
        <v>20</v>
      </c>
      <c r="AS38" s="51">
        <f t="shared" ca="1" si="23"/>
        <v>30</v>
      </c>
      <c r="AT38" s="52"/>
      <c r="AU38" s="52"/>
      <c r="AV38" s="52"/>
      <c r="AW38" s="52"/>
      <c r="AX38" s="52"/>
      <c r="AY38" s="51">
        <f t="shared" ca="1" si="24"/>
        <v>0</v>
      </c>
      <c r="AZ38" s="52"/>
      <c r="BA38" s="52"/>
      <c r="BB38" s="73"/>
      <c r="BC38" s="73"/>
      <c r="BD38" s="73"/>
      <c r="BE38" s="52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2"/>
        <v>15</v>
      </c>
      <c r="B39" s="268" t="str">
        <f t="shared" ca="1" si="13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4"/>
        <v xml:space="preserve"> </v>
      </c>
      <c r="I39" s="84">
        <f t="shared" ca="1" si="32"/>
        <v>0</v>
      </c>
      <c r="J39" s="84">
        <f t="shared" ca="1" si="33"/>
        <v>0</v>
      </c>
      <c r="K39" s="84">
        <v>0</v>
      </c>
      <c r="L39" s="84" t="str">
        <f t="shared" ca="1" si="34"/>
        <v xml:space="preserve"> </v>
      </c>
      <c r="M39" s="51">
        <f t="shared" si="15"/>
        <v>15</v>
      </c>
      <c r="N39" s="51">
        <f ca="1">IF(M1=1,IF(M14&gt;14,1,0),IF(M1=2,IF(M14&gt;14,1,0),0))</f>
        <v>0</v>
      </c>
      <c r="O39" s="51">
        <f t="shared" ca="1" si="1"/>
        <v>20</v>
      </c>
      <c r="P39" s="56">
        <f t="shared" ca="1" si="2"/>
        <v>0</v>
      </c>
      <c r="Q39" s="56">
        <f t="shared" ca="1" si="3"/>
        <v>0</v>
      </c>
      <c r="R39" s="56">
        <f t="shared" ca="1" si="16"/>
        <v>0</v>
      </c>
      <c r="S39" s="56" t="str">
        <f t="shared" ca="1" si="25"/>
        <v xml:space="preserve"> </v>
      </c>
      <c r="T39" s="56" t="e">
        <f t="shared" ca="1" si="26"/>
        <v>#VALUE!</v>
      </c>
      <c r="U39" s="56">
        <f ca="1">IF(N40=1,R38*D11*20/36000+R39*D11*10/36000,IF(N40=0,IF(N39=0,0,R39*D11*Q12/36000+R38*D11*20/36000+R39*D11*10/36000)))</f>
        <v>0</v>
      </c>
      <c r="V39" s="56">
        <f ca="1">IF(N40=1,R38*D11*20/36000+R39*D11*10/36000,IF(N40=0,IF(N39=0,0,R39*D11*Q12/36000+R38*D11*20/36000+R39*D11*10/36000)))</f>
        <v>0</v>
      </c>
      <c r="W39" s="56">
        <f t="shared" ca="1" si="27"/>
        <v>0</v>
      </c>
      <c r="X39" s="56">
        <f t="shared" ca="1" si="28"/>
        <v>0</v>
      </c>
      <c r="Y39" s="56">
        <f t="shared" ca="1" si="17"/>
        <v>0</v>
      </c>
      <c r="Z39" s="56">
        <f t="shared" ca="1" si="29"/>
        <v>0</v>
      </c>
      <c r="AA39" s="56">
        <f t="shared" ca="1" si="18"/>
        <v>0</v>
      </c>
      <c r="AB39" s="56">
        <f ca="1">IF(R40=0,R39*Q12,(R38*20+R39*10))</f>
        <v>0</v>
      </c>
      <c r="AC39" s="56">
        <f t="shared" ca="1" si="4"/>
        <v>0</v>
      </c>
      <c r="AD39" s="56">
        <f t="shared" ca="1" si="5"/>
        <v>0</v>
      </c>
      <c r="AE39" s="56">
        <f t="shared" ca="1" si="31"/>
        <v>0</v>
      </c>
      <c r="AF39" s="56">
        <f t="shared" ca="1" si="19"/>
        <v>0</v>
      </c>
      <c r="AG39" s="56">
        <f t="shared" ca="1" si="30"/>
        <v>0</v>
      </c>
      <c r="AH39" s="56">
        <f t="shared" ca="1" si="20"/>
        <v>0</v>
      </c>
      <c r="AI39" s="56">
        <f t="shared" ca="1" si="6"/>
        <v>0</v>
      </c>
      <c r="AJ39" s="56">
        <f ca="1">IF(N40=1,AI38*G12*20/36000+AI39*G12*10/36000,IF(N40=0,IF(N39=0,0,AI39*G12*Q12/36000+AI38*G12*20/36000+AI39*G12*10/36000)))</f>
        <v>0</v>
      </c>
      <c r="AK39" s="56">
        <f ca="1">IF(N40=1,AI38*G12*20/36000+AI39*G12*10/36000,IF(N40=0,IF(N39=0,0,AI39*G12*Q12/36000+AI38*G12*20/36000+AI39*G12*10/36000)))</f>
        <v>0</v>
      </c>
      <c r="AL39" s="57">
        <f t="shared" ca="1" si="21"/>
        <v>0</v>
      </c>
      <c r="AM39" s="57">
        <f t="shared" ca="1" si="7"/>
        <v>0</v>
      </c>
      <c r="AN39" s="51">
        <f t="shared" ca="1" si="22"/>
        <v>0</v>
      </c>
      <c r="AO39" s="51">
        <f t="shared" ca="1" si="8"/>
        <v>0</v>
      </c>
      <c r="AP39" s="51">
        <f t="shared" ca="1" si="9"/>
        <v>0</v>
      </c>
      <c r="AQ39" s="51">
        <f t="shared" ca="1" si="10"/>
        <v>30</v>
      </c>
      <c r="AR39" s="51">
        <f t="shared" si="11"/>
        <v>20</v>
      </c>
      <c r="AS39" s="51">
        <f t="shared" ca="1" si="23"/>
        <v>30</v>
      </c>
      <c r="AT39" s="52"/>
      <c r="AU39" s="52"/>
      <c r="AV39" s="52"/>
      <c r="AW39" s="52"/>
      <c r="AX39" s="52"/>
      <c r="AY39" s="51">
        <f t="shared" ca="1" si="24"/>
        <v>0</v>
      </c>
      <c r="AZ39" s="52"/>
      <c r="BA39" s="52"/>
      <c r="BB39" s="73"/>
      <c r="BC39" s="73"/>
      <c r="BD39" s="73"/>
      <c r="BE39" s="52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2"/>
        <v>16</v>
      </c>
      <c r="B40" s="268" t="str">
        <f t="shared" ca="1" si="13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4"/>
        <v xml:space="preserve"> </v>
      </c>
      <c r="I40" s="84">
        <f t="shared" ca="1" si="32"/>
        <v>0</v>
      </c>
      <c r="J40" s="84">
        <f t="shared" ca="1" si="33"/>
        <v>0</v>
      </c>
      <c r="K40" s="84">
        <v>0</v>
      </c>
      <c r="L40" s="84" t="str">
        <f t="shared" ca="1" si="34"/>
        <v xml:space="preserve"> </v>
      </c>
      <c r="M40" s="51">
        <f t="shared" si="15"/>
        <v>16</v>
      </c>
      <c r="N40" s="51">
        <f ca="1">IF(M1=1,IF(M14&gt;15,1,0),IF(M1=2,IF(M14&gt;15,1,0),0))</f>
        <v>0</v>
      </c>
      <c r="O40" s="51">
        <f t="shared" ca="1" si="1"/>
        <v>20</v>
      </c>
      <c r="P40" s="56">
        <f t="shared" ca="1" si="2"/>
        <v>0</v>
      </c>
      <c r="Q40" s="56">
        <f t="shared" ca="1" si="3"/>
        <v>0</v>
      </c>
      <c r="R40" s="56">
        <f t="shared" ca="1" si="16"/>
        <v>0</v>
      </c>
      <c r="S40" s="56" t="str">
        <f t="shared" ca="1" si="25"/>
        <v xml:space="preserve"> </v>
      </c>
      <c r="T40" s="56" t="e">
        <f t="shared" ca="1" si="26"/>
        <v>#VALUE!</v>
      </c>
      <c r="U40" s="56">
        <f ca="1">IF(N41=1,R39*D11*20/36000+R40*D11*10/36000,IF(N41=0,IF(N40=0,0,R40*D11*Q12/36000+R39*D11*20/36000+R40*D11*10/36000)))</f>
        <v>0</v>
      </c>
      <c r="V40" s="56">
        <f ca="1">IF(N41=1,R39*D11*20/36000+R40*D11*10/36000,IF(N41=0,IF(N40=0,0,R40*D11*Q12/36000+R39*D11*20/36000+R40*D11*10/36000)))</f>
        <v>0</v>
      </c>
      <c r="W40" s="56">
        <f t="shared" ca="1" si="27"/>
        <v>0</v>
      </c>
      <c r="X40" s="56">
        <f t="shared" ca="1" si="28"/>
        <v>0</v>
      </c>
      <c r="Y40" s="56">
        <f t="shared" ca="1" si="17"/>
        <v>0</v>
      </c>
      <c r="Z40" s="56">
        <f t="shared" ca="1" si="29"/>
        <v>0</v>
      </c>
      <c r="AA40" s="56">
        <f t="shared" ca="1" si="18"/>
        <v>0</v>
      </c>
      <c r="AB40" s="56">
        <f ca="1">IF(R41=0,R40*Q12,(R39*20+R40*10))</f>
        <v>0</v>
      </c>
      <c r="AC40" s="56">
        <f t="shared" ca="1" si="4"/>
        <v>0</v>
      </c>
      <c r="AD40" s="56">
        <f t="shared" ca="1" si="5"/>
        <v>0</v>
      </c>
      <c r="AE40" s="56">
        <f t="shared" ca="1" si="31"/>
        <v>0</v>
      </c>
      <c r="AF40" s="56">
        <f t="shared" ca="1" si="19"/>
        <v>0</v>
      </c>
      <c r="AG40" s="56">
        <f t="shared" ca="1" si="30"/>
        <v>0</v>
      </c>
      <c r="AH40" s="56">
        <f t="shared" ca="1" si="20"/>
        <v>0</v>
      </c>
      <c r="AI40" s="56">
        <f t="shared" ca="1" si="6"/>
        <v>0</v>
      </c>
      <c r="AJ40" s="56">
        <f ca="1">IF(N41=1,AI39*G12*20/36000+AI40*G12*10/36000,IF(N41=0,IF(N40=0,0,AI40*G12*Q12/36000+AI39*G12*20/36000+AI40*G12*10/36000)))</f>
        <v>0</v>
      </c>
      <c r="AK40" s="56">
        <f ca="1">IF(N41=1,AI39*G12*20/36000+AI40*G12*10/36000,IF(N41=0,IF(N40=0,0,AI40*G12*Q12/36000+AI39*G12*20/36000+AI40*G12*10/36000)))</f>
        <v>0</v>
      </c>
      <c r="AL40" s="57">
        <f t="shared" ca="1" si="21"/>
        <v>0</v>
      </c>
      <c r="AM40" s="57">
        <f t="shared" ca="1" si="7"/>
        <v>0</v>
      </c>
      <c r="AN40" s="51">
        <f t="shared" ca="1" si="22"/>
        <v>0</v>
      </c>
      <c r="AO40" s="51">
        <f t="shared" ca="1" si="8"/>
        <v>0</v>
      </c>
      <c r="AP40" s="51">
        <f t="shared" ca="1" si="9"/>
        <v>0</v>
      </c>
      <c r="AQ40" s="51">
        <f t="shared" ca="1" si="10"/>
        <v>30</v>
      </c>
      <c r="AR40" s="51">
        <f t="shared" si="11"/>
        <v>20</v>
      </c>
      <c r="AS40" s="51">
        <f t="shared" ca="1" si="23"/>
        <v>30</v>
      </c>
      <c r="AT40" s="52"/>
      <c r="AU40" s="52"/>
      <c r="AV40" s="52"/>
      <c r="AW40" s="52"/>
      <c r="AX40" s="52"/>
      <c r="AY40" s="51">
        <f t="shared" ca="1" si="24"/>
        <v>0</v>
      </c>
      <c r="AZ40" s="52"/>
      <c r="BA40" s="52"/>
      <c r="BB40" s="73"/>
      <c r="BC40" s="73"/>
      <c r="BD40" s="73"/>
      <c r="BE40" s="52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2"/>
        <v>17</v>
      </c>
      <c r="B41" s="268" t="str">
        <f t="shared" ca="1" si="13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4"/>
        <v xml:space="preserve"> </v>
      </c>
      <c r="I41" s="84">
        <f t="shared" ca="1" si="32"/>
        <v>0</v>
      </c>
      <c r="J41" s="84">
        <f t="shared" ca="1" si="33"/>
        <v>0</v>
      </c>
      <c r="K41" s="84">
        <v>0</v>
      </c>
      <c r="L41" s="84" t="str">
        <f t="shared" ca="1" si="34"/>
        <v xml:space="preserve"> </v>
      </c>
      <c r="M41" s="51">
        <f t="shared" si="15"/>
        <v>17</v>
      </c>
      <c r="N41" s="51">
        <f ca="1">IF(M1=1,IF(M14&gt;16,1,0),IF(M1=2,IF(M14&gt;16,1,0),0))</f>
        <v>0</v>
      </c>
      <c r="O41" s="51">
        <f t="shared" ca="1" si="1"/>
        <v>20</v>
      </c>
      <c r="P41" s="56">
        <f t="shared" ca="1" si="2"/>
        <v>0</v>
      </c>
      <c r="Q41" s="56">
        <f t="shared" ca="1" si="3"/>
        <v>0</v>
      </c>
      <c r="R41" s="56">
        <f t="shared" ca="1" si="16"/>
        <v>0</v>
      </c>
      <c r="S41" s="56" t="str">
        <f t="shared" ca="1" si="25"/>
        <v xml:space="preserve"> </v>
      </c>
      <c r="T41" s="56" t="e">
        <f t="shared" ca="1" si="26"/>
        <v>#VALUE!</v>
      </c>
      <c r="U41" s="56">
        <f ca="1">IF(N42=1,R40*D11*20/36000+R41*D11*10/36000,IF(N42=0,IF(N41=0,0,R41*D11*Q12/36000+R40*D11*20/36000+R41*D11*10/36000)))</f>
        <v>0</v>
      </c>
      <c r="V41" s="56">
        <f ca="1">IF(N42=1,R40*D11*20/36000+R41*D11*10/36000,IF(N42=0,IF(N41=0,0,R41*D11*Q12/36000+R40*D11*20/36000+R41*D11*10/36000)))</f>
        <v>0</v>
      </c>
      <c r="W41" s="56">
        <f t="shared" ca="1" si="27"/>
        <v>0</v>
      </c>
      <c r="X41" s="56">
        <f t="shared" ca="1" si="28"/>
        <v>0</v>
      </c>
      <c r="Y41" s="56">
        <f t="shared" ca="1" si="17"/>
        <v>0</v>
      </c>
      <c r="Z41" s="56">
        <f t="shared" ca="1" si="29"/>
        <v>0</v>
      </c>
      <c r="AA41" s="56">
        <f t="shared" ca="1" si="18"/>
        <v>0</v>
      </c>
      <c r="AB41" s="56">
        <f ca="1">IF(R42=0,R41*Q12,(R40*20+R41*10))</f>
        <v>0</v>
      </c>
      <c r="AC41" s="56">
        <f t="shared" ca="1" si="4"/>
        <v>0</v>
      </c>
      <c r="AD41" s="56">
        <f t="shared" ca="1" si="5"/>
        <v>0</v>
      </c>
      <c r="AE41" s="56">
        <f t="shared" ca="1" si="31"/>
        <v>0</v>
      </c>
      <c r="AF41" s="56">
        <f t="shared" ca="1" si="19"/>
        <v>0</v>
      </c>
      <c r="AG41" s="56">
        <f t="shared" ca="1" si="30"/>
        <v>0</v>
      </c>
      <c r="AH41" s="56">
        <f t="shared" ca="1" si="20"/>
        <v>0</v>
      </c>
      <c r="AI41" s="56">
        <f t="shared" ca="1" si="6"/>
        <v>0</v>
      </c>
      <c r="AJ41" s="56">
        <f ca="1">IF(N42=1,AI40*G12*20/36000+AI41*G12*10/36000,IF(N42=0,IF(N41=0,0,AI41*G12*Q12/36000+AI40*G12*20/36000+AI41*G12*10/36000)))</f>
        <v>0</v>
      </c>
      <c r="AK41" s="56">
        <f ca="1">IF(N42=1,AI40*G12*20/36000+AI41*G12*10/36000,IF(N42=0,IF(N41=0,0,AI41*G12*Q12/36000+AI40*G12*20/36000+AI41*G12*10/36000)))</f>
        <v>0</v>
      </c>
      <c r="AL41" s="57">
        <f t="shared" ca="1" si="21"/>
        <v>0</v>
      </c>
      <c r="AM41" s="57">
        <f t="shared" ca="1" si="7"/>
        <v>0</v>
      </c>
      <c r="AN41" s="51">
        <f t="shared" ca="1" si="22"/>
        <v>0</v>
      </c>
      <c r="AO41" s="51">
        <f t="shared" ca="1" si="8"/>
        <v>0</v>
      </c>
      <c r="AP41" s="51">
        <f t="shared" ca="1" si="9"/>
        <v>0</v>
      </c>
      <c r="AQ41" s="51">
        <f t="shared" ca="1" si="10"/>
        <v>30</v>
      </c>
      <c r="AR41" s="51">
        <f t="shared" si="11"/>
        <v>20</v>
      </c>
      <c r="AS41" s="51">
        <f t="shared" ca="1" si="23"/>
        <v>30</v>
      </c>
      <c r="AT41" s="52"/>
      <c r="AU41" s="52"/>
      <c r="AV41" s="52"/>
      <c r="AW41" s="52"/>
      <c r="AX41" s="52"/>
      <c r="AY41" s="51">
        <f t="shared" ca="1" si="24"/>
        <v>0</v>
      </c>
      <c r="AZ41" s="52"/>
      <c r="BA41" s="52"/>
      <c r="BB41" s="73"/>
      <c r="BC41" s="73"/>
      <c r="BD41" s="73"/>
      <c r="BE41" s="52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2"/>
        <v>18</v>
      </c>
      <c r="B42" s="268" t="str">
        <f t="shared" ca="1" si="13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4"/>
        <v xml:space="preserve"> </v>
      </c>
      <c r="I42" s="84">
        <f t="shared" ca="1" si="32"/>
        <v>0</v>
      </c>
      <c r="J42" s="84">
        <f t="shared" ca="1" si="33"/>
        <v>0</v>
      </c>
      <c r="K42" s="84">
        <v>0</v>
      </c>
      <c r="L42" s="84" t="str">
        <f t="shared" ca="1" si="34"/>
        <v xml:space="preserve"> </v>
      </c>
      <c r="M42" s="51">
        <f t="shared" si="15"/>
        <v>18</v>
      </c>
      <c r="N42" s="51">
        <f ca="1">IF(M1=1,IF(M14&gt;17,1,0),IF(M1=2,IF(M14&gt;17,1,0),0))</f>
        <v>0</v>
      </c>
      <c r="O42" s="51">
        <f t="shared" ca="1" si="1"/>
        <v>20</v>
      </c>
      <c r="P42" s="56">
        <f t="shared" ca="1" si="2"/>
        <v>0</v>
      </c>
      <c r="Q42" s="56">
        <f t="shared" ca="1" si="3"/>
        <v>0</v>
      </c>
      <c r="R42" s="56">
        <f t="shared" ca="1" si="16"/>
        <v>0</v>
      </c>
      <c r="S42" s="56" t="str">
        <f t="shared" ca="1" si="25"/>
        <v xml:space="preserve"> </v>
      </c>
      <c r="T42" s="56" t="e">
        <f t="shared" ca="1" si="26"/>
        <v>#VALUE!</v>
      </c>
      <c r="U42" s="56">
        <f ca="1">IF(N43=1,R41*D11*20/36000+R42*D11*10/36000,IF(N43=0,IF(N42=0,0,R42*D11*Q12/36000+R41*D11*20/36000+R42*D11*10/36000)))</f>
        <v>0</v>
      </c>
      <c r="V42" s="56">
        <f ca="1">IF(N43=1,R41*D11*20/36000+R42*D11*10/36000,IF(N43=0,IF(N42=0,0,R42*D11*Q12/36000+R41*D11*20/36000+R42*D11*10/36000)))</f>
        <v>0</v>
      </c>
      <c r="W42" s="56">
        <f t="shared" ca="1" si="27"/>
        <v>0</v>
      </c>
      <c r="X42" s="56">
        <f t="shared" ca="1" si="28"/>
        <v>0</v>
      </c>
      <c r="Y42" s="56">
        <f t="shared" ca="1" si="17"/>
        <v>0</v>
      </c>
      <c r="Z42" s="56">
        <f t="shared" ca="1" si="29"/>
        <v>0</v>
      </c>
      <c r="AA42" s="56">
        <f t="shared" ca="1" si="18"/>
        <v>0</v>
      </c>
      <c r="AB42" s="56">
        <f ca="1">IF(R43=0,R42*Q12,(R41*20+R42*10))</f>
        <v>0</v>
      </c>
      <c r="AC42" s="56">
        <f t="shared" ca="1" si="4"/>
        <v>0</v>
      </c>
      <c r="AD42" s="56">
        <f t="shared" ca="1" si="5"/>
        <v>0</v>
      </c>
      <c r="AE42" s="56">
        <f t="shared" ca="1" si="31"/>
        <v>0</v>
      </c>
      <c r="AF42" s="56">
        <f t="shared" ca="1" si="19"/>
        <v>0</v>
      </c>
      <c r="AG42" s="56">
        <f t="shared" ca="1" si="30"/>
        <v>0</v>
      </c>
      <c r="AH42" s="56">
        <f t="shared" ca="1" si="20"/>
        <v>0</v>
      </c>
      <c r="AI42" s="56">
        <f t="shared" ca="1" si="6"/>
        <v>0</v>
      </c>
      <c r="AJ42" s="56">
        <f ca="1">IF(N43=1,AI41*G12*20/36000+AI42*G12*10/36000,IF(N43=0,IF(N42=0,0,AI42*G12*Q12/36000+AI41*G12*20/36000+AI42*G12*10/36000)))</f>
        <v>0</v>
      </c>
      <c r="AK42" s="56">
        <f ca="1">IF(N43=1,AI41*G12*20/36000+AI42*G12*10/36000,IF(N43=0,IF(N42=0,0,AI42*G12*Q12/36000+AI41*G12*20/36000+AI42*G12*10/36000)))</f>
        <v>0</v>
      </c>
      <c r="AL42" s="57">
        <f t="shared" ca="1" si="21"/>
        <v>0</v>
      </c>
      <c r="AM42" s="57">
        <f t="shared" ca="1" si="7"/>
        <v>0</v>
      </c>
      <c r="AN42" s="51">
        <f t="shared" ca="1" si="22"/>
        <v>0</v>
      </c>
      <c r="AO42" s="51">
        <f t="shared" ca="1" si="8"/>
        <v>0</v>
      </c>
      <c r="AP42" s="51">
        <f t="shared" ca="1" si="9"/>
        <v>0</v>
      </c>
      <c r="AQ42" s="51">
        <f t="shared" ca="1" si="10"/>
        <v>30</v>
      </c>
      <c r="AR42" s="51">
        <f t="shared" si="11"/>
        <v>20</v>
      </c>
      <c r="AS42" s="51">
        <f t="shared" ca="1" si="23"/>
        <v>30</v>
      </c>
      <c r="AT42" s="52"/>
      <c r="AU42" s="52"/>
      <c r="AV42" s="52"/>
      <c r="AW42" s="52"/>
      <c r="AX42" s="52"/>
      <c r="AY42" s="51">
        <f t="shared" ca="1" si="24"/>
        <v>0</v>
      </c>
      <c r="AZ42" s="52"/>
      <c r="BA42" s="52"/>
      <c r="BB42" s="73"/>
      <c r="BC42" s="73"/>
      <c r="BD42" s="73"/>
      <c r="BE42" s="52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2"/>
        <v>19</v>
      </c>
      <c r="B43" s="268" t="str">
        <f t="shared" ca="1" si="13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4"/>
        <v xml:space="preserve"> </v>
      </c>
      <c r="I43" s="84">
        <f t="shared" ca="1" si="32"/>
        <v>0</v>
      </c>
      <c r="J43" s="84">
        <f t="shared" ca="1" si="33"/>
        <v>0</v>
      </c>
      <c r="K43" s="84">
        <v>0</v>
      </c>
      <c r="L43" s="84" t="str">
        <f t="shared" ca="1" si="34"/>
        <v xml:space="preserve"> </v>
      </c>
      <c r="M43" s="51">
        <f t="shared" si="15"/>
        <v>19</v>
      </c>
      <c r="N43" s="51">
        <f ca="1">IF(M1=1,IF(M14&gt;18,1,0),IF(M1=2,IF(M14&gt;18,1,0),0))</f>
        <v>0</v>
      </c>
      <c r="O43" s="51">
        <f t="shared" ca="1" si="1"/>
        <v>20</v>
      </c>
      <c r="P43" s="56">
        <f t="shared" ca="1" si="2"/>
        <v>0</v>
      </c>
      <c r="Q43" s="56">
        <f t="shared" ca="1" si="3"/>
        <v>0</v>
      </c>
      <c r="R43" s="56">
        <f t="shared" ca="1" si="16"/>
        <v>0</v>
      </c>
      <c r="S43" s="56" t="str">
        <f t="shared" ca="1" si="25"/>
        <v xml:space="preserve"> </v>
      </c>
      <c r="T43" s="56" t="e">
        <f t="shared" ca="1" si="26"/>
        <v>#VALUE!</v>
      </c>
      <c r="U43" s="56">
        <f ca="1">IF(N44=1,R42*D$11*20/36000+R43*D$11*10/36000,IF(N44=0,IF(N43=0,0,IF(D22&gt;20,R42*D$11*20/36000+R43*D$11*(Q$12-20)/36000,R43*D$11*Q$12/36000))))</f>
        <v>0</v>
      </c>
      <c r="V43" s="56">
        <f ca="1">IF(N44=1,R42*D$11*20/36000+R43*D$11*10/36000,IF(N44=0,IF(N43=0,0,IF(D22&gt;20,R42*D$11*20/36000+R43*D$11*(Q$12-20)/36000,R43*D$11*Q$12/36000))))</f>
        <v>0</v>
      </c>
      <c r="W43" s="56">
        <f t="shared" ca="1" si="27"/>
        <v>0</v>
      </c>
      <c r="X43" s="56">
        <f t="shared" ca="1" si="28"/>
        <v>0</v>
      </c>
      <c r="Y43" s="56">
        <f t="shared" ca="1" si="17"/>
        <v>0</v>
      </c>
      <c r="Z43" s="56">
        <f ca="1">IF(N44=1,Y42*D$11*20/36000+Y43*D$11*10/36000,IF(N44=0,IF(N43=0,0,IF(D$16&gt;20,Y42*D$11*20/36000+Y43*D$11*(Q$12-20)/36000,Y43*D$11*Q$12/36000))))</f>
        <v>0</v>
      </c>
      <c r="AA43" s="56">
        <f t="shared" ca="1" si="18"/>
        <v>0</v>
      </c>
      <c r="AB43" s="56">
        <f ca="1">IF(R44=0,R43*Q12,(R42*20+R43*10))</f>
        <v>0</v>
      </c>
      <c r="AC43" s="56">
        <f t="shared" ca="1" si="4"/>
        <v>0</v>
      </c>
      <c r="AD43" s="56">
        <f t="shared" ca="1" si="5"/>
        <v>0</v>
      </c>
      <c r="AE43" s="56">
        <f t="shared" ca="1" si="31"/>
        <v>0</v>
      </c>
      <c r="AF43" s="56">
        <f t="shared" ca="1" si="19"/>
        <v>0</v>
      </c>
      <c r="AG43" s="56">
        <f t="shared" ca="1" si="30"/>
        <v>0</v>
      </c>
      <c r="AH43" s="56">
        <f t="shared" ca="1" si="20"/>
        <v>0</v>
      </c>
      <c r="AI43" s="56">
        <f t="shared" ca="1" si="6"/>
        <v>0</v>
      </c>
      <c r="AJ43" s="56">
        <f ca="1">IF(N44=1,AI42*G$12*20/36000+AI43*G$12*10/36000,IF(N44=0,IF(N43=0,0,AI43*G$12*Q$12/36000)))</f>
        <v>0</v>
      </c>
      <c r="AK43" s="56">
        <f ca="1">IF(N44=1,AI42*G$12*20/36000+AI43*G$12*10/36000,IF(N44=0,IF(N43=0,0,AI43*G$12*Q$12/36000)))</f>
        <v>0</v>
      </c>
      <c r="AL43" s="57">
        <f t="shared" ca="1" si="21"/>
        <v>0</v>
      </c>
      <c r="AM43" s="57">
        <f t="shared" ca="1" si="7"/>
        <v>0</v>
      </c>
      <c r="AN43" s="51">
        <f t="shared" ca="1" si="22"/>
        <v>0</v>
      </c>
      <c r="AO43" s="51">
        <f t="shared" ca="1" si="8"/>
        <v>0</v>
      </c>
      <c r="AP43" s="51">
        <f t="shared" ca="1" si="9"/>
        <v>0</v>
      </c>
      <c r="AQ43" s="51">
        <f t="shared" ca="1" si="10"/>
        <v>30</v>
      </c>
      <c r="AR43" s="51">
        <f t="shared" si="11"/>
        <v>20</v>
      </c>
      <c r="AS43" s="51">
        <f t="shared" ca="1" si="23"/>
        <v>30</v>
      </c>
      <c r="AT43" s="52"/>
      <c r="AU43" s="52"/>
      <c r="AV43" s="52"/>
      <c r="AW43" s="52"/>
      <c r="AX43" s="52"/>
      <c r="AY43" s="51">
        <f t="shared" ca="1" si="24"/>
        <v>0</v>
      </c>
      <c r="AZ43" s="52"/>
      <c r="BA43" s="52"/>
      <c r="BB43" s="73"/>
      <c r="BC43" s="73"/>
      <c r="BD43" s="73"/>
      <c r="BE43" s="52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2"/>
        <v>20</v>
      </c>
      <c r="B44" s="268" t="str">
        <f t="shared" ca="1" si="13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4"/>
        <v xml:space="preserve"> </v>
      </c>
      <c r="I44" s="84">
        <f t="shared" ca="1" si="32"/>
        <v>0</v>
      </c>
      <c r="J44" s="84">
        <f t="shared" ca="1" si="33"/>
        <v>0</v>
      </c>
      <c r="K44" s="84">
        <v>0</v>
      </c>
      <c r="L44" s="84" t="str">
        <f t="shared" ca="1" si="34"/>
        <v xml:space="preserve"> </v>
      </c>
      <c r="M44" s="51">
        <f t="shared" si="15"/>
        <v>20</v>
      </c>
      <c r="N44" s="51">
        <f ca="1">IF(M1=1,IF(M14&gt;19,1,0),IF(M1=2,IF(M14&gt;19,1,0),0))</f>
        <v>0</v>
      </c>
      <c r="O44" s="51">
        <f t="shared" ca="1" si="1"/>
        <v>20</v>
      </c>
      <c r="P44" s="56">
        <f t="shared" ca="1" si="2"/>
        <v>0</v>
      </c>
      <c r="Q44" s="56">
        <f t="shared" ca="1" si="3"/>
        <v>0</v>
      </c>
      <c r="R44" s="56">
        <f t="shared" ca="1" si="16"/>
        <v>0</v>
      </c>
      <c r="S44" s="56" t="str">
        <f t="shared" ca="1" si="25"/>
        <v xml:space="preserve"> </v>
      </c>
      <c r="T44" s="56" t="e">
        <f t="shared" ca="1" si="26"/>
        <v>#VALUE!</v>
      </c>
      <c r="U44" s="56">
        <f ca="1">IF(N45=1,R43*D11*20/36000+R44*D11*10/36000,IF(N45=0,IF(N44=0,0,R44*D11*Q12/36000+R43*D11*20/36000+R44*D11*10/36000)))</f>
        <v>0</v>
      </c>
      <c r="V44" s="56">
        <f ca="1">IF(N45=1,R43*D11*20/36000+R44*D11*10/36000,IF(N45=0,IF(N44=0,0,R44*D11*Q12/36000+R43*D11*20/36000+R44*D11*10/36000)))</f>
        <v>0</v>
      </c>
      <c r="W44" s="56">
        <f t="shared" ca="1" si="27"/>
        <v>0</v>
      </c>
      <c r="X44" s="56">
        <f t="shared" ca="1" si="28"/>
        <v>0</v>
      </c>
      <c r="Y44" s="56">
        <f t="shared" ca="1" si="17"/>
        <v>0</v>
      </c>
      <c r="Z44" s="56">
        <f t="shared" ca="1" si="29"/>
        <v>0</v>
      </c>
      <c r="AA44" s="56">
        <f t="shared" ca="1" si="18"/>
        <v>0</v>
      </c>
      <c r="AB44" s="56">
        <f ca="1">IF(R45=0,R44*Q12,(R43*20+R44*10))</f>
        <v>0</v>
      </c>
      <c r="AC44" s="56">
        <f t="shared" ca="1" si="4"/>
        <v>0</v>
      </c>
      <c r="AD44" s="56">
        <f t="shared" ca="1" si="5"/>
        <v>0</v>
      </c>
      <c r="AE44" s="56">
        <f t="shared" ca="1" si="31"/>
        <v>0</v>
      </c>
      <c r="AF44" s="56">
        <f t="shared" ca="1" si="19"/>
        <v>0</v>
      </c>
      <c r="AG44" s="56">
        <f t="shared" ca="1" si="30"/>
        <v>0</v>
      </c>
      <c r="AH44" s="56">
        <f t="shared" ca="1" si="20"/>
        <v>0</v>
      </c>
      <c r="AI44" s="56">
        <f t="shared" ca="1" si="6"/>
        <v>0</v>
      </c>
      <c r="AJ44" s="56">
        <f ca="1">IF(N45=1,AI43*G12*20/36000+AI44*G12*10/36000,IF(N45=0,IF(N44=0,0,AI44*G12*Q12/36000+AI43*G12*20/36000+AI44*G12*10/36000)))</f>
        <v>0</v>
      </c>
      <c r="AK44" s="56">
        <f ca="1">IF(N45=1,AI43*G12*20/36000+AI44*G12*10/36000,IF(N45=0,IF(N44=0,0,AI44*G12*Q12/36000+AI43*G12*20/36000+AI44*G12*10/36000)))</f>
        <v>0</v>
      </c>
      <c r="AL44" s="57">
        <f t="shared" ca="1" si="21"/>
        <v>0</v>
      </c>
      <c r="AM44" s="57">
        <f t="shared" ca="1" si="7"/>
        <v>0</v>
      </c>
      <c r="AN44" s="51">
        <f t="shared" ca="1" si="22"/>
        <v>0</v>
      </c>
      <c r="AO44" s="51">
        <f t="shared" ca="1" si="8"/>
        <v>0</v>
      </c>
      <c r="AP44" s="51">
        <f t="shared" ca="1" si="9"/>
        <v>0</v>
      </c>
      <c r="AQ44" s="51">
        <f t="shared" ca="1" si="10"/>
        <v>30</v>
      </c>
      <c r="AR44" s="51">
        <f t="shared" si="11"/>
        <v>20</v>
      </c>
      <c r="AS44" s="51">
        <f t="shared" ca="1" si="23"/>
        <v>30</v>
      </c>
      <c r="AT44" s="52"/>
      <c r="AU44" s="52"/>
      <c r="AV44" s="52"/>
      <c r="AW44" s="52"/>
      <c r="AX44" s="52"/>
      <c r="AY44" s="51">
        <f t="shared" ca="1" si="24"/>
        <v>0</v>
      </c>
      <c r="AZ44" s="52"/>
      <c r="BA44" s="52"/>
      <c r="BB44" s="73"/>
      <c r="BC44" s="73"/>
      <c r="BD44" s="73"/>
      <c r="BE44" s="52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2"/>
        <v>21</v>
      </c>
      <c r="B45" s="268" t="str">
        <f t="shared" ca="1" si="13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4"/>
        <v xml:space="preserve"> </v>
      </c>
      <c r="I45" s="84">
        <f t="shared" ca="1" si="32"/>
        <v>0</v>
      </c>
      <c r="J45" s="84">
        <f t="shared" ca="1" si="33"/>
        <v>0</v>
      </c>
      <c r="K45" s="84">
        <v>0</v>
      </c>
      <c r="L45" s="84" t="str">
        <f t="shared" ca="1" si="34"/>
        <v xml:space="preserve"> </v>
      </c>
      <c r="M45" s="51">
        <f t="shared" si="15"/>
        <v>21</v>
      </c>
      <c r="N45" s="51">
        <f ca="1">IF(M1=1,IF(M14&gt;20,1,0),IF(M1=2,IF(M14&gt;20,1,0),0))</f>
        <v>0</v>
      </c>
      <c r="O45" s="51">
        <f t="shared" ca="1" si="1"/>
        <v>20</v>
      </c>
      <c r="P45" s="56">
        <f t="shared" ca="1" si="2"/>
        <v>0</v>
      </c>
      <c r="Q45" s="56">
        <f t="shared" ca="1" si="3"/>
        <v>0</v>
      </c>
      <c r="R45" s="56">
        <f t="shared" ca="1" si="16"/>
        <v>0</v>
      </c>
      <c r="S45" s="56" t="str">
        <f t="shared" ca="1" si="25"/>
        <v xml:space="preserve"> </v>
      </c>
      <c r="T45" s="56" t="e">
        <f t="shared" ca="1" si="26"/>
        <v>#VALUE!</v>
      </c>
      <c r="U45" s="56">
        <f ca="1">IF(N46=1,R44*D11*20/36000+R45*D11*10/36000,IF(N46=0,IF(N45=0,0,R45*D11*Q12/36000+R44*D11*20/36000+R45*D11*10/36000)))</f>
        <v>0</v>
      </c>
      <c r="V45" s="56">
        <f ca="1">IF(N46=1,R44*D11*20/36000+R45*D11*10/36000,IF(N46=0,IF(N45=0,0,R45*D11*Q12/36000+R44*D11*20/36000+R45*D11*10/36000)))</f>
        <v>0</v>
      </c>
      <c r="W45" s="56">
        <f t="shared" ca="1" si="27"/>
        <v>0</v>
      </c>
      <c r="X45" s="56">
        <f t="shared" ca="1" si="28"/>
        <v>0</v>
      </c>
      <c r="Y45" s="56">
        <f t="shared" ca="1" si="17"/>
        <v>0</v>
      </c>
      <c r="Z45" s="56">
        <f t="shared" ca="1" si="29"/>
        <v>0</v>
      </c>
      <c r="AA45" s="56">
        <f t="shared" ca="1" si="18"/>
        <v>0</v>
      </c>
      <c r="AB45" s="56">
        <f ca="1">IF(R46=0,R45*Q12,(R44*20+R45*10))</f>
        <v>0</v>
      </c>
      <c r="AC45" s="56">
        <f t="shared" ca="1" si="4"/>
        <v>0</v>
      </c>
      <c r="AD45" s="56">
        <f t="shared" ca="1" si="5"/>
        <v>0</v>
      </c>
      <c r="AE45" s="56">
        <f t="shared" ca="1" si="31"/>
        <v>0</v>
      </c>
      <c r="AF45" s="56">
        <f t="shared" ca="1" si="19"/>
        <v>0</v>
      </c>
      <c r="AG45" s="56">
        <f t="shared" ca="1" si="30"/>
        <v>0</v>
      </c>
      <c r="AH45" s="56">
        <f t="shared" ca="1" si="20"/>
        <v>0</v>
      </c>
      <c r="AI45" s="56">
        <f t="shared" ca="1" si="6"/>
        <v>0</v>
      </c>
      <c r="AJ45" s="56">
        <f ca="1">IF(N46=1,AI44*G12*20/36000+AI45*G12*10/36000,IF(N46=0,IF(N45=0,0,AI45*G12*Q12/36000+AI44*G12*20/36000+AI45*G12*10/36000)))</f>
        <v>0</v>
      </c>
      <c r="AK45" s="56">
        <f ca="1">IF(N46=1,AI44*G12*20/36000+AI45*G12*10/36000,IF(N46=0,IF(N45=0,0,AI45*G12*Q12/36000+AI44*G12*20/36000+AI45*G12*10/36000)))</f>
        <v>0</v>
      </c>
      <c r="AL45" s="57">
        <f t="shared" ca="1" si="21"/>
        <v>0</v>
      </c>
      <c r="AM45" s="57">
        <f t="shared" ca="1" si="7"/>
        <v>0</v>
      </c>
      <c r="AN45" s="51">
        <f t="shared" ca="1" si="22"/>
        <v>0</v>
      </c>
      <c r="AO45" s="51">
        <f t="shared" ca="1" si="8"/>
        <v>0</v>
      </c>
      <c r="AP45" s="51">
        <f t="shared" ca="1" si="9"/>
        <v>0</v>
      </c>
      <c r="AQ45" s="51">
        <f t="shared" ca="1" si="10"/>
        <v>30</v>
      </c>
      <c r="AR45" s="51">
        <f t="shared" si="11"/>
        <v>20</v>
      </c>
      <c r="AS45" s="51">
        <f t="shared" ca="1" si="23"/>
        <v>30</v>
      </c>
      <c r="AT45" s="52"/>
      <c r="AU45" s="52"/>
      <c r="AV45" s="52"/>
      <c r="AW45" s="52"/>
      <c r="AX45" s="52"/>
      <c r="AY45" s="51">
        <f t="shared" ca="1" si="24"/>
        <v>0</v>
      </c>
      <c r="AZ45" s="52"/>
      <c r="BA45" s="52"/>
      <c r="BB45" s="73"/>
      <c r="BC45" s="73"/>
      <c r="BD45" s="73"/>
      <c r="BE45" s="52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2"/>
        <v>22</v>
      </c>
      <c r="B46" s="268" t="str">
        <f t="shared" ca="1" si="13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4"/>
        <v xml:space="preserve"> </v>
      </c>
      <c r="I46" s="84">
        <f t="shared" ca="1" si="32"/>
        <v>0</v>
      </c>
      <c r="J46" s="84">
        <f t="shared" ca="1" si="33"/>
        <v>0</v>
      </c>
      <c r="K46" s="84">
        <v>0</v>
      </c>
      <c r="L46" s="84" t="str">
        <f t="shared" ca="1" si="34"/>
        <v xml:space="preserve"> </v>
      </c>
      <c r="M46" s="51">
        <f t="shared" si="15"/>
        <v>22</v>
      </c>
      <c r="N46" s="51">
        <f ca="1">IF(M1=1,IF(M14&gt;21,1,0),IF(M1=2,IF(M14&gt;21,1,0),0))</f>
        <v>0</v>
      </c>
      <c r="O46" s="51">
        <f t="shared" ca="1" si="1"/>
        <v>20</v>
      </c>
      <c r="P46" s="56">
        <f t="shared" ca="1" si="2"/>
        <v>0</v>
      </c>
      <c r="Q46" s="56">
        <f t="shared" ca="1" si="3"/>
        <v>0</v>
      </c>
      <c r="R46" s="56">
        <f t="shared" ca="1" si="16"/>
        <v>0</v>
      </c>
      <c r="S46" s="56" t="str">
        <f t="shared" ca="1" si="25"/>
        <v xml:space="preserve"> </v>
      </c>
      <c r="T46" s="56" t="e">
        <f t="shared" ca="1" si="26"/>
        <v>#VALUE!</v>
      </c>
      <c r="U46" s="56">
        <f ca="1">IF(N47=1,R45*D11*20/36000+R46*D11*10/36000,IF(N47=0,IF(N46=0,0,R46*D11*Q12/36000+R45*D11*20/36000+R46*D11*10/36000)))</f>
        <v>0</v>
      </c>
      <c r="V46" s="56">
        <f ca="1">IF(N47=1,R45*D11*20/36000+R46*D11*10/36000,IF(N47=0,IF(N46=0,0,R46*D11*Q12/36000+R45*D11*20/36000+R46*D11*10/36000)))</f>
        <v>0</v>
      </c>
      <c r="W46" s="56">
        <f t="shared" ca="1" si="27"/>
        <v>0</v>
      </c>
      <c r="X46" s="56">
        <f t="shared" ca="1" si="28"/>
        <v>0</v>
      </c>
      <c r="Y46" s="56">
        <f t="shared" ca="1" si="17"/>
        <v>0</v>
      </c>
      <c r="Z46" s="56">
        <f t="shared" ca="1" si="29"/>
        <v>0</v>
      </c>
      <c r="AA46" s="56">
        <f t="shared" ca="1" si="18"/>
        <v>0</v>
      </c>
      <c r="AB46" s="56">
        <f ca="1">IF(R47=0,R46*Q12,(R45*20+R46*10))</f>
        <v>0</v>
      </c>
      <c r="AC46" s="56">
        <f t="shared" ca="1" si="4"/>
        <v>0</v>
      </c>
      <c r="AD46" s="56">
        <f t="shared" ca="1" si="5"/>
        <v>0</v>
      </c>
      <c r="AE46" s="56">
        <f t="shared" ca="1" si="31"/>
        <v>0</v>
      </c>
      <c r="AF46" s="56">
        <f t="shared" ca="1" si="19"/>
        <v>0</v>
      </c>
      <c r="AG46" s="56">
        <f t="shared" ca="1" si="30"/>
        <v>0</v>
      </c>
      <c r="AH46" s="56">
        <f t="shared" ca="1" si="20"/>
        <v>0</v>
      </c>
      <c r="AI46" s="56">
        <f t="shared" ca="1" si="6"/>
        <v>0</v>
      </c>
      <c r="AJ46" s="56">
        <f ca="1">IF(N47=1,AI45*G12*20/36000+AI46*G12*10/36000,IF(N47=0,IF(N46=0,0,AI46*G12*Q12/36000+AI45*G12*20/36000+AI46*G12*10/36000)))</f>
        <v>0</v>
      </c>
      <c r="AK46" s="56">
        <f ca="1">IF(N47=1,AI45*G12*20/36000+AI46*G12*10/36000,IF(N47=0,IF(N46=0,0,AI46*G12*Q12/36000+AI45*G12*20/36000+AI46*G12*10/36000)))</f>
        <v>0</v>
      </c>
      <c r="AL46" s="57">
        <f t="shared" ca="1" si="21"/>
        <v>0</v>
      </c>
      <c r="AM46" s="57">
        <f t="shared" ca="1" si="7"/>
        <v>0</v>
      </c>
      <c r="AN46" s="51">
        <f t="shared" ca="1" si="22"/>
        <v>0</v>
      </c>
      <c r="AO46" s="51">
        <f t="shared" ca="1" si="8"/>
        <v>0</v>
      </c>
      <c r="AP46" s="51">
        <f t="shared" ca="1" si="9"/>
        <v>0</v>
      </c>
      <c r="AQ46" s="51">
        <f t="shared" ca="1" si="10"/>
        <v>30</v>
      </c>
      <c r="AR46" s="51">
        <f t="shared" si="11"/>
        <v>20</v>
      </c>
      <c r="AS46" s="51">
        <f t="shared" ca="1" si="23"/>
        <v>30</v>
      </c>
      <c r="AT46" s="52"/>
      <c r="AU46" s="52"/>
      <c r="AV46" s="52"/>
      <c r="AW46" s="52"/>
      <c r="AX46" s="52"/>
      <c r="AY46" s="51">
        <f t="shared" ca="1" si="24"/>
        <v>0</v>
      </c>
      <c r="AZ46" s="52"/>
      <c r="BA46" s="52"/>
      <c r="BB46" s="73"/>
      <c r="BC46" s="73"/>
      <c r="BD46" s="73"/>
      <c r="BE46" s="52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2"/>
        <v>23</v>
      </c>
      <c r="B47" s="268" t="str">
        <f t="shared" ca="1" si="13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4"/>
        <v xml:space="preserve"> </v>
      </c>
      <c r="I47" s="84">
        <f t="shared" ca="1" si="32"/>
        <v>0</v>
      </c>
      <c r="J47" s="84">
        <f t="shared" ca="1" si="33"/>
        <v>0</v>
      </c>
      <c r="K47" s="84">
        <v>0</v>
      </c>
      <c r="L47" s="84" t="str">
        <f t="shared" ca="1" si="34"/>
        <v xml:space="preserve"> </v>
      </c>
      <c r="M47" s="51">
        <f t="shared" si="15"/>
        <v>23</v>
      </c>
      <c r="N47" s="51">
        <f ca="1">IF(M1=1,IF(M14&gt;22,1,0),IF(M1=2,IF(M14&gt;22,1,0),0))</f>
        <v>0</v>
      </c>
      <c r="O47" s="51">
        <f t="shared" ca="1" si="1"/>
        <v>20</v>
      </c>
      <c r="P47" s="56">
        <f t="shared" ca="1" si="2"/>
        <v>0</v>
      </c>
      <c r="Q47" s="56">
        <f t="shared" ca="1" si="3"/>
        <v>0</v>
      </c>
      <c r="R47" s="56">
        <f t="shared" ca="1" si="16"/>
        <v>0</v>
      </c>
      <c r="S47" s="56" t="str">
        <f t="shared" ca="1" si="25"/>
        <v xml:space="preserve"> </v>
      </c>
      <c r="T47" s="56" t="e">
        <f t="shared" ca="1" si="26"/>
        <v>#VALUE!</v>
      </c>
      <c r="U47" s="56">
        <f ca="1">IF(N48=1,R46*D11*20/36000+R47*D11*10/36000,IF(N48=0,IF(N47=0,0,R47*D11*Q12/36000+R46*D11*20/36000+R47*D11*10/36000)))</f>
        <v>0</v>
      </c>
      <c r="V47" s="56">
        <f ca="1">IF(N48=1,R46*D11*20/36000+R47*D11*10/36000,IF(N48=0,IF(N47=0,0,R47*D11*Q12/36000+R46*D11*20/36000+R47*D11*10/36000)))</f>
        <v>0</v>
      </c>
      <c r="W47" s="56">
        <f t="shared" ca="1" si="27"/>
        <v>0</v>
      </c>
      <c r="X47" s="56">
        <f t="shared" ca="1" si="28"/>
        <v>0</v>
      </c>
      <c r="Y47" s="56">
        <f t="shared" ca="1" si="17"/>
        <v>0</v>
      </c>
      <c r="Z47" s="56">
        <f t="shared" ca="1" si="29"/>
        <v>0</v>
      </c>
      <c r="AA47" s="56">
        <f t="shared" ca="1" si="18"/>
        <v>0</v>
      </c>
      <c r="AB47" s="56">
        <f ca="1">IF(R48=0,R47*Q12,(R46*20+R47*10))</f>
        <v>0</v>
      </c>
      <c r="AC47" s="56">
        <f t="shared" ca="1" si="4"/>
        <v>0</v>
      </c>
      <c r="AD47" s="56">
        <f t="shared" ca="1" si="5"/>
        <v>0</v>
      </c>
      <c r="AE47" s="56">
        <f t="shared" ca="1" si="31"/>
        <v>0</v>
      </c>
      <c r="AF47" s="56">
        <f t="shared" ca="1" si="19"/>
        <v>0</v>
      </c>
      <c r="AG47" s="56">
        <f t="shared" ca="1" si="30"/>
        <v>0</v>
      </c>
      <c r="AH47" s="56">
        <f t="shared" ca="1" si="20"/>
        <v>0</v>
      </c>
      <c r="AI47" s="56">
        <f t="shared" ca="1" si="6"/>
        <v>0</v>
      </c>
      <c r="AJ47" s="56">
        <f ca="1">IF(N48=1,AI46*G12*20/36000+AI47*G12*10/36000,IF(N48=0,IF(N47=0,0,AI47*G12*Q12/36000+AI46*G12*20/36000+AI47*G12*10/36000)))</f>
        <v>0</v>
      </c>
      <c r="AK47" s="56">
        <f ca="1">IF(N48=1,AI46*G12*20/36000+AI47*G12*10/36000,IF(N48=0,IF(N47=0,0,AI47*G12*Q12/36000+AI46*G12*20/36000+AI47*G12*10/36000)))</f>
        <v>0</v>
      </c>
      <c r="AL47" s="57">
        <f t="shared" ca="1" si="21"/>
        <v>0</v>
      </c>
      <c r="AM47" s="57">
        <f t="shared" ca="1" si="7"/>
        <v>0</v>
      </c>
      <c r="AN47" s="51">
        <f t="shared" ca="1" si="22"/>
        <v>0</v>
      </c>
      <c r="AO47" s="51">
        <f t="shared" ca="1" si="8"/>
        <v>0</v>
      </c>
      <c r="AP47" s="51">
        <f t="shared" ca="1" si="9"/>
        <v>0</v>
      </c>
      <c r="AQ47" s="51">
        <f t="shared" ca="1" si="10"/>
        <v>30</v>
      </c>
      <c r="AR47" s="51">
        <f t="shared" si="11"/>
        <v>20</v>
      </c>
      <c r="AS47" s="51">
        <f t="shared" ca="1" si="23"/>
        <v>30</v>
      </c>
      <c r="AT47" s="52"/>
      <c r="AU47" s="52"/>
      <c r="AV47" s="52"/>
      <c r="AW47" s="52"/>
      <c r="AX47" s="52"/>
      <c r="AY47" s="51">
        <f t="shared" ca="1" si="24"/>
        <v>0</v>
      </c>
      <c r="AZ47" s="52"/>
      <c r="BA47" s="52"/>
      <c r="BB47" s="73"/>
      <c r="BC47" s="73"/>
      <c r="BD47" s="73"/>
      <c r="BE47" s="52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2"/>
        <v>24</v>
      </c>
      <c r="B48" s="268" t="str">
        <f t="shared" ca="1" si="13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4"/>
        <v xml:space="preserve"> </v>
      </c>
      <c r="I48" s="84">
        <f t="shared" ca="1" si="32"/>
        <v>0</v>
      </c>
      <c r="J48" s="84">
        <f t="shared" ca="1" si="33"/>
        <v>0</v>
      </c>
      <c r="K48" s="84">
        <v>0</v>
      </c>
      <c r="L48" s="84" t="str">
        <f t="shared" ca="1" si="34"/>
        <v xml:space="preserve"> </v>
      </c>
      <c r="M48" s="51">
        <f t="shared" si="15"/>
        <v>24</v>
      </c>
      <c r="N48" s="51">
        <f t="shared" ref="N48:N85" ca="1" si="35">IF(M$1=1,IF(M$14&gt;M47,1,0),IF(M$1=2,IF(M$14&gt;M47,1,0),0))</f>
        <v>0</v>
      </c>
      <c r="O48" s="51">
        <f t="shared" ca="1" si="1"/>
        <v>20</v>
      </c>
      <c r="P48" s="56">
        <f t="shared" ca="1" si="2"/>
        <v>0</v>
      </c>
      <c r="Q48" s="56">
        <f t="shared" ca="1" si="3"/>
        <v>0</v>
      </c>
      <c r="R48" s="56">
        <f t="shared" ca="1" si="16"/>
        <v>0</v>
      </c>
      <c r="S48" s="56" t="str">
        <f t="shared" ca="1" si="25"/>
        <v xml:space="preserve"> </v>
      </c>
      <c r="T48" s="56" t="e">
        <f t="shared" ca="1" si="26"/>
        <v>#VALUE!</v>
      </c>
      <c r="U48" s="56">
        <f ca="1">IF(N49=1,R47*D$11*20/36000+R48*D$11*10/36000,IF(N49=0,IF(N48=0,0,R48*D$11*Q$12/36000+R47*D$11*20/36000+R48*D$11*10/36000)))</f>
        <v>0</v>
      </c>
      <c r="V48" s="56">
        <f ca="1">IF(N49=1,R47*D$11*20/36000+R48*D$11*10/36000,IF(N49=0,IF(N48=0,0,R48*D$11*Q$12/36000+R47*D$11*20/36000+R48*D$11*10/36000)))</f>
        <v>0</v>
      </c>
      <c r="W48" s="56">
        <f t="shared" ca="1" si="27"/>
        <v>0</v>
      </c>
      <c r="X48" s="56">
        <f t="shared" ca="1" si="28"/>
        <v>0</v>
      </c>
      <c r="Y48" s="56">
        <f t="shared" ca="1" si="17"/>
        <v>0</v>
      </c>
      <c r="Z48" s="56">
        <f t="shared" ca="1" si="29"/>
        <v>0</v>
      </c>
      <c r="AA48" s="56">
        <f t="shared" ca="1" si="18"/>
        <v>0</v>
      </c>
      <c r="AB48" s="56">
        <f t="shared" ref="AB48:AB72" ca="1" si="36">IF(R49=0,R48*Q$12,(R47*20+R48*10))</f>
        <v>0</v>
      </c>
      <c r="AC48" s="56">
        <f t="shared" ca="1" si="4"/>
        <v>0</v>
      </c>
      <c r="AD48" s="56">
        <f t="shared" ca="1" si="5"/>
        <v>0</v>
      </c>
      <c r="AE48" s="56">
        <f t="shared" ca="1" si="31"/>
        <v>0</v>
      </c>
      <c r="AF48" s="56">
        <f t="shared" ca="1" si="19"/>
        <v>0</v>
      </c>
      <c r="AG48" s="56">
        <f t="shared" ca="1" si="30"/>
        <v>0</v>
      </c>
      <c r="AH48" s="56">
        <f t="shared" ca="1" si="20"/>
        <v>0</v>
      </c>
      <c r="AI48" s="56">
        <f t="shared" ca="1" si="6"/>
        <v>0</v>
      </c>
      <c r="AJ48" s="56">
        <f ca="1">IF(N49=1,AI47*G$12*20/36000+AI48*G$12*10/36000,IF(N49=0,IF(N48=0,0,AI48*G$12*Q$12/36000+AI47*G$12*20/36000+AI48*G$12*10/36000)))</f>
        <v>0</v>
      </c>
      <c r="AK48" s="56">
        <f ca="1">IF(N49=1,AI47*G$12*20/36000+AI48*G$12*10/36000,IF(N49=0,IF(N48=0,0,AI48*G$12*Q$12/36000+AI47*G$12*20/36000+AI48*G$12*10/36000)))</f>
        <v>0</v>
      </c>
      <c r="AL48" s="57">
        <f t="shared" ca="1" si="21"/>
        <v>0</v>
      </c>
      <c r="AM48" s="57">
        <f t="shared" ca="1" si="7"/>
        <v>0</v>
      </c>
      <c r="AN48" s="51">
        <f t="shared" ca="1" si="22"/>
        <v>0</v>
      </c>
      <c r="AO48" s="51">
        <f t="shared" ca="1" si="8"/>
        <v>0</v>
      </c>
      <c r="AP48" s="51">
        <f t="shared" ca="1" si="9"/>
        <v>0</v>
      </c>
      <c r="AQ48" s="51">
        <f t="shared" ca="1" si="10"/>
        <v>30</v>
      </c>
      <c r="AR48" s="51">
        <f t="shared" si="11"/>
        <v>20</v>
      </c>
      <c r="AS48" s="51">
        <f t="shared" ca="1" si="23"/>
        <v>30</v>
      </c>
      <c r="AT48" s="52"/>
      <c r="AU48" s="52"/>
      <c r="AV48" s="52"/>
      <c r="AW48" s="52"/>
      <c r="AX48" s="52"/>
      <c r="AY48" s="51">
        <f t="shared" ca="1" si="24"/>
        <v>0</v>
      </c>
      <c r="AZ48" s="52"/>
      <c r="BA48" s="52"/>
      <c r="BB48" s="73"/>
      <c r="BC48" s="73"/>
      <c r="BD48" s="73"/>
      <c r="BE48" s="52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 t="str">
        <f t="shared" ca="1" si="13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4"/>
        <v xml:space="preserve"> </v>
      </c>
      <c r="I49" s="84">
        <f t="shared" ca="1" si="32"/>
        <v>0</v>
      </c>
      <c r="J49" s="84">
        <f t="shared" ca="1" si="33"/>
        <v>0</v>
      </c>
      <c r="K49" s="84">
        <v>0</v>
      </c>
      <c r="L49" s="84" t="str">
        <f t="shared" ca="1" si="34"/>
        <v xml:space="preserve"> </v>
      </c>
      <c r="M49" s="51">
        <v>25</v>
      </c>
      <c r="N49" s="51">
        <f t="shared" ca="1" si="35"/>
        <v>0</v>
      </c>
      <c r="O49" s="51">
        <f t="shared" ca="1" si="1"/>
        <v>20</v>
      </c>
      <c r="P49" s="56">
        <f t="shared" ca="1" si="2"/>
        <v>0</v>
      </c>
      <c r="Q49" s="56">
        <f t="shared" ca="1" si="3"/>
        <v>0</v>
      </c>
      <c r="R49" s="56">
        <f t="shared" ca="1" si="16"/>
        <v>0</v>
      </c>
      <c r="S49" s="56" t="str">
        <f t="shared" ca="1" si="25"/>
        <v xml:space="preserve"> </v>
      </c>
      <c r="T49" s="56" t="e">
        <f t="shared" ca="1" si="26"/>
        <v>#VALUE!</v>
      </c>
      <c r="U49" s="56">
        <f ca="1">IF(N50=1,R48*D$11*20/36000+R49*D$11*10/36000,IF(N50=0,IF(N49=0,0,IF(D28&gt;20,R48*D$11*20/36000+R49*D$11*(Q$12-20)/36000,R49*D$11*Q$12/36000))))</f>
        <v>0</v>
      </c>
      <c r="V49" s="56">
        <f ca="1">IF(N50=1,R48*D$11*20/36000+R49*D$11*10/36000,IF(N50=0,IF(N49=0,0,IF(D28&gt;20,R48*D$11*20/36000+R49*D$11*(Q$12-20)/36000,R49*D$11*Q$12/36000))))</f>
        <v>0</v>
      </c>
      <c r="W49" s="56">
        <f t="shared" ca="1" si="27"/>
        <v>0</v>
      </c>
      <c r="X49" s="56">
        <f t="shared" ca="1" si="28"/>
        <v>0</v>
      </c>
      <c r="Y49" s="56">
        <f t="shared" ca="1" si="17"/>
        <v>0</v>
      </c>
      <c r="Z49" s="56">
        <f ca="1">IF(N50=1,Y48*D$11*20/36000+Y49*D$11*10/36000,IF(N50=0,IF(N49=0,0,IF(D$16&gt;20,Y48*D$11*20/36000+Y49*D$11*(Q$12-20)/36000,Y49*D$11*Q$12/36000))))</f>
        <v>0</v>
      </c>
      <c r="AA49" s="56">
        <f t="shared" ca="1" si="18"/>
        <v>0</v>
      </c>
      <c r="AB49" s="56">
        <f t="shared" ca="1" si="36"/>
        <v>0</v>
      </c>
      <c r="AC49" s="56">
        <f t="shared" ca="1" si="4"/>
        <v>0</v>
      </c>
      <c r="AD49" s="56">
        <f t="shared" ca="1" si="5"/>
        <v>0</v>
      </c>
      <c r="AE49" s="56">
        <f t="shared" ca="1" si="31"/>
        <v>0</v>
      </c>
      <c r="AF49" s="56">
        <f t="shared" ca="1" si="19"/>
        <v>0</v>
      </c>
      <c r="AG49" s="56">
        <f t="shared" ca="1" si="30"/>
        <v>0</v>
      </c>
      <c r="AH49" s="56">
        <f t="shared" ca="1" si="20"/>
        <v>0</v>
      </c>
      <c r="AI49" s="56">
        <f t="shared" ca="1" si="6"/>
        <v>0</v>
      </c>
      <c r="AJ49" s="56">
        <f ca="1">IF(N50=1,AI48*G$12*20/36000+AI49*G$12*10/36000,IF(N50=0,IF(N49=0,0,AI49*G$12*Q$12/36000)))</f>
        <v>0</v>
      </c>
      <c r="AK49" s="56">
        <f ca="1">IF(N50=1,AI48*G$12*20/36000+AI49*G$12*10/36000,IF(N50=0,IF(N49=0,0,AI49*G$12*Q$12/36000)))</f>
        <v>0</v>
      </c>
      <c r="AL49" s="57">
        <f t="shared" ca="1" si="21"/>
        <v>0</v>
      </c>
      <c r="AM49" s="57">
        <f t="shared" ca="1" si="7"/>
        <v>0</v>
      </c>
      <c r="AN49" s="51">
        <f t="shared" ca="1" si="22"/>
        <v>0</v>
      </c>
      <c r="AO49" s="51">
        <f t="shared" ca="1" si="8"/>
        <v>0</v>
      </c>
      <c r="AP49" s="51">
        <f t="shared" ca="1" si="9"/>
        <v>0</v>
      </c>
      <c r="AQ49" s="51">
        <f t="shared" ca="1" si="10"/>
        <v>30</v>
      </c>
      <c r="AR49" s="51">
        <f t="shared" si="11"/>
        <v>20</v>
      </c>
      <c r="AS49" s="51">
        <f t="shared" ca="1" si="23"/>
        <v>30</v>
      </c>
      <c r="AT49" s="51"/>
      <c r="AU49" s="51"/>
      <c r="AV49" s="51"/>
      <c r="AW49" s="51"/>
      <c r="AX49" s="51"/>
      <c r="AY49" s="51">
        <f t="shared" ca="1" si="24"/>
        <v>0</v>
      </c>
      <c r="AZ49" s="51"/>
      <c r="BA49" s="51"/>
      <c r="BB49" s="72"/>
      <c r="BC49" s="72"/>
      <c r="BD49" s="72"/>
      <c r="BE49" s="51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ca="1" si="13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4"/>
        <v xml:space="preserve"> </v>
      </c>
      <c r="I50" s="84">
        <f t="shared" ca="1" si="32"/>
        <v>0</v>
      </c>
      <c r="J50" s="84">
        <f t="shared" ca="1" si="33"/>
        <v>0</v>
      </c>
      <c r="K50" s="84">
        <v>0</v>
      </c>
      <c r="L50" s="84" t="str">
        <f t="shared" ca="1" si="34"/>
        <v xml:space="preserve"> </v>
      </c>
      <c r="M50" s="51">
        <v>26</v>
      </c>
      <c r="N50" s="51">
        <f t="shared" ca="1" si="35"/>
        <v>0</v>
      </c>
      <c r="O50" s="51">
        <f t="shared" ca="1" si="1"/>
        <v>20</v>
      </c>
      <c r="P50" s="56">
        <f t="shared" ca="1" si="2"/>
        <v>0</v>
      </c>
      <c r="Q50" s="56">
        <f t="shared" ca="1" si="3"/>
        <v>0</v>
      </c>
      <c r="R50" s="56">
        <f t="shared" ca="1" si="16"/>
        <v>0</v>
      </c>
      <c r="S50" s="56" t="str">
        <f t="shared" ca="1" si="25"/>
        <v xml:space="preserve"> </v>
      </c>
      <c r="T50" s="56" t="e">
        <f t="shared" ca="1" si="26"/>
        <v>#VALUE!</v>
      </c>
      <c r="U50" s="56">
        <f t="shared" ref="U50:U60" ca="1" si="37">IF(N51=1,R49*D$11*20/36000+R50*D$11*10/36000,IF(N51=0,IF(N50=0,0,R50*D$11*Q$12/36000+R49*D$11*20/36000+R50*D$11*10/36000)))</f>
        <v>0</v>
      </c>
      <c r="V50" s="56">
        <f t="shared" ref="V50:V60" ca="1" si="38">IF(N51=1,R49*D$11*20/36000+R50*D$11*10/36000,IF(N51=0,IF(N50=0,0,R50*D$11*Q$12/36000+R49*D$11*20/36000+R50*D$11*10/36000)))</f>
        <v>0</v>
      </c>
      <c r="W50" s="56">
        <f t="shared" ca="1" si="27"/>
        <v>0</v>
      </c>
      <c r="X50" s="56">
        <f t="shared" ca="1" si="28"/>
        <v>0</v>
      </c>
      <c r="Y50" s="56">
        <f t="shared" ca="1" si="17"/>
        <v>0</v>
      </c>
      <c r="Z50" s="56">
        <f t="shared" ca="1" si="29"/>
        <v>0</v>
      </c>
      <c r="AA50" s="56">
        <f t="shared" ca="1" si="18"/>
        <v>0</v>
      </c>
      <c r="AB50" s="56">
        <f t="shared" ca="1" si="36"/>
        <v>0</v>
      </c>
      <c r="AC50" s="56">
        <f t="shared" ca="1" si="4"/>
        <v>0</v>
      </c>
      <c r="AD50" s="56">
        <f t="shared" ca="1" si="5"/>
        <v>0</v>
      </c>
      <c r="AE50" s="56">
        <f t="shared" ca="1" si="31"/>
        <v>0</v>
      </c>
      <c r="AF50" s="56">
        <f t="shared" ca="1" si="19"/>
        <v>0</v>
      </c>
      <c r="AG50" s="56">
        <f t="shared" ca="1" si="30"/>
        <v>0</v>
      </c>
      <c r="AH50" s="56">
        <f t="shared" ca="1" si="20"/>
        <v>0</v>
      </c>
      <c r="AI50" s="56">
        <f t="shared" ca="1" si="6"/>
        <v>0</v>
      </c>
      <c r="AJ50" s="56">
        <f t="shared" ref="AJ50:AJ60" ca="1" si="39">IF(N51=1,AI49*G$12*20/36000+AI50*G$12*10/36000,IF(N51=0,IF(N50=0,0,AI50*G$12*Q$12/36000+AI49*G$12*20/36000+AI50*G$12*10/36000)))</f>
        <v>0</v>
      </c>
      <c r="AK50" s="56">
        <f t="shared" ref="AK50:AK60" ca="1" si="40">IF(N51=1,AI49*G$12*20/36000+AI50*G$12*10/36000,IF(N51=0,IF(N50=0,0,AI50*G$12*Q$12/36000+AI49*G$12*20/36000+AI50*G$12*10/36000)))</f>
        <v>0</v>
      </c>
      <c r="AL50" s="57">
        <f t="shared" ca="1" si="21"/>
        <v>0</v>
      </c>
      <c r="AM50" s="57">
        <f t="shared" ca="1" si="7"/>
        <v>0</v>
      </c>
      <c r="AN50" s="51">
        <f t="shared" ca="1" si="22"/>
        <v>0</v>
      </c>
      <c r="AO50" s="51">
        <f t="shared" ca="1" si="8"/>
        <v>0</v>
      </c>
      <c r="AP50" s="51">
        <f t="shared" ca="1" si="9"/>
        <v>0</v>
      </c>
      <c r="AQ50" s="51">
        <f t="shared" ca="1" si="10"/>
        <v>30</v>
      </c>
      <c r="AR50" s="51">
        <f t="shared" si="11"/>
        <v>20</v>
      </c>
      <c r="AS50" s="51">
        <f t="shared" ca="1" si="23"/>
        <v>30</v>
      </c>
      <c r="AT50" s="52"/>
      <c r="AU50" s="52"/>
      <c r="AV50" s="52"/>
      <c r="AW50" s="52"/>
      <c r="AX50" s="52"/>
      <c r="AY50" s="51">
        <f t="shared" ca="1" si="24"/>
        <v>0</v>
      </c>
      <c r="AZ50" s="52"/>
      <c r="BA50" s="52"/>
      <c r="BB50" s="73"/>
      <c r="BC50" s="73"/>
      <c r="BD50" s="73"/>
      <c r="BE50" s="52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ca="1" si="13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4"/>
        <v xml:space="preserve"> </v>
      </c>
      <c r="I51" s="84">
        <f t="shared" ca="1" si="32"/>
        <v>0</v>
      </c>
      <c r="J51" s="84">
        <f t="shared" ca="1" si="33"/>
        <v>0</v>
      </c>
      <c r="K51" s="84">
        <v>0</v>
      </c>
      <c r="L51" s="84" t="str">
        <f t="shared" ca="1" si="34"/>
        <v xml:space="preserve"> </v>
      </c>
      <c r="M51" s="51">
        <v>27</v>
      </c>
      <c r="N51" s="51">
        <f t="shared" ca="1" si="35"/>
        <v>0</v>
      </c>
      <c r="O51" s="51">
        <f t="shared" ca="1" si="1"/>
        <v>20</v>
      </c>
      <c r="P51" s="56">
        <f t="shared" ca="1" si="2"/>
        <v>0</v>
      </c>
      <c r="Q51" s="56">
        <f t="shared" ca="1" si="3"/>
        <v>0</v>
      </c>
      <c r="R51" s="56">
        <f t="shared" ca="1" si="16"/>
        <v>0</v>
      </c>
      <c r="S51" s="56" t="str">
        <f t="shared" ca="1" si="25"/>
        <v xml:space="preserve"> </v>
      </c>
      <c r="T51" s="56" t="e">
        <f t="shared" ca="1" si="26"/>
        <v>#VALUE!</v>
      </c>
      <c r="U51" s="56">
        <f t="shared" ca="1" si="37"/>
        <v>0</v>
      </c>
      <c r="V51" s="56">
        <f t="shared" ca="1" si="38"/>
        <v>0</v>
      </c>
      <c r="W51" s="56">
        <f t="shared" ca="1" si="27"/>
        <v>0</v>
      </c>
      <c r="X51" s="56">
        <f t="shared" ca="1" si="28"/>
        <v>0</v>
      </c>
      <c r="Y51" s="56">
        <f t="shared" ca="1" si="17"/>
        <v>0</v>
      </c>
      <c r="Z51" s="56">
        <f t="shared" ca="1" si="29"/>
        <v>0</v>
      </c>
      <c r="AA51" s="56">
        <f t="shared" ca="1" si="18"/>
        <v>0</v>
      </c>
      <c r="AB51" s="56">
        <f t="shared" ca="1" si="36"/>
        <v>0</v>
      </c>
      <c r="AC51" s="56">
        <f t="shared" ca="1" si="4"/>
        <v>0</v>
      </c>
      <c r="AD51" s="56">
        <f t="shared" ca="1" si="5"/>
        <v>0</v>
      </c>
      <c r="AE51" s="56">
        <f t="shared" ca="1" si="31"/>
        <v>0</v>
      </c>
      <c r="AF51" s="56">
        <f t="shared" ca="1" si="19"/>
        <v>0</v>
      </c>
      <c r="AG51" s="56">
        <f t="shared" ca="1" si="30"/>
        <v>0</v>
      </c>
      <c r="AH51" s="56">
        <f t="shared" ca="1" si="20"/>
        <v>0</v>
      </c>
      <c r="AI51" s="56">
        <f t="shared" ca="1" si="6"/>
        <v>0</v>
      </c>
      <c r="AJ51" s="56">
        <f t="shared" ca="1" si="39"/>
        <v>0</v>
      </c>
      <c r="AK51" s="56">
        <f t="shared" ca="1" si="40"/>
        <v>0</v>
      </c>
      <c r="AL51" s="57">
        <f t="shared" ca="1" si="21"/>
        <v>0</v>
      </c>
      <c r="AM51" s="57">
        <f t="shared" ca="1" si="7"/>
        <v>0</v>
      </c>
      <c r="AN51" s="51">
        <f t="shared" ca="1" si="22"/>
        <v>0</v>
      </c>
      <c r="AO51" s="51">
        <f t="shared" ca="1" si="8"/>
        <v>0</v>
      </c>
      <c r="AP51" s="51">
        <f t="shared" ca="1" si="9"/>
        <v>0</v>
      </c>
      <c r="AQ51" s="51">
        <f t="shared" ca="1" si="10"/>
        <v>30</v>
      </c>
      <c r="AR51" s="51">
        <f t="shared" si="11"/>
        <v>20</v>
      </c>
      <c r="AS51" s="51">
        <f t="shared" ca="1" si="23"/>
        <v>30</v>
      </c>
      <c r="AT51" s="52"/>
      <c r="AU51" s="52"/>
      <c r="AV51" s="52"/>
      <c r="AW51" s="52"/>
      <c r="AX51" s="52"/>
      <c r="AY51" s="51">
        <f t="shared" ca="1" si="24"/>
        <v>0</v>
      </c>
      <c r="AZ51" s="52"/>
      <c r="BA51" s="52"/>
      <c r="BB51" s="73"/>
      <c r="BC51" s="73"/>
      <c r="BD51" s="73"/>
      <c r="BE51" s="52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ca="1" si="13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4"/>
        <v xml:space="preserve"> </v>
      </c>
      <c r="I52" s="84">
        <f t="shared" ca="1" si="32"/>
        <v>0</v>
      </c>
      <c r="J52" s="84">
        <f t="shared" ca="1" si="33"/>
        <v>0</v>
      </c>
      <c r="K52" s="84">
        <v>0</v>
      </c>
      <c r="L52" s="84" t="str">
        <f t="shared" ca="1" si="34"/>
        <v xml:space="preserve"> </v>
      </c>
      <c r="M52" s="51">
        <v>28</v>
      </c>
      <c r="N52" s="51">
        <f t="shared" ca="1" si="35"/>
        <v>0</v>
      </c>
      <c r="O52" s="51">
        <f t="shared" ca="1" si="1"/>
        <v>20</v>
      </c>
      <c r="P52" s="56">
        <f t="shared" ca="1" si="2"/>
        <v>0</v>
      </c>
      <c r="Q52" s="56">
        <f t="shared" ca="1" si="3"/>
        <v>0</v>
      </c>
      <c r="R52" s="56">
        <f t="shared" ca="1" si="16"/>
        <v>0</v>
      </c>
      <c r="S52" s="56" t="str">
        <f t="shared" ca="1" si="25"/>
        <v xml:space="preserve"> </v>
      </c>
      <c r="T52" s="56" t="e">
        <f t="shared" ca="1" si="26"/>
        <v>#VALUE!</v>
      </c>
      <c r="U52" s="56">
        <f t="shared" ca="1" si="37"/>
        <v>0</v>
      </c>
      <c r="V52" s="56">
        <f t="shared" ca="1" si="38"/>
        <v>0</v>
      </c>
      <c r="W52" s="56">
        <f t="shared" ca="1" si="27"/>
        <v>0</v>
      </c>
      <c r="X52" s="56">
        <f t="shared" ca="1" si="28"/>
        <v>0</v>
      </c>
      <c r="Y52" s="56">
        <f t="shared" ca="1" si="17"/>
        <v>0</v>
      </c>
      <c r="Z52" s="56">
        <f t="shared" ca="1" si="29"/>
        <v>0</v>
      </c>
      <c r="AA52" s="56">
        <f t="shared" ca="1" si="18"/>
        <v>0</v>
      </c>
      <c r="AB52" s="56">
        <f t="shared" ca="1" si="36"/>
        <v>0</v>
      </c>
      <c r="AC52" s="56">
        <f t="shared" ca="1" si="4"/>
        <v>0</v>
      </c>
      <c r="AD52" s="56">
        <f t="shared" ca="1" si="5"/>
        <v>0</v>
      </c>
      <c r="AE52" s="56">
        <f t="shared" ca="1" si="31"/>
        <v>0</v>
      </c>
      <c r="AF52" s="56">
        <f t="shared" ca="1" si="19"/>
        <v>0</v>
      </c>
      <c r="AG52" s="56">
        <f t="shared" ca="1" si="30"/>
        <v>0</v>
      </c>
      <c r="AH52" s="56">
        <f t="shared" ca="1" si="20"/>
        <v>0</v>
      </c>
      <c r="AI52" s="56">
        <f t="shared" ca="1" si="6"/>
        <v>0</v>
      </c>
      <c r="AJ52" s="56">
        <f t="shared" ca="1" si="39"/>
        <v>0</v>
      </c>
      <c r="AK52" s="56">
        <f t="shared" ca="1" si="40"/>
        <v>0</v>
      </c>
      <c r="AL52" s="57">
        <f t="shared" ca="1" si="21"/>
        <v>0</v>
      </c>
      <c r="AM52" s="57">
        <f t="shared" ca="1" si="7"/>
        <v>0</v>
      </c>
      <c r="AN52" s="51">
        <f t="shared" ca="1" si="22"/>
        <v>0</v>
      </c>
      <c r="AO52" s="51">
        <f t="shared" ca="1" si="8"/>
        <v>0</v>
      </c>
      <c r="AP52" s="51">
        <f t="shared" ca="1" si="9"/>
        <v>0</v>
      </c>
      <c r="AQ52" s="51">
        <f t="shared" ca="1" si="10"/>
        <v>30</v>
      </c>
      <c r="AR52" s="51">
        <f t="shared" si="11"/>
        <v>20</v>
      </c>
      <c r="AS52" s="51">
        <f t="shared" ca="1" si="23"/>
        <v>30</v>
      </c>
      <c r="AT52" s="52"/>
      <c r="AU52" s="52"/>
      <c r="AV52" s="52"/>
      <c r="AW52" s="52"/>
      <c r="AX52" s="52"/>
      <c r="AY52" s="51">
        <f t="shared" ca="1" si="24"/>
        <v>0</v>
      </c>
      <c r="AZ52" s="52"/>
      <c r="BA52" s="52"/>
      <c r="BB52" s="73"/>
      <c r="BC52" s="73"/>
      <c r="BD52" s="73"/>
      <c r="BE52" s="52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ca="1" si="13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4"/>
        <v xml:space="preserve"> </v>
      </c>
      <c r="I53" s="84">
        <f t="shared" ca="1" si="32"/>
        <v>0</v>
      </c>
      <c r="J53" s="84">
        <f t="shared" ca="1" si="33"/>
        <v>0</v>
      </c>
      <c r="K53" s="84">
        <v>0</v>
      </c>
      <c r="L53" s="84" t="str">
        <f t="shared" ca="1" si="34"/>
        <v xml:space="preserve"> </v>
      </c>
      <c r="M53" s="51">
        <v>29</v>
      </c>
      <c r="N53" s="51">
        <f t="shared" ca="1" si="35"/>
        <v>0</v>
      </c>
      <c r="O53" s="51">
        <f t="shared" ca="1" si="1"/>
        <v>20</v>
      </c>
      <c r="P53" s="56">
        <f t="shared" ca="1" si="2"/>
        <v>0</v>
      </c>
      <c r="Q53" s="56">
        <f t="shared" ca="1" si="3"/>
        <v>0</v>
      </c>
      <c r="R53" s="56">
        <f t="shared" ca="1" si="16"/>
        <v>0</v>
      </c>
      <c r="S53" s="56" t="str">
        <f t="shared" ca="1" si="25"/>
        <v xml:space="preserve"> </v>
      </c>
      <c r="T53" s="56" t="e">
        <f t="shared" ca="1" si="26"/>
        <v>#VALUE!</v>
      </c>
      <c r="U53" s="56">
        <f t="shared" ca="1" si="37"/>
        <v>0</v>
      </c>
      <c r="V53" s="56">
        <f t="shared" ca="1" si="38"/>
        <v>0</v>
      </c>
      <c r="W53" s="56">
        <f t="shared" ca="1" si="27"/>
        <v>0</v>
      </c>
      <c r="X53" s="56">
        <f t="shared" ca="1" si="28"/>
        <v>0</v>
      </c>
      <c r="Y53" s="56">
        <f t="shared" ca="1" si="17"/>
        <v>0</v>
      </c>
      <c r="Z53" s="56">
        <f t="shared" ca="1" si="29"/>
        <v>0</v>
      </c>
      <c r="AA53" s="56">
        <f t="shared" ca="1" si="18"/>
        <v>0</v>
      </c>
      <c r="AB53" s="56">
        <f t="shared" ca="1" si="36"/>
        <v>0</v>
      </c>
      <c r="AC53" s="56">
        <f t="shared" ca="1" si="4"/>
        <v>0</v>
      </c>
      <c r="AD53" s="56">
        <f t="shared" ca="1" si="5"/>
        <v>0</v>
      </c>
      <c r="AE53" s="56">
        <f t="shared" ca="1" si="31"/>
        <v>0</v>
      </c>
      <c r="AF53" s="56">
        <f t="shared" ca="1" si="19"/>
        <v>0</v>
      </c>
      <c r="AG53" s="56">
        <f t="shared" ca="1" si="30"/>
        <v>0</v>
      </c>
      <c r="AH53" s="56">
        <f t="shared" ca="1" si="20"/>
        <v>0</v>
      </c>
      <c r="AI53" s="56">
        <f t="shared" ca="1" si="6"/>
        <v>0</v>
      </c>
      <c r="AJ53" s="56">
        <f t="shared" ca="1" si="39"/>
        <v>0</v>
      </c>
      <c r="AK53" s="56">
        <f t="shared" ca="1" si="40"/>
        <v>0</v>
      </c>
      <c r="AL53" s="57">
        <f t="shared" ca="1" si="21"/>
        <v>0</v>
      </c>
      <c r="AM53" s="57">
        <f t="shared" ca="1" si="7"/>
        <v>0</v>
      </c>
      <c r="AN53" s="51">
        <f t="shared" ca="1" si="22"/>
        <v>0</v>
      </c>
      <c r="AO53" s="51">
        <f t="shared" ca="1" si="8"/>
        <v>0</v>
      </c>
      <c r="AP53" s="51">
        <f t="shared" ca="1" si="9"/>
        <v>0</v>
      </c>
      <c r="AQ53" s="51">
        <f t="shared" ca="1" si="10"/>
        <v>30</v>
      </c>
      <c r="AR53" s="51">
        <f t="shared" si="11"/>
        <v>20</v>
      </c>
      <c r="AS53" s="51">
        <f t="shared" ca="1" si="23"/>
        <v>30</v>
      </c>
      <c r="AT53" s="52"/>
      <c r="AU53" s="52"/>
      <c r="AV53" s="52"/>
      <c r="AW53" s="52"/>
      <c r="AX53" s="52"/>
      <c r="AY53" s="51">
        <f t="shared" ca="1" si="24"/>
        <v>0</v>
      </c>
      <c r="AZ53" s="52"/>
      <c r="BA53" s="52"/>
      <c r="BB53" s="73"/>
      <c r="BC53" s="73"/>
      <c r="BD53" s="73"/>
      <c r="BE53" s="52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ca="1" si="13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4"/>
        <v xml:space="preserve"> </v>
      </c>
      <c r="I54" s="84">
        <f t="shared" ca="1" si="32"/>
        <v>0</v>
      </c>
      <c r="J54" s="84">
        <f t="shared" ca="1" si="33"/>
        <v>0</v>
      </c>
      <c r="K54" s="84">
        <v>0</v>
      </c>
      <c r="L54" s="84" t="str">
        <f t="shared" ca="1" si="34"/>
        <v xml:space="preserve"> </v>
      </c>
      <c r="M54" s="51">
        <v>30</v>
      </c>
      <c r="N54" s="51">
        <f t="shared" ca="1" si="35"/>
        <v>0</v>
      </c>
      <c r="O54" s="51">
        <f t="shared" ca="1" si="1"/>
        <v>20</v>
      </c>
      <c r="P54" s="56">
        <f t="shared" ca="1" si="2"/>
        <v>0</v>
      </c>
      <c r="Q54" s="56">
        <f t="shared" ca="1" si="3"/>
        <v>0</v>
      </c>
      <c r="R54" s="56">
        <f t="shared" ca="1" si="16"/>
        <v>0</v>
      </c>
      <c r="S54" s="56" t="str">
        <f t="shared" ca="1" si="25"/>
        <v xml:space="preserve"> </v>
      </c>
      <c r="T54" s="56" t="e">
        <f t="shared" ca="1" si="26"/>
        <v>#VALUE!</v>
      </c>
      <c r="U54" s="56">
        <f t="shared" ca="1" si="37"/>
        <v>0</v>
      </c>
      <c r="V54" s="56">
        <f t="shared" ca="1" si="38"/>
        <v>0</v>
      </c>
      <c r="W54" s="56">
        <f t="shared" ca="1" si="27"/>
        <v>0</v>
      </c>
      <c r="X54" s="56">
        <f t="shared" ca="1" si="28"/>
        <v>0</v>
      </c>
      <c r="Y54" s="56">
        <f t="shared" ca="1" si="17"/>
        <v>0</v>
      </c>
      <c r="Z54" s="56">
        <f t="shared" ca="1" si="29"/>
        <v>0</v>
      </c>
      <c r="AA54" s="56">
        <f t="shared" ca="1" si="18"/>
        <v>0</v>
      </c>
      <c r="AB54" s="56">
        <f t="shared" ca="1" si="36"/>
        <v>0</v>
      </c>
      <c r="AC54" s="56">
        <f t="shared" ca="1" si="4"/>
        <v>0</v>
      </c>
      <c r="AD54" s="56">
        <f t="shared" ca="1" si="5"/>
        <v>0</v>
      </c>
      <c r="AE54" s="56">
        <f t="shared" ca="1" si="31"/>
        <v>0</v>
      </c>
      <c r="AF54" s="56">
        <f t="shared" ca="1" si="19"/>
        <v>0</v>
      </c>
      <c r="AG54" s="56">
        <f t="shared" ca="1" si="30"/>
        <v>0</v>
      </c>
      <c r="AH54" s="56">
        <f t="shared" ca="1" si="20"/>
        <v>0</v>
      </c>
      <c r="AI54" s="56">
        <f t="shared" ca="1" si="6"/>
        <v>0</v>
      </c>
      <c r="AJ54" s="56">
        <f t="shared" ca="1" si="39"/>
        <v>0</v>
      </c>
      <c r="AK54" s="56">
        <f t="shared" ca="1" si="40"/>
        <v>0</v>
      </c>
      <c r="AL54" s="57">
        <f t="shared" ca="1" si="21"/>
        <v>0</v>
      </c>
      <c r="AM54" s="57">
        <f t="shared" ca="1" si="7"/>
        <v>0</v>
      </c>
      <c r="AN54" s="51">
        <f t="shared" ca="1" si="22"/>
        <v>0</v>
      </c>
      <c r="AO54" s="51">
        <f t="shared" ca="1" si="8"/>
        <v>0</v>
      </c>
      <c r="AP54" s="51">
        <f t="shared" ca="1" si="9"/>
        <v>0</v>
      </c>
      <c r="AQ54" s="51">
        <f t="shared" ca="1" si="10"/>
        <v>30</v>
      </c>
      <c r="AR54" s="51">
        <f t="shared" si="11"/>
        <v>20</v>
      </c>
      <c r="AS54" s="51">
        <f t="shared" ca="1" si="23"/>
        <v>30</v>
      </c>
      <c r="AT54" s="52"/>
      <c r="AU54" s="52"/>
      <c r="AV54" s="52"/>
      <c r="AW54" s="52"/>
      <c r="AX54" s="52"/>
      <c r="AY54" s="51">
        <f t="shared" ca="1" si="24"/>
        <v>0</v>
      </c>
      <c r="AZ54" s="52"/>
      <c r="BA54" s="52"/>
      <c r="BB54" s="73"/>
      <c r="BC54" s="73"/>
      <c r="BD54" s="73"/>
      <c r="BE54" s="52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ca="1" si="13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4"/>
        <v xml:space="preserve"> </v>
      </c>
      <c r="I55" s="84">
        <f t="shared" ca="1" si="32"/>
        <v>0</v>
      </c>
      <c r="J55" s="84">
        <f t="shared" ca="1" si="33"/>
        <v>0</v>
      </c>
      <c r="K55" s="84">
        <v>0</v>
      </c>
      <c r="L55" s="84" t="str">
        <f t="shared" ca="1" si="34"/>
        <v xml:space="preserve"> </v>
      </c>
      <c r="M55" s="51">
        <v>31</v>
      </c>
      <c r="N55" s="51">
        <f t="shared" ca="1" si="35"/>
        <v>0</v>
      </c>
      <c r="O55" s="51">
        <f t="shared" ca="1" si="1"/>
        <v>20</v>
      </c>
      <c r="P55" s="56">
        <f t="shared" ca="1" si="2"/>
        <v>0</v>
      </c>
      <c r="Q55" s="56">
        <f t="shared" ca="1" si="3"/>
        <v>0</v>
      </c>
      <c r="R55" s="56">
        <f t="shared" ca="1" si="16"/>
        <v>0</v>
      </c>
      <c r="S55" s="56" t="str">
        <f t="shared" ca="1" si="25"/>
        <v xml:space="preserve"> </v>
      </c>
      <c r="T55" s="56" t="e">
        <f t="shared" ca="1" si="26"/>
        <v>#VALUE!</v>
      </c>
      <c r="U55" s="56">
        <f t="shared" ca="1" si="37"/>
        <v>0</v>
      </c>
      <c r="V55" s="56">
        <f t="shared" ca="1" si="38"/>
        <v>0</v>
      </c>
      <c r="W55" s="56">
        <f t="shared" ca="1" si="27"/>
        <v>0</v>
      </c>
      <c r="X55" s="56">
        <f t="shared" ca="1" si="28"/>
        <v>0</v>
      </c>
      <c r="Y55" s="56">
        <f t="shared" ca="1" si="17"/>
        <v>0</v>
      </c>
      <c r="Z55" s="56">
        <f t="shared" ca="1" si="29"/>
        <v>0</v>
      </c>
      <c r="AA55" s="56">
        <f t="shared" ca="1" si="18"/>
        <v>0</v>
      </c>
      <c r="AB55" s="56">
        <f t="shared" ca="1" si="36"/>
        <v>0</v>
      </c>
      <c r="AC55" s="56">
        <f t="shared" ca="1" si="4"/>
        <v>0</v>
      </c>
      <c r="AD55" s="56">
        <f t="shared" ca="1" si="5"/>
        <v>0</v>
      </c>
      <c r="AE55" s="56">
        <f t="shared" ca="1" si="31"/>
        <v>0</v>
      </c>
      <c r="AF55" s="56">
        <f t="shared" ca="1" si="19"/>
        <v>0</v>
      </c>
      <c r="AG55" s="56">
        <f t="shared" ca="1" si="30"/>
        <v>0</v>
      </c>
      <c r="AH55" s="56">
        <f t="shared" ca="1" si="20"/>
        <v>0</v>
      </c>
      <c r="AI55" s="56">
        <f t="shared" ca="1" si="6"/>
        <v>0</v>
      </c>
      <c r="AJ55" s="56">
        <f t="shared" ca="1" si="39"/>
        <v>0</v>
      </c>
      <c r="AK55" s="56">
        <f t="shared" ca="1" si="40"/>
        <v>0</v>
      </c>
      <c r="AL55" s="57">
        <f t="shared" ca="1" si="21"/>
        <v>0</v>
      </c>
      <c r="AM55" s="57">
        <f t="shared" ca="1" si="7"/>
        <v>0</v>
      </c>
      <c r="AN55" s="51">
        <f t="shared" ca="1" si="22"/>
        <v>0</v>
      </c>
      <c r="AO55" s="51">
        <f t="shared" ca="1" si="8"/>
        <v>0</v>
      </c>
      <c r="AP55" s="51">
        <f t="shared" ca="1" si="9"/>
        <v>0</v>
      </c>
      <c r="AQ55" s="51">
        <f t="shared" ca="1" si="10"/>
        <v>30</v>
      </c>
      <c r="AR55" s="51">
        <f t="shared" si="11"/>
        <v>20</v>
      </c>
      <c r="AS55" s="51">
        <f t="shared" ca="1" si="23"/>
        <v>30</v>
      </c>
      <c r="AT55" s="52"/>
      <c r="AU55" s="52"/>
      <c r="AV55" s="52"/>
      <c r="AW55" s="52"/>
      <c r="AX55" s="52"/>
      <c r="AY55" s="51">
        <f t="shared" ca="1" si="24"/>
        <v>0</v>
      </c>
      <c r="AZ55" s="52"/>
      <c r="BA55" s="52"/>
      <c r="BB55" s="73"/>
      <c r="BC55" s="73"/>
      <c r="BD55" s="73"/>
      <c r="BE55" s="52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ca="1" si="13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4"/>
        <v xml:space="preserve"> </v>
      </c>
      <c r="I56" s="84">
        <f t="shared" ca="1" si="32"/>
        <v>0</v>
      </c>
      <c r="J56" s="84">
        <f t="shared" ca="1" si="33"/>
        <v>0</v>
      </c>
      <c r="K56" s="84">
        <v>0</v>
      </c>
      <c r="L56" s="84" t="str">
        <f t="shared" ca="1" si="34"/>
        <v xml:space="preserve"> </v>
      </c>
      <c r="M56" s="51">
        <v>32</v>
      </c>
      <c r="N56" s="51">
        <f t="shared" ca="1" si="35"/>
        <v>0</v>
      </c>
      <c r="O56" s="51">
        <f t="shared" ca="1" si="1"/>
        <v>20</v>
      </c>
      <c r="P56" s="56">
        <f t="shared" ca="1" si="2"/>
        <v>0</v>
      </c>
      <c r="Q56" s="56">
        <f t="shared" ca="1" si="3"/>
        <v>0</v>
      </c>
      <c r="R56" s="56">
        <f t="shared" ca="1" si="16"/>
        <v>0</v>
      </c>
      <c r="S56" s="56" t="str">
        <f t="shared" ca="1" si="25"/>
        <v xml:space="preserve"> </v>
      </c>
      <c r="T56" s="56" t="e">
        <f t="shared" ca="1" si="26"/>
        <v>#VALUE!</v>
      </c>
      <c r="U56" s="56">
        <f t="shared" ca="1" si="37"/>
        <v>0</v>
      </c>
      <c r="V56" s="56">
        <f t="shared" ca="1" si="38"/>
        <v>0</v>
      </c>
      <c r="W56" s="56">
        <f t="shared" ca="1" si="27"/>
        <v>0</v>
      </c>
      <c r="X56" s="56">
        <f t="shared" ca="1" si="28"/>
        <v>0</v>
      </c>
      <c r="Y56" s="56">
        <f t="shared" ca="1" si="17"/>
        <v>0</v>
      </c>
      <c r="Z56" s="56">
        <f t="shared" ca="1" si="29"/>
        <v>0</v>
      </c>
      <c r="AA56" s="56">
        <f t="shared" ca="1" si="18"/>
        <v>0</v>
      </c>
      <c r="AB56" s="56">
        <f t="shared" ca="1" si="36"/>
        <v>0</v>
      </c>
      <c r="AC56" s="56">
        <f t="shared" ca="1" si="4"/>
        <v>0</v>
      </c>
      <c r="AD56" s="56">
        <f t="shared" ca="1" si="5"/>
        <v>0</v>
      </c>
      <c r="AE56" s="56">
        <f t="shared" ca="1" si="31"/>
        <v>0</v>
      </c>
      <c r="AF56" s="56">
        <f t="shared" ca="1" si="19"/>
        <v>0</v>
      </c>
      <c r="AG56" s="56">
        <f t="shared" ca="1" si="30"/>
        <v>0</v>
      </c>
      <c r="AH56" s="56">
        <f t="shared" ca="1" si="20"/>
        <v>0</v>
      </c>
      <c r="AI56" s="56">
        <f t="shared" ca="1" si="6"/>
        <v>0</v>
      </c>
      <c r="AJ56" s="56">
        <f t="shared" ca="1" si="39"/>
        <v>0</v>
      </c>
      <c r="AK56" s="56">
        <f t="shared" ca="1" si="40"/>
        <v>0</v>
      </c>
      <c r="AL56" s="57">
        <f t="shared" ca="1" si="21"/>
        <v>0</v>
      </c>
      <c r="AM56" s="57">
        <f t="shared" ca="1" si="7"/>
        <v>0</v>
      </c>
      <c r="AN56" s="51">
        <f t="shared" ca="1" si="22"/>
        <v>0</v>
      </c>
      <c r="AO56" s="51">
        <f t="shared" ca="1" si="8"/>
        <v>0</v>
      </c>
      <c r="AP56" s="51">
        <f t="shared" ca="1" si="9"/>
        <v>0</v>
      </c>
      <c r="AQ56" s="51">
        <f t="shared" ca="1" si="10"/>
        <v>30</v>
      </c>
      <c r="AR56" s="51">
        <f t="shared" si="11"/>
        <v>20</v>
      </c>
      <c r="AS56" s="51">
        <f t="shared" ca="1" si="23"/>
        <v>30</v>
      </c>
      <c r="AT56" s="52"/>
      <c r="AU56" s="52"/>
      <c r="AV56" s="52"/>
      <c r="AW56" s="52"/>
      <c r="AX56" s="52"/>
      <c r="AY56" s="51">
        <f t="shared" ca="1" si="24"/>
        <v>0</v>
      </c>
      <c r="AZ56" s="52"/>
      <c r="BA56" s="52"/>
      <c r="BB56" s="73"/>
      <c r="BC56" s="73"/>
      <c r="BD56" s="73"/>
      <c r="BE56" s="52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ca="1" si="13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4"/>
        <v xml:space="preserve"> </v>
      </c>
      <c r="I57" s="84">
        <f t="shared" ca="1" si="32"/>
        <v>0</v>
      </c>
      <c r="J57" s="84">
        <f t="shared" ca="1" si="33"/>
        <v>0</v>
      </c>
      <c r="K57" s="84">
        <v>0</v>
      </c>
      <c r="L57" s="84" t="str">
        <f t="shared" ca="1" si="34"/>
        <v xml:space="preserve"> </v>
      </c>
      <c r="M57" s="51">
        <v>33</v>
      </c>
      <c r="N57" s="51">
        <f t="shared" ca="1" si="35"/>
        <v>0</v>
      </c>
      <c r="O57" s="51">
        <f t="shared" ref="O57:O85" ca="1" si="41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56">
        <f t="shared" ref="P57:P85" ca="1" si="42">IF(U57&lt;&gt;0,IF(VALUE(RIGHT(ROUND(U57,0)))&lt;=5,ROUND(U57,0)-VALUE(RIGHT(ROUND(U57,0))),ROUND(U57,0)+10-VALUE(RIGHT(ROUND(U57,0)))),0)</f>
        <v>0</v>
      </c>
      <c r="Q57" s="56">
        <f t="shared" ref="Q57:Q85" ca="1" si="43">IF(V57&lt;&gt;0,IF(VALUE(RIGHT(ROUND(V57,0)))&lt;=5,ROUND(V57,0)-VALUE(RIGHT(ROUND(V57,0))),ROUND(V57,0)+10-VALUE(RIGHT(ROUND(V57,0)))),0)</f>
        <v>0</v>
      </c>
      <c r="R57" s="56">
        <f t="shared" ca="1" si="16"/>
        <v>0</v>
      </c>
      <c r="S57" s="56" t="str">
        <f t="shared" ca="1" si="25"/>
        <v xml:space="preserve"> </v>
      </c>
      <c r="T57" s="56" t="e">
        <f t="shared" ca="1" si="26"/>
        <v>#VALUE!</v>
      </c>
      <c r="U57" s="56">
        <f t="shared" ca="1" si="37"/>
        <v>0</v>
      </c>
      <c r="V57" s="56">
        <f t="shared" ca="1" si="38"/>
        <v>0</v>
      </c>
      <c r="W57" s="56">
        <f t="shared" ca="1" si="27"/>
        <v>0</v>
      </c>
      <c r="X57" s="56">
        <f t="shared" ca="1" si="28"/>
        <v>0</v>
      </c>
      <c r="Y57" s="56">
        <f t="shared" ca="1" si="17"/>
        <v>0</v>
      </c>
      <c r="Z57" s="56">
        <f t="shared" ca="1" si="29"/>
        <v>0</v>
      </c>
      <c r="AA57" s="56">
        <f t="shared" ca="1" si="18"/>
        <v>0</v>
      </c>
      <c r="AB57" s="56">
        <f t="shared" ca="1" si="36"/>
        <v>0</v>
      </c>
      <c r="AC57" s="56">
        <f t="shared" ref="AC57:AC85" ca="1" si="44">IF(AJ57&lt;&gt;0,IF(VALUE(RIGHT(ROUND(AJ57,0)))&lt;=5,ROUND(AJ57,0)-VALUE(RIGHT(ROUND(AJ57,0))),ROUND(AJ57,0)+10-VALUE(RIGHT(ROUND(AJ57,0)))),0)</f>
        <v>0</v>
      </c>
      <c r="AD57" s="56">
        <f t="shared" ref="AD57:AD85" ca="1" si="45">IF(AK57&lt;&gt;0,IF(VALUE(RIGHT(ROUND(AK57,0)))&lt;=5,ROUND(AK57,0)-VALUE(RIGHT(ROUND(AK57,0))),ROUND(AK57,0)+10-VALUE(RIGHT(ROUND(AK57,0)))),0)</f>
        <v>0</v>
      </c>
      <c r="AE57" s="56">
        <f t="shared" ca="1" si="31"/>
        <v>0</v>
      </c>
      <c r="AF57" s="56">
        <f t="shared" ca="1" si="19"/>
        <v>0</v>
      </c>
      <c r="AG57" s="56">
        <f t="shared" ca="1" si="30"/>
        <v>0</v>
      </c>
      <c r="AH57" s="56">
        <f t="shared" ca="1" si="20"/>
        <v>0</v>
      </c>
      <c r="AI57" s="56">
        <f t="shared" ref="AI57:AI85" ca="1" si="46">R57</f>
        <v>0</v>
      </c>
      <c r="AJ57" s="56">
        <f t="shared" ca="1" si="39"/>
        <v>0</v>
      </c>
      <c r="AK57" s="56">
        <f t="shared" ca="1" si="40"/>
        <v>0</v>
      </c>
      <c r="AL57" s="57">
        <f t="shared" ca="1" si="21"/>
        <v>0</v>
      </c>
      <c r="AM57" s="57">
        <f t="shared" ref="AM57:AM85" ca="1" si="47">IF(AL57=13,1,AL57)</f>
        <v>0</v>
      </c>
      <c r="AN57" s="51">
        <f t="shared" ca="1" si="22"/>
        <v>0</v>
      </c>
      <c r="AO57" s="51">
        <f t="shared" ref="AO57:AO85" ca="1" si="48">IF(AM57=1,AN57+1,AN57)</f>
        <v>0</v>
      </c>
      <c r="AP57" s="51">
        <f t="shared" ref="AP57:AP85" ca="1" si="49">IF((AN57/2012)=1,1,IF((AN57/2016)=1,1,IF((AN57/2020)=1,1,IF((AN57/2024)=1,1,IF((AN57/2028)=1,1,IF((AN57/2032)=1,1,0))))))</f>
        <v>0</v>
      </c>
      <c r="AQ57" s="51">
        <f t="shared" ref="AQ57:AQ85" ca="1" si="50">IF(AM57=2,IF(AP57=1,29,28),30)</f>
        <v>30</v>
      </c>
      <c r="AR57" s="51">
        <f t="shared" ref="AR57:AR85" si="51">IF(C$24=30,AQ57,20)</f>
        <v>20</v>
      </c>
      <c r="AS57" s="51">
        <f t="shared" ca="1" si="23"/>
        <v>30</v>
      </c>
      <c r="AT57" s="52"/>
      <c r="AU57" s="52"/>
      <c r="AV57" s="52"/>
      <c r="AW57" s="52"/>
      <c r="AX57" s="52"/>
      <c r="AY57" s="51">
        <f t="shared" ca="1" si="24"/>
        <v>0</v>
      </c>
      <c r="AZ57" s="52"/>
      <c r="BA57" s="52"/>
      <c r="BB57" s="73"/>
      <c r="BC57" s="73"/>
      <c r="BD57" s="73"/>
      <c r="BE57" s="52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ref="B58:B85" ca="1" si="52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3">IF(SUM(D58:G58)=0," ",SUM(D58:G58))</f>
        <v xml:space="preserve"> </v>
      </c>
      <c r="I58" s="84">
        <f t="shared" ca="1" si="32"/>
        <v>0</v>
      </c>
      <c r="J58" s="84">
        <f t="shared" ca="1" si="33"/>
        <v>0</v>
      </c>
      <c r="K58" s="84">
        <v>0</v>
      </c>
      <c r="L58" s="84" t="str">
        <f t="shared" ca="1" si="34"/>
        <v xml:space="preserve"> </v>
      </c>
      <c r="M58" s="51">
        <v>34</v>
      </c>
      <c r="N58" s="51">
        <f t="shared" ca="1" si="35"/>
        <v>0</v>
      </c>
      <c r="O58" s="51">
        <f t="shared" ca="1" si="41"/>
        <v>20</v>
      </c>
      <c r="P58" s="56">
        <f t="shared" ca="1" si="42"/>
        <v>0</v>
      </c>
      <c r="Q58" s="56">
        <f t="shared" ca="1" si="43"/>
        <v>0</v>
      </c>
      <c r="R58" s="56">
        <f t="shared" ref="R58:R85" ca="1" si="54">IF(N58=0,0,R57-D57)</f>
        <v>0</v>
      </c>
      <c r="S58" s="56" t="str">
        <f t="shared" ca="1" si="25"/>
        <v xml:space="preserve"> </v>
      </c>
      <c r="T58" s="56" t="e">
        <f t="shared" ca="1" si="26"/>
        <v>#VALUE!</v>
      </c>
      <c r="U58" s="56">
        <f t="shared" ca="1" si="37"/>
        <v>0</v>
      </c>
      <c r="V58" s="56">
        <f t="shared" ca="1" si="38"/>
        <v>0</v>
      </c>
      <c r="W58" s="56">
        <f t="shared" ca="1" si="27"/>
        <v>0</v>
      </c>
      <c r="X58" s="56">
        <f t="shared" ca="1" si="28"/>
        <v>0</v>
      </c>
      <c r="Y58" s="56">
        <f t="shared" ca="1" si="17"/>
        <v>0</v>
      </c>
      <c r="Z58" s="56">
        <f t="shared" ca="1" si="29"/>
        <v>0</v>
      </c>
      <c r="AA58" s="56">
        <f t="shared" ca="1" si="18"/>
        <v>0</v>
      </c>
      <c r="AB58" s="56">
        <f t="shared" ca="1" si="36"/>
        <v>0</v>
      </c>
      <c r="AC58" s="56">
        <f t="shared" ca="1" si="44"/>
        <v>0</v>
      </c>
      <c r="AD58" s="56">
        <f t="shared" ca="1" si="45"/>
        <v>0</v>
      </c>
      <c r="AE58" s="56">
        <f t="shared" ca="1" si="31"/>
        <v>0</v>
      </c>
      <c r="AF58" s="56">
        <f t="shared" ca="1" si="19"/>
        <v>0</v>
      </c>
      <c r="AG58" s="56">
        <f t="shared" ca="1" si="30"/>
        <v>0</v>
      </c>
      <c r="AH58" s="56">
        <f t="shared" ca="1" si="20"/>
        <v>0</v>
      </c>
      <c r="AI58" s="56">
        <f t="shared" ca="1" si="46"/>
        <v>0</v>
      </c>
      <c r="AJ58" s="56">
        <f t="shared" ca="1" si="39"/>
        <v>0</v>
      </c>
      <c r="AK58" s="56">
        <f t="shared" ca="1" si="40"/>
        <v>0</v>
      </c>
      <c r="AL58" s="57">
        <f t="shared" ref="AL58:AL85" ca="1" si="55">IF(N58=0,0,MONTH(B57)+1)</f>
        <v>0</v>
      </c>
      <c r="AM58" s="57">
        <f t="shared" ca="1" si="47"/>
        <v>0</v>
      </c>
      <c r="AN58" s="51">
        <f t="shared" ref="AN58:AN85" ca="1" si="56">IF(N58=0,0,YEAR(B57))</f>
        <v>0</v>
      </c>
      <c r="AO58" s="51">
        <f t="shared" ca="1" si="48"/>
        <v>0</v>
      </c>
      <c r="AP58" s="51">
        <f t="shared" ca="1" si="49"/>
        <v>0</v>
      </c>
      <c r="AQ58" s="51">
        <f t="shared" ca="1" si="50"/>
        <v>30</v>
      </c>
      <c r="AR58" s="51">
        <f t="shared" si="51"/>
        <v>20</v>
      </c>
      <c r="AS58" s="51">
        <f t="shared" ref="AS58:AS85" ca="1" si="57">AQ57</f>
        <v>30</v>
      </c>
      <c r="AT58" s="52"/>
      <c r="AU58" s="52"/>
      <c r="AV58" s="52"/>
      <c r="AW58" s="52"/>
      <c r="AX58" s="52"/>
      <c r="AY58" s="51">
        <f t="shared" ca="1" si="24"/>
        <v>0</v>
      </c>
      <c r="AZ58" s="52"/>
      <c r="BA58" s="52"/>
      <c r="BB58" s="73"/>
      <c r="BC58" s="73"/>
      <c r="BD58" s="73"/>
      <c r="BE58" s="52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ca="1" si="52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3"/>
        <v xml:space="preserve"> </v>
      </c>
      <c r="I59" s="84">
        <f t="shared" ca="1" si="32"/>
        <v>0</v>
      </c>
      <c r="J59" s="84">
        <f t="shared" ca="1" si="33"/>
        <v>0</v>
      </c>
      <c r="K59" s="84">
        <v>0</v>
      </c>
      <c r="L59" s="84" t="str">
        <f t="shared" ca="1" si="34"/>
        <v xml:space="preserve"> </v>
      </c>
      <c r="M59" s="51">
        <v>35</v>
      </c>
      <c r="N59" s="51">
        <f t="shared" ca="1" si="35"/>
        <v>0</v>
      </c>
      <c r="O59" s="51">
        <f t="shared" ca="1" si="41"/>
        <v>20</v>
      </c>
      <c r="P59" s="56">
        <f t="shared" ca="1" si="42"/>
        <v>0</v>
      </c>
      <c r="Q59" s="56">
        <f t="shared" ca="1" si="43"/>
        <v>0</v>
      </c>
      <c r="R59" s="56">
        <f t="shared" ca="1" si="54"/>
        <v>0</v>
      </c>
      <c r="S59" s="56" t="str">
        <f t="shared" ca="1" si="25"/>
        <v xml:space="preserve"> </v>
      </c>
      <c r="T59" s="56" t="e">
        <f t="shared" ca="1" si="26"/>
        <v>#VALUE!</v>
      </c>
      <c r="U59" s="56">
        <f t="shared" ca="1" si="37"/>
        <v>0</v>
      </c>
      <c r="V59" s="56">
        <f t="shared" ca="1" si="38"/>
        <v>0</v>
      </c>
      <c r="W59" s="56">
        <f t="shared" ca="1" si="27"/>
        <v>0</v>
      </c>
      <c r="X59" s="56">
        <f t="shared" ca="1" si="28"/>
        <v>0</v>
      </c>
      <c r="Y59" s="56">
        <f t="shared" ca="1" si="17"/>
        <v>0</v>
      </c>
      <c r="Z59" s="56">
        <f t="shared" ca="1" si="29"/>
        <v>0</v>
      </c>
      <c r="AA59" s="56">
        <f t="shared" ca="1" si="18"/>
        <v>0</v>
      </c>
      <c r="AB59" s="56">
        <f t="shared" ca="1" si="36"/>
        <v>0</v>
      </c>
      <c r="AC59" s="56">
        <f t="shared" ca="1" si="44"/>
        <v>0</v>
      </c>
      <c r="AD59" s="56">
        <f t="shared" ca="1" si="45"/>
        <v>0</v>
      </c>
      <c r="AE59" s="56">
        <f t="shared" ca="1" si="31"/>
        <v>0</v>
      </c>
      <c r="AF59" s="56">
        <f t="shared" ca="1" si="19"/>
        <v>0</v>
      </c>
      <c r="AG59" s="56">
        <f t="shared" ca="1" si="30"/>
        <v>0</v>
      </c>
      <c r="AH59" s="56">
        <f t="shared" ca="1" si="20"/>
        <v>0</v>
      </c>
      <c r="AI59" s="56">
        <f t="shared" ca="1" si="46"/>
        <v>0</v>
      </c>
      <c r="AJ59" s="56">
        <f t="shared" ca="1" si="39"/>
        <v>0</v>
      </c>
      <c r="AK59" s="56">
        <f t="shared" ca="1" si="40"/>
        <v>0</v>
      </c>
      <c r="AL59" s="57">
        <f t="shared" ca="1" si="55"/>
        <v>0</v>
      </c>
      <c r="AM59" s="57">
        <f t="shared" ca="1" si="47"/>
        <v>0</v>
      </c>
      <c r="AN59" s="51">
        <f t="shared" ca="1" si="56"/>
        <v>0</v>
      </c>
      <c r="AO59" s="51">
        <f t="shared" ca="1" si="48"/>
        <v>0</v>
      </c>
      <c r="AP59" s="51">
        <f t="shared" ca="1" si="49"/>
        <v>0</v>
      </c>
      <c r="AQ59" s="51">
        <f t="shared" ca="1" si="50"/>
        <v>30</v>
      </c>
      <c r="AR59" s="51">
        <f t="shared" si="51"/>
        <v>20</v>
      </c>
      <c r="AS59" s="51">
        <f t="shared" ca="1" si="57"/>
        <v>30</v>
      </c>
      <c r="AT59" s="52"/>
      <c r="AU59" s="52"/>
      <c r="AV59" s="52"/>
      <c r="AW59" s="52"/>
      <c r="AX59" s="52"/>
      <c r="AY59" s="51">
        <f t="shared" ca="1" si="24"/>
        <v>0</v>
      </c>
      <c r="AZ59" s="52"/>
      <c r="BA59" s="52"/>
      <c r="BB59" s="73"/>
      <c r="BC59" s="73"/>
      <c r="BD59" s="73"/>
      <c r="BE59" s="52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ca="1" si="52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3"/>
        <v xml:space="preserve"> </v>
      </c>
      <c r="I60" s="84">
        <f t="shared" ca="1" si="32"/>
        <v>0</v>
      </c>
      <c r="J60" s="84">
        <f t="shared" ca="1" si="33"/>
        <v>0</v>
      </c>
      <c r="K60" s="84">
        <v>0</v>
      </c>
      <c r="L60" s="84" t="str">
        <f t="shared" ca="1" si="34"/>
        <v xml:space="preserve"> </v>
      </c>
      <c r="M60" s="51">
        <v>36</v>
      </c>
      <c r="N60" s="51">
        <f t="shared" ca="1" si="35"/>
        <v>0</v>
      </c>
      <c r="O60" s="51">
        <f t="shared" ca="1" si="41"/>
        <v>20</v>
      </c>
      <c r="P60" s="56">
        <f t="shared" ca="1" si="42"/>
        <v>0</v>
      </c>
      <c r="Q60" s="56">
        <f t="shared" ca="1" si="43"/>
        <v>0</v>
      </c>
      <c r="R60" s="56">
        <f t="shared" ca="1" si="54"/>
        <v>0</v>
      </c>
      <c r="S60" s="56" t="str">
        <f t="shared" ca="1" si="25"/>
        <v xml:space="preserve"> </v>
      </c>
      <c r="T60" s="56" t="e">
        <f t="shared" ca="1" si="26"/>
        <v>#VALUE!</v>
      </c>
      <c r="U60" s="56">
        <f t="shared" ca="1" si="37"/>
        <v>0</v>
      </c>
      <c r="V60" s="56">
        <f t="shared" ca="1" si="38"/>
        <v>0</v>
      </c>
      <c r="W60" s="56">
        <f t="shared" ca="1" si="27"/>
        <v>0</v>
      </c>
      <c r="X60" s="56">
        <f t="shared" ca="1" si="28"/>
        <v>0</v>
      </c>
      <c r="Y60" s="56">
        <f t="shared" ca="1" si="17"/>
        <v>0</v>
      </c>
      <c r="Z60" s="56">
        <f t="shared" ca="1" si="29"/>
        <v>0</v>
      </c>
      <c r="AA60" s="56">
        <f t="shared" ca="1" si="18"/>
        <v>0</v>
      </c>
      <c r="AB60" s="56">
        <f t="shared" ca="1" si="36"/>
        <v>0</v>
      </c>
      <c r="AC60" s="56">
        <f t="shared" ca="1" si="44"/>
        <v>0</v>
      </c>
      <c r="AD60" s="56">
        <f t="shared" ca="1" si="45"/>
        <v>0</v>
      </c>
      <c r="AE60" s="56">
        <f t="shared" ca="1" si="31"/>
        <v>0</v>
      </c>
      <c r="AF60" s="56">
        <f t="shared" ca="1" si="19"/>
        <v>0</v>
      </c>
      <c r="AG60" s="56">
        <f t="shared" ca="1" si="30"/>
        <v>0</v>
      </c>
      <c r="AH60" s="56">
        <f t="shared" ca="1" si="20"/>
        <v>0</v>
      </c>
      <c r="AI60" s="56">
        <f t="shared" ca="1" si="46"/>
        <v>0</v>
      </c>
      <c r="AJ60" s="56">
        <f t="shared" ca="1" si="39"/>
        <v>0</v>
      </c>
      <c r="AK60" s="56">
        <f t="shared" ca="1" si="40"/>
        <v>0</v>
      </c>
      <c r="AL60" s="57">
        <f t="shared" ca="1" si="55"/>
        <v>0</v>
      </c>
      <c r="AM60" s="57">
        <f t="shared" ca="1" si="47"/>
        <v>0</v>
      </c>
      <c r="AN60" s="51">
        <f t="shared" ca="1" si="56"/>
        <v>0</v>
      </c>
      <c r="AO60" s="51">
        <f t="shared" ca="1" si="48"/>
        <v>0</v>
      </c>
      <c r="AP60" s="51">
        <f t="shared" ca="1" si="49"/>
        <v>0</v>
      </c>
      <c r="AQ60" s="51">
        <f t="shared" ca="1" si="50"/>
        <v>30</v>
      </c>
      <c r="AR60" s="51">
        <f t="shared" si="51"/>
        <v>20</v>
      </c>
      <c r="AS60" s="51">
        <f t="shared" ca="1" si="57"/>
        <v>30</v>
      </c>
      <c r="AT60" s="52"/>
      <c r="AU60" s="52"/>
      <c r="AV60" s="52"/>
      <c r="AW60" s="52"/>
      <c r="AX60" s="52"/>
      <c r="AY60" s="51">
        <f t="shared" ca="1" si="24"/>
        <v>0</v>
      </c>
      <c r="AZ60" s="52"/>
      <c r="BA60" s="52"/>
      <c r="BB60" s="73"/>
      <c r="BC60" s="73"/>
      <c r="BD60" s="73"/>
      <c r="BE60" s="52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2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3"/>
        <v xml:space="preserve"> </v>
      </c>
      <c r="I61" s="84">
        <f t="shared" ca="1" si="32"/>
        <v>0</v>
      </c>
      <c r="J61" s="84">
        <f t="shared" ca="1" si="33"/>
        <v>0</v>
      </c>
      <c r="K61" s="84">
        <v>0</v>
      </c>
      <c r="L61" s="84" t="str">
        <f t="shared" ca="1" si="34"/>
        <v xml:space="preserve"> </v>
      </c>
      <c r="M61" s="51">
        <v>37</v>
      </c>
      <c r="N61" s="51">
        <f t="shared" ca="1" si="35"/>
        <v>0</v>
      </c>
      <c r="O61" s="51">
        <f t="shared" ca="1" si="41"/>
        <v>20</v>
      </c>
      <c r="P61" s="56">
        <f t="shared" ca="1" si="42"/>
        <v>0</v>
      </c>
      <c r="Q61" s="56">
        <f t="shared" ca="1" si="43"/>
        <v>0</v>
      </c>
      <c r="R61" s="56">
        <f t="shared" ca="1" si="54"/>
        <v>0</v>
      </c>
      <c r="S61" s="56" t="str">
        <f t="shared" ca="1" si="25"/>
        <v xml:space="preserve"> </v>
      </c>
      <c r="T61" s="56" t="e">
        <f t="shared" ca="1" si="26"/>
        <v>#VALUE!</v>
      </c>
      <c r="U61" s="56">
        <f ca="1">IF(N62=1,R60*D$11*20/36000+R61*D$11*10/36000,IF(N62=0,IF(N61=0,0,IF(D40&gt;20,R60*D$11*20/36000+R61*D$11*(Q$12-20)/36000,R61*D$11*Q$12/36000))))</f>
        <v>0</v>
      </c>
      <c r="V61" s="56">
        <f ca="1">IF(N62=1,R60*D$11*20/36000+R61*D$11*10/36000,IF(N62=0,IF(N61=0,0,IF(D40&gt;20,R60*D$11*20/36000+R61*D$11*(Q$12-20)/36000,R61*D$11*Q$12/36000))))</f>
        <v>0</v>
      </c>
      <c r="W61" s="56">
        <f t="shared" ca="1" si="27"/>
        <v>0</v>
      </c>
      <c r="X61" s="56">
        <f t="shared" ca="1" si="28"/>
        <v>0</v>
      </c>
      <c r="Y61" s="56">
        <f t="shared" ca="1" si="17"/>
        <v>0</v>
      </c>
      <c r="Z61" s="56">
        <f ca="1">IF(N62=1,Y60*D$11*20/36000+Y61*D$11*10/36000,IF(N62=0,IF(N61=0,0,IF(D$16&gt;20,Y60*D$11*20/36000+Y61*D$11*(Q$12-20)/36000,Y61*D$11*Q$12/36000))))</f>
        <v>0</v>
      </c>
      <c r="AA61" s="56">
        <f t="shared" ca="1" si="18"/>
        <v>0</v>
      </c>
      <c r="AB61" s="56">
        <f t="shared" ca="1" si="36"/>
        <v>0</v>
      </c>
      <c r="AC61" s="56">
        <f t="shared" ca="1" si="44"/>
        <v>0</v>
      </c>
      <c r="AD61" s="56">
        <f t="shared" ca="1" si="45"/>
        <v>0</v>
      </c>
      <c r="AE61" s="56">
        <f t="shared" ca="1" si="31"/>
        <v>0</v>
      </c>
      <c r="AF61" s="56">
        <f t="shared" ca="1" si="19"/>
        <v>0</v>
      </c>
      <c r="AG61" s="56">
        <f t="shared" ca="1" si="30"/>
        <v>0</v>
      </c>
      <c r="AH61" s="56">
        <f t="shared" ca="1" si="20"/>
        <v>0</v>
      </c>
      <c r="AI61" s="56">
        <f t="shared" ca="1" si="46"/>
        <v>0</v>
      </c>
      <c r="AJ61" s="56">
        <f ca="1">IF(N62=1,AI60*G$12*20/36000+AI61*G$12*10/36000,IF(N62=0,IF(N61=0,0,AI61*G$12*Q$12/36000)))</f>
        <v>0</v>
      </c>
      <c r="AK61" s="56">
        <f ca="1">IF(N62=1,AI60*G$12*20/36000+AI61*G$12*10/36000,IF(N62=0,IF(N61=0,0,AI61*G$12*Q$12/36000)))</f>
        <v>0</v>
      </c>
      <c r="AL61" s="57">
        <f t="shared" ca="1" si="55"/>
        <v>0</v>
      </c>
      <c r="AM61" s="57">
        <f t="shared" ca="1" si="47"/>
        <v>0</v>
      </c>
      <c r="AN61" s="51">
        <f t="shared" ca="1" si="56"/>
        <v>0</v>
      </c>
      <c r="AO61" s="51">
        <f t="shared" ca="1" si="48"/>
        <v>0</v>
      </c>
      <c r="AP61" s="51">
        <f t="shared" ca="1" si="49"/>
        <v>0</v>
      </c>
      <c r="AQ61" s="51">
        <f t="shared" ca="1" si="50"/>
        <v>30</v>
      </c>
      <c r="AR61" s="51">
        <f t="shared" si="51"/>
        <v>20</v>
      </c>
      <c r="AS61" s="51">
        <f t="shared" ca="1" si="57"/>
        <v>30</v>
      </c>
      <c r="AT61" s="52"/>
      <c r="AU61" s="52"/>
      <c r="AV61" s="52"/>
      <c r="AW61" s="52"/>
      <c r="AX61" s="52"/>
      <c r="AY61" s="51">
        <f t="shared" ca="1" si="24"/>
        <v>0</v>
      </c>
      <c r="AZ61" s="52"/>
      <c r="BA61" s="52"/>
      <c r="BB61" s="73"/>
      <c r="BC61" s="73"/>
      <c r="BD61" s="73"/>
      <c r="BE61" s="52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2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3"/>
        <v xml:space="preserve"> </v>
      </c>
      <c r="I62" s="84">
        <f t="shared" ca="1" si="32"/>
        <v>0</v>
      </c>
      <c r="J62" s="84">
        <f t="shared" ca="1" si="33"/>
        <v>0</v>
      </c>
      <c r="K62" s="84">
        <v>0</v>
      </c>
      <c r="L62" s="84" t="str">
        <f t="shared" ca="1" si="34"/>
        <v xml:space="preserve"> </v>
      </c>
      <c r="M62" s="51">
        <v>38</v>
      </c>
      <c r="N62" s="51">
        <f t="shared" ca="1" si="35"/>
        <v>0</v>
      </c>
      <c r="O62" s="51">
        <f t="shared" ca="1" si="41"/>
        <v>20</v>
      </c>
      <c r="P62" s="56">
        <f t="shared" ca="1" si="42"/>
        <v>0</v>
      </c>
      <c r="Q62" s="56">
        <f t="shared" ca="1" si="43"/>
        <v>0</v>
      </c>
      <c r="R62" s="56">
        <f t="shared" ca="1" si="54"/>
        <v>0</v>
      </c>
      <c r="S62" s="56" t="str">
        <f t="shared" ca="1" si="25"/>
        <v xml:space="preserve"> </v>
      </c>
      <c r="T62" s="56" t="e">
        <f t="shared" ca="1" si="26"/>
        <v>#VALUE!</v>
      </c>
      <c r="U62" s="56">
        <f t="shared" ref="U62:U72" ca="1" si="58">IF(N63=1,R61*D$11*20/36000+R62*D$11*10/36000,IF(N63=0,IF(N62=0,0,R62*D$11*Q$12/36000+R61*D$11*20/36000+R62*D$11*10/36000)))</f>
        <v>0</v>
      </c>
      <c r="V62" s="56">
        <f t="shared" ref="V62:V72" ca="1" si="59">IF(N63=1,R61*D$11*20/36000+R62*D$11*10/36000,IF(N63=0,IF(N62=0,0,R62*D$11*Q$12/36000+R61*D$11*20/36000+R62*D$11*10/36000)))</f>
        <v>0</v>
      </c>
      <c r="W62" s="56">
        <f t="shared" ca="1" si="27"/>
        <v>0</v>
      </c>
      <c r="X62" s="56">
        <f t="shared" ca="1" si="28"/>
        <v>0</v>
      </c>
      <c r="Y62" s="56">
        <f t="shared" ca="1" si="17"/>
        <v>0</v>
      </c>
      <c r="Z62" s="56">
        <f t="shared" ca="1" si="29"/>
        <v>0</v>
      </c>
      <c r="AA62" s="56">
        <f t="shared" ca="1" si="18"/>
        <v>0</v>
      </c>
      <c r="AB62" s="56">
        <f t="shared" ca="1" si="36"/>
        <v>0</v>
      </c>
      <c r="AC62" s="56">
        <f t="shared" ca="1" si="44"/>
        <v>0</v>
      </c>
      <c r="AD62" s="56">
        <f t="shared" ca="1" si="45"/>
        <v>0</v>
      </c>
      <c r="AE62" s="56">
        <f t="shared" ca="1" si="31"/>
        <v>0</v>
      </c>
      <c r="AF62" s="56">
        <f t="shared" ca="1" si="19"/>
        <v>0</v>
      </c>
      <c r="AG62" s="56">
        <f t="shared" ca="1" si="30"/>
        <v>0</v>
      </c>
      <c r="AH62" s="56">
        <f t="shared" ca="1" si="20"/>
        <v>0</v>
      </c>
      <c r="AI62" s="56">
        <f t="shared" ca="1" si="46"/>
        <v>0</v>
      </c>
      <c r="AJ62" s="56">
        <f t="shared" ref="AJ62:AJ72" ca="1" si="60">IF(N63=1,AI61*G$12*20/36000+AI62*G$12*10/36000,IF(N63=0,IF(N62=0,0,AI62*G$12*Q$12/36000+AI61*G$12*20/36000+AI62*G$12*10/36000)))</f>
        <v>0</v>
      </c>
      <c r="AK62" s="56">
        <f t="shared" ref="AK62:AK72" ca="1" si="61">IF(N63=1,AI61*G$12*20/36000+AI62*G$12*10/36000,IF(N63=0,IF(N62=0,0,AI62*G$12*Q$12/36000+AI61*G$12*20/36000+AI62*G$12*10/36000)))</f>
        <v>0</v>
      </c>
      <c r="AL62" s="57">
        <f t="shared" ca="1" si="55"/>
        <v>0</v>
      </c>
      <c r="AM62" s="57">
        <f t="shared" ca="1" si="47"/>
        <v>0</v>
      </c>
      <c r="AN62" s="51">
        <f t="shared" ca="1" si="56"/>
        <v>0</v>
      </c>
      <c r="AO62" s="51">
        <f t="shared" ca="1" si="48"/>
        <v>0</v>
      </c>
      <c r="AP62" s="51">
        <f t="shared" ca="1" si="49"/>
        <v>0</v>
      </c>
      <c r="AQ62" s="51">
        <f t="shared" ca="1" si="50"/>
        <v>30</v>
      </c>
      <c r="AR62" s="51">
        <f t="shared" si="51"/>
        <v>20</v>
      </c>
      <c r="AS62" s="51">
        <f t="shared" ca="1" si="57"/>
        <v>30</v>
      </c>
      <c r="AT62" s="52"/>
      <c r="AU62" s="52"/>
      <c r="AV62" s="52"/>
      <c r="AW62" s="52"/>
      <c r="AX62" s="52"/>
      <c r="AY62" s="51">
        <f t="shared" ca="1" si="24"/>
        <v>0</v>
      </c>
      <c r="AZ62" s="52"/>
      <c r="BA62" s="52"/>
      <c r="BB62" s="73"/>
      <c r="BC62" s="73"/>
      <c r="BD62" s="73"/>
      <c r="BE62" s="52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2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3"/>
        <v xml:space="preserve"> </v>
      </c>
      <c r="I63" s="84">
        <f t="shared" ca="1" si="32"/>
        <v>0</v>
      </c>
      <c r="J63" s="84">
        <f t="shared" ca="1" si="33"/>
        <v>0</v>
      </c>
      <c r="K63" s="84">
        <v>0</v>
      </c>
      <c r="L63" s="84" t="str">
        <f t="shared" ca="1" si="34"/>
        <v xml:space="preserve"> </v>
      </c>
      <c r="M63" s="51">
        <v>39</v>
      </c>
      <c r="N63" s="51">
        <f t="shared" ca="1" si="35"/>
        <v>0</v>
      </c>
      <c r="O63" s="51">
        <f t="shared" ca="1" si="41"/>
        <v>20</v>
      </c>
      <c r="P63" s="56">
        <f t="shared" ca="1" si="42"/>
        <v>0</v>
      </c>
      <c r="Q63" s="56">
        <f t="shared" ca="1" si="43"/>
        <v>0</v>
      </c>
      <c r="R63" s="56">
        <f t="shared" ca="1" si="54"/>
        <v>0</v>
      </c>
      <c r="S63" s="56" t="str">
        <f t="shared" ca="1" si="25"/>
        <v xml:space="preserve"> </v>
      </c>
      <c r="T63" s="56" t="e">
        <f t="shared" ca="1" si="26"/>
        <v>#VALUE!</v>
      </c>
      <c r="U63" s="56">
        <f t="shared" ca="1" si="58"/>
        <v>0</v>
      </c>
      <c r="V63" s="56">
        <f t="shared" ca="1" si="59"/>
        <v>0</v>
      </c>
      <c r="W63" s="56">
        <f t="shared" ca="1" si="27"/>
        <v>0</v>
      </c>
      <c r="X63" s="56">
        <f t="shared" ca="1" si="28"/>
        <v>0</v>
      </c>
      <c r="Y63" s="56">
        <f t="shared" ca="1" si="17"/>
        <v>0</v>
      </c>
      <c r="Z63" s="56">
        <f t="shared" ca="1" si="29"/>
        <v>0</v>
      </c>
      <c r="AA63" s="56">
        <f t="shared" ca="1" si="18"/>
        <v>0</v>
      </c>
      <c r="AB63" s="56">
        <f t="shared" ca="1" si="36"/>
        <v>0</v>
      </c>
      <c r="AC63" s="56">
        <f t="shared" ca="1" si="44"/>
        <v>0</v>
      </c>
      <c r="AD63" s="56">
        <f t="shared" ca="1" si="45"/>
        <v>0</v>
      </c>
      <c r="AE63" s="56">
        <f t="shared" ca="1" si="31"/>
        <v>0</v>
      </c>
      <c r="AF63" s="56">
        <f t="shared" ca="1" si="19"/>
        <v>0</v>
      </c>
      <c r="AG63" s="56">
        <f t="shared" ca="1" si="30"/>
        <v>0</v>
      </c>
      <c r="AH63" s="56">
        <f t="shared" ca="1" si="20"/>
        <v>0</v>
      </c>
      <c r="AI63" s="56">
        <f t="shared" ca="1" si="46"/>
        <v>0</v>
      </c>
      <c r="AJ63" s="56">
        <f t="shared" ca="1" si="60"/>
        <v>0</v>
      </c>
      <c r="AK63" s="56">
        <f t="shared" ca="1" si="61"/>
        <v>0</v>
      </c>
      <c r="AL63" s="57">
        <f t="shared" ca="1" si="55"/>
        <v>0</v>
      </c>
      <c r="AM63" s="57">
        <f t="shared" ca="1" si="47"/>
        <v>0</v>
      </c>
      <c r="AN63" s="51">
        <f t="shared" ca="1" si="56"/>
        <v>0</v>
      </c>
      <c r="AO63" s="51">
        <f t="shared" ca="1" si="48"/>
        <v>0</v>
      </c>
      <c r="AP63" s="51">
        <f t="shared" ca="1" si="49"/>
        <v>0</v>
      </c>
      <c r="AQ63" s="51">
        <f t="shared" ca="1" si="50"/>
        <v>30</v>
      </c>
      <c r="AR63" s="51">
        <f t="shared" si="51"/>
        <v>20</v>
      </c>
      <c r="AS63" s="51">
        <f t="shared" ca="1" si="57"/>
        <v>30</v>
      </c>
      <c r="AT63" s="52"/>
      <c r="AU63" s="52"/>
      <c r="AV63" s="52"/>
      <c r="AW63" s="52"/>
      <c r="AX63" s="52"/>
      <c r="AY63" s="51">
        <f t="shared" ca="1" si="24"/>
        <v>0</v>
      </c>
      <c r="AZ63" s="52"/>
      <c r="BA63" s="52"/>
      <c r="BB63" s="73"/>
      <c r="BC63" s="73"/>
      <c r="BD63" s="73"/>
      <c r="BE63" s="52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2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3"/>
        <v xml:space="preserve"> </v>
      </c>
      <c r="I64" s="84">
        <f t="shared" ca="1" si="32"/>
        <v>0</v>
      </c>
      <c r="J64" s="84">
        <f t="shared" ca="1" si="33"/>
        <v>0</v>
      </c>
      <c r="K64" s="84">
        <v>0</v>
      </c>
      <c r="L64" s="84" t="str">
        <f t="shared" ca="1" si="34"/>
        <v xml:space="preserve"> </v>
      </c>
      <c r="M64" s="51">
        <v>40</v>
      </c>
      <c r="N64" s="51">
        <f t="shared" ca="1" si="35"/>
        <v>0</v>
      </c>
      <c r="O64" s="51">
        <f t="shared" ca="1" si="41"/>
        <v>20</v>
      </c>
      <c r="P64" s="56">
        <f t="shared" ca="1" si="42"/>
        <v>0</v>
      </c>
      <c r="Q64" s="56">
        <f t="shared" ca="1" si="43"/>
        <v>0</v>
      </c>
      <c r="R64" s="56">
        <f t="shared" ca="1" si="54"/>
        <v>0</v>
      </c>
      <c r="S64" s="56" t="str">
        <f t="shared" ca="1" si="25"/>
        <v xml:space="preserve"> </v>
      </c>
      <c r="T64" s="56" t="e">
        <f t="shared" ca="1" si="26"/>
        <v>#VALUE!</v>
      </c>
      <c r="U64" s="56">
        <f t="shared" ca="1" si="58"/>
        <v>0</v>
      </c>
      <c r="V64" s="56">
        <f t="shared" ca="1" si="59"/>
        <v>0</v>
      </c>
      <c r="W64" s="56">
        <f t="shared" ca="1" si="27"/>
        <v>0</v>
      </c>
      <c r="X64" s="56">
        <f t="shared" ca="1" si="28"/>
        <v>0</v>
      </c>
      <c r="Y64" s="56">
        <f t="shared" ca="1" si="17"/>
        <v>0</v>
      </c>
      <c r="Z64" s="56">
        <f t="shared" ca="1" si="29"/>
        <v>0</v>
      </c>
      <c r="AA64" s="56">
        <f t="shared" ca="1" si="18"/>
        <v>0</v>
      </c>
      <c r="AB64" s="56">
        <f t="shared" ca="1" si="36"/>
        <v>0</v>
      </c>
      <c r="AC64" s="56">
        <f t="shared" ca="1" si="44"/>
        <v>0</v>
      </c>
      <c r="AD64" s="56">
        <f t="shared" ca="1" si="45"/>
        <v>0</v>
      </c>
      <c r="AE64" s="56">
        <f t="shared" ca="1" si="31"/>
        <v>0</v>
      </c>
      <c r="AF64" s="56">
        <f t="shared" ca="1" si="19"/>
        <v>0</v>
      </c>
      <c r="AG64" s="56">
        <f t="shared" ca="1" si="30"/>
        <v>0</v>
      </c>
      <c r="AH64" s="56">
        <f t="shared" ca="1" si="20"/>
        <v>0</v>
      </c>
      <c r="AI64" s="56">
        <f t="shared" ca="1" si="46"/>
        <v>0</v>
      </c>
      <c r="AJ64" s="56">
        <f t="shared" ca="1" si="60"/>
        <v>0</v>
      </c>
      <c r="AK64" s="56">
        <f t="shared" ca="1" si="61"/>
        <v>0</v>
      </c>
      <c r="AL64" s="57">
        <f t="shared" ca="1" si="55"/>
        <v>0</v>
      </c>
      <c r="AM64" s="57">
        <f t="shared" ca="1" si="47"/>
        <v>0</v>
      </c>
      <c r="AN64" s="51">
        <f t="shared" ca="1" si="56"/>
        <v>0</v>
      </c>
      <c r="AO64" s="51">
        <f t="shared" ca="1" si="48"/>
        <v>0</v>
      </c>
      <c r="AP64" s="51">
        <f t="shared" ca="1" si="49"/>
        <v>0</v>
      </c>
      <c r="AQ64" s="51">
        <f t="shared" ca="1" si="50"/>
        <v>30</v>
      </c>
      <c r="AR64" s="51">
        <f t="shared" si="51"/>
        <v>20</v>
      </c>
      <c r="AS64" s="51">
        <f t="shared" ca="1" si="57"/>
        <v>30</v>
      </c>
      <c r="AT64" s="52"/>
      <c r="AU64" s="52"/>
      <c r="AV64" s="52"/>
      <c r="AW64" s="52"/>
      <c r="AX64" s="52"/>
      <c r="AY64" s="51">
        <f t="shared" ca="1" si="24"/>
        <v>0</v>
      </c>
      <c r="AZ64" s="52"/>
      <c r="BA64" s="52"/>
      <c r="BB64" s="73"/>
      <c r="BC64" s="73"/>
      <c r="BD64" s="73"/>
      <c r="BE64" s="52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2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3"/>
        <v xml:space="preserve"> </v>
      </c>
      <c r="I65" s="84">
        <f t="shared" ca="1" si="32"/>
        <v>0</v>
      </c>
      <c r="J65" s="84">
        <f t="shared" ca="1" si="33"/>
        <v>0</v>
      </c>
      <c r="K65" s="84">
        <v>0</v>
      </c>
      <c r="L65" s="84" t="str">
        <f t="shared" ca="1" si="34"/>
        <v xml:space="preserve"> </v>
      </c>
      <c r="M65" s="51">
        <v>41</v>
      </c>
      <c r="N65" s="51">
        <f t="shared" ca="1" si="35"/>
        <v>0</v>
      </c>
      <c r="O65" s="51">
        <f t="shared" ca="1" si="41"/>
        <v>20</v>
      </c>
      <c r="P65" s="56">
        <f t="shared" ca="1" si="42"/>
        <v>0</v>
      </c>
      <c r="Q65" s="56">
        <f t="shared" ca="1" si="43"/>
        <v>0</v>
      </c>
      <c r="R65" s="56">
        <f t="shared" ca="1" si="54"/>
        <v>0</v>
      </c>
      <c r="S65" s="56" t="str">
        <f t="shared" ca="1" si="25"/>
        <v xml:space="preserve"> </v>
      </c>
      <c r="T65" s="56" t="e">
        <f t="shared" ca="1" si="26"/>
        <v>#VALUE!</v>
      </c>
      <c r="U65" s="56">
        <f t="shared" ca="1" si="58"/>
        <v>0</v>
      </c>
      <c r="V65" s="56">
        <f t="shared" ca="1" si="59"/>
        <v>0</v>
      </c>
      <c r="W65" s="56">
        <f t="shared" ca="1" si="27"/>
        <v>0</v>
      </c>
      <c r="X65" s="56">
        <f t="shared" ca="1" si="28"/>
        <v>0</v>
      </c>
      <c r="Y65" s="56">
        <f t="shared" ca="1" si="17"/>
        <v>0</v>
      </c>
      <c r="Z65" s="56">
        <f t="shared" ca="1" si="29"/>
        <v>0</v>
      </c>
      <c r="AA65" s="56">
        <f t="shared" ca="1" si="18"/>
        <v>0</v>
      </c>
      <c r="AB65" s="56">
        <f t="shared" ca="1" si="36"/>
        <v>0</v>
      </c>
      <c r="AC65" s="56">
        <f t="shared" ca="1" si="44"/>
        <v>0</v>
      </c>
      <c r="AD65" s="56">
        <f t="shared" ca="1" si="45"/>
        <v>0</v>
      </c>
      <c r="AE65" s="56">
        <f t="shared" ca="1" si="31"/>
        <v>0</v>
      </c>
      <c r="AF65" s="56">
        <f t="shared" ca="1" si="19"/>
        <v>0</v>
      </c>
      <c r="AG65" s="56">
        <f t="shared" ca="1" si="30"/>
        <v>0</v>
      </c>
      <c r="AH65" s="56">
        <f t="shared" ca="1" si="20"/>
        <v>0</v>
      </c>
      <c r="AI65" s="56">
        <f t="shared" ca="1" si="46"/>
        <v>0</v>
      </c>
      <c r="AJ65" s="56">
        <f t="shared" ca="1" si="60"/>
        <v>0</v>
      </c>
      <c r="AK65" s="56">
        <f t="shared" ca="1" si="61"/>
        <v>0</v>
      </c>
      <c r="AL65" s="57">
        <f t="shared" ca="1" si="55"/>
        <v>0</v>
      </c>
      <c r="AM65" s="57">
        <f t="shared" ca="1" si="47"/>
        <v>0</v>
      </c>
      <c r="AN65" s="51">
        <f t="shared" ca="1" si="56"/>
        <v>0</v>
      </c>
      <c r="AO65" s="51">
        <f t="shared" ca="1" si="48"/>
        <v>0</v>
      </c>
      <c r="AP65" s="51">
        <f t="shared" ca="1" si="49"/>
        <v>0</v>
      </c>
      <c r="AQ65" s="51">
        <f t="shared" ca="1" si="50"/>
        <v>30</v>
      </c>
      <c r="AR65" s="51">
        <f t="shared" si="51"/>
        <v>20</v>
      </c>
      <c r="AS65" s="51">
        <f t="shared" ca="1" si="57"/>
        <v>30</v>
      </c>
      <c r="AT65" s="52"/>
      <c r="AU65" s="52"/>
      <c r="AV65" s="52"/>
      <c r="AW65" s="52"/>
      <c r="AX65" s="52"/>
      <c r="AY65" s="51">
        <f t="shared" ca="1" si="24"/>
        <v>0</v>
      </c>
      <c r="AZ65" s="52"/>
      <c r="BA65" s="52"/>
      <c r="BB65" s="73"/>
      <c r="BC65" s="73"/>
      <c r="BD65" s="73"/>
      <c r="BE65" s="52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2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3"/>
        <v xml:space="preserve"> </v>
      </c>
      <c r="I66" s="84">
        <f t="shared" ca="1" si="32"/>
        <v>0</v>
      </c>
      <c r="J66" s="84">
        <f t="shared" ca="1" si="33"/>
        <v>0</v>
      </c>
      <c r="K66" s="84">
        <v>0</v>
      </c>
      <c r="L66" s="84" t="str">
        <f t="shared" ca="1" si="34"/>
        <v xml:space="preserve"> </v>
      </c>
      <c r="M66" s="51">
        <v>42</v>
      </c>
      <c r="N66" s="51">
        <f t="shared" ca="1" si="35"/>
        <v>0</v>
      </c>
      <c r="O66" s="51">
        <f t="shared" ca="1" si="41"/>
        <v>20</v>
      </c>
      <c r="P66" s="56">
        <f t="shared" ca="1" si="42"/>
        <v>0</v>
      </c>
      <c r="Q66" s="56">
        <f t="shared" ca="1" si="43"/>
        <v>0</v>
      </c>
      <c r="R66" s="56">
        <f t="shared" ca="1" si="54"/>
        <v>0</v>
      </c>
      <c r="S66" s="56" t="str">
        <f t="shared" ca="1" si="25"/>
        <v xml:space="preserve"> </v>
      </c>
      <c r="T66" s="56" t="e">
        <f t="shared" ca="1" si="26"/>
        <v>#VALUE!</v>
      </c>
      <c r="U66" s="56">
        <f t="shared" ca="1" si="58"/>
        <v>0</v>
      </c>
      <c r="V66" s="56">
        <f t="shared" ca="1" si="59"/>
        <v>0</v>
      </c>
      <c r="W66" s="56">
        <f t="shared" ca="1" si="27"/>
        <v>0</v>
      </c>
      <c r="X66" s="56">
        <f t="shared" ca="1" si="28"/>
        <v>0</v>
      </c>
      <c r="Y66" s="56">
        <f t="shared" ca="1" si="17"/>
        <v>0</v>
      </c>
      <c r="Z66" s="56">
        <f t="shared" ca="1" si="29"/>
        <v>0</v>
      </c>
      <c r="AA66" s="56">
        <f t="shared" ca="1" si="18"/>
        <v>0</v>
      </c>
      <c r="AB66" s="56">
        <f t="shared" ca="1" si="36"/>
        <v>0</v>
      </c>
      <c r="AC66" s="56">
        <f t="shared" ca="1" si="44"/>
        <v>0</v>
      </c>
      <c r="AD66" s="56">
        <f t="shared" ca="1" si="45"/>
        <v>0</v>
      </c>
      <c r="AE66" s="56">
        <f t="shared" ca="1" si="31"/>
        <v>0</v>
      </c>
      <c r="AF66" s="56">
        <f t="shared" ca="1" si="19"/>
        <v>0</v>
      </c>
      <c r="AG66" s="56">
        <f t="shared" ca="1" si="30"/>
        <v>0</v>
      </c>
      <c r="AH66" s="56">
        <f t="shared" ca="1" si="20"/>
        <v>0</v>
      </c>
      <c r="AI66" s="56">
        <f t="shared" ca="1" si="46"/>
        <v>0</v>
      </c>
      <c r="AJ66" s="56">
        <f t="shared" ca="1" si="60"/>
        <v>0</v>
      </c>
      <c r="AK66" s="56">
        <f t="shared" ca="1" si="61"/>
        <v>0</v>
      </c>
      <c r="AL66" s="57">
        <f t="shared" ca="1" si="55"/>
        <v>0</v>
      </c>
      <c r="AM66" s="57">
        <f t="shared" ca="1" si="47"/>
        <v>0</v>
      </c>
      <c r="AN66" s="51">
        <f t="shared" ca="1" si="56"/>
        <v>0</v>
      </c>
      <c r="AO66" s="51">
        <f t="shared" ca="1" si="48"/>
        <v>0</v>
      </c>
      <c r="AP66" s="51">
        <f t="shared" ca="1" si="49"/>
        <v>0</v>
      </c>
      <c r="AQ66" s="51">
        <f t="shared" ca="1" si="50"/>
        <v>30</v>
      </c>
      <c r="AR66" s="51">
        <f t="shared" si="51"/>
        <v>20</v>
      </c>
      <c r="AS66" s="51">
        <f t="shared" ca="1" si="57"/>
        <v>30</v>
      </c>
      <c r="AT66" s="52"/>
      <c r="AU66" s="52"/>
      <c r="AV66" s="52"/>
      <c r="AW66" s="52"/>
      <c r="AX66" s="52"/>
      <c r="AY66" s="51">
        <f t="shared" ca="1" si="24"/>
        <v>0</v>
      </c>
      <c r="AZ66" s="52"/>
      <c r="BA66" s="52"/>
      <c r="BB66" s="73"/>
      <c r="BC66" s="73"/>
      <c r="BD66" s="73"/>
      <c r="BE66" s="52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2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3"/>
        <v xml:space="preserve"> </v>
      </c>
      <c r="I67" s="84">
        <f t="shared" ca="1" si="32"/>
        <v>0</v>
      </c>
      <c r="J67" s="84">
        <f t="shared" ca="1" si="33"/>
        <v>0</v>
      </c>
      <c r="K67" s="84">
        <v>0</v>
      </c>
      <c r="L67" s="84" t="str">
        <f t="shared" ca="1" si="34"/>
        <v xml:space="preserve"> </v>
      </c>
      <c r="M67" s="51">
        <v>43</v>
      </c>
      <c r="N67" s="51">
        <f t="shared" ca="1" si="35"/>
        <v>0</v>
      </c>
      <c r="O67" s="51">
        <f t="shared" ca="1" si="41"/>
        <v>20</v>
      </c>
      <c r="P67" s="56">
        <f t="shared" ca="1" si="42"/>
        <v>0</v>
      </c>
      <c r="Q67" s="56">
        <f t="shared" ca="1" si="43"/>
        <v>0</v>
      </c>
      <c r="R67" s="56">
        <f t="shared" ca="1" si="54"/>
        <v>0</v>
      </c>
      <c r="S67" s="56" t="str">
        <f t="shared" ca="1" si="25"/>
        <v xml:space="preserve"> </v>
      </c>
      <c r="T67" s="56" t="e">
        <f t="shared" ca="1" si="26"/>
        <v>#VALUE!</v>
      </c>
      <c r="U67" s="56">
        <f t="shared" ca="1" si="58"/>
        <v>0</v>
      </c>
      <c r="V67" s="56">
        <f t="shared" ca="1" si="59"/>
        <v>0</v>
      </c>
      <c r="W67" s="56">
        <f t="shared" ca="1" si="27"/>
        <v>0</v>
      </c>
      <c r="X67" s="56">
        <f t="shared" ca="1" si="28"/>
        <v>0</v>
      </c>
      <c r="Y67" s="56">
        <f t="shared" ca="1" si="17"/>
        <v>0</v>
      </c>
      <c r="Z67" s="56">
        <f t="shared" ca="1" si="29"/>
        <v>0</v>
      </c>
      <c r="AA67" s="56">
        <f t="shared" ca="1" si="18"/>
        <v>0</v>
      </c>
      <c r="AB67" s="56">
        <f t="shared" ca="1" si="36"/>
        <v>0</v>
      </c>
      <c r="AC67" s="56">
        <f t="shared" ca="1" si="44"/>
        <v>0</v>
      </c>
      <c r="AD67" s="56">
        <f t="shared" ca="1" si="45"/>
        <v>0</v>
      </c>
      <c r="AE67" s="56">
        <f t="shared" ca="1" si="31"/>
        <v>0</v>
      </c>
      <c r="AF67" s="56">
        <f t="shared" ca="1" si="19"/>
        <v>0</v>
      </c>
      <c r="AG67" s="56">
        <f t="shared" ca="1" si="30"/>
        <v>0</v>
      </c>
      <c r="AH67" s="56">
        <f t="shared" ca="1" si="20"/>
        <v>0</v>
      </c>
      <c r="AI67" s="56">
        <f t="shared" ca="1" si="46"/>
        <v>0</v>
      </c>
      <c r="AJ67" s="56">
        <f t="shared" ca="1" si="60"/>
        <v>0</v>
      </c>
      <c r="AK67" s="56">
        <f t="shared" ca="1" si="61"/>
        <v>0</v>
      </c>
      <c r="AL67" s="57">
        <f t="shared" ca="1" si="55"/>
        <v>0</v>
      </c>
      <c r="AM67" s="57">
        <f t="shared" ca="1" si="47"/>
        <v>0</v>
      </c>
      <c r="AN67" s="51">
        <f t="shared" ca="1" si="56"/>
        <v>0</v>
      </c>
      <c r="AO67" s="51">
        <f t="shared" ca="1" si="48"/>
        <v>0</v>
      </c>
      <c r="AP67" s="51">
        <f t="shared" ca="1" si="49"/>
        <v>0</v>
      </c>
      <c r="AQ67" s="51">
        <f t="shared" ca="1" si="50"/>
        <v>30</v>
      </c>
      <c r="AR67" s="51">
        <f t="shared" si="51"/>
        <v>20</v>
      </c>
      <c r="AS67" s="51">
        <f t="shared" ca="1" si="57"/>
        <v>30</v>
      </c>
      <c r="AT67" s="52"/>
      <c r="AU67" s="52"/>
      <c r="AV67" s="52"/>
      <c r="AW67" s="52"/>
      <c r="AX67" s="52"/>
      <c r="AY67" s="51">
        <f t="shared" ca="1" si="24"/>
        <v>0</v>
      </c>
      <c r="AZ67" s="52"/>
      <c r="BA67" s="52"/>
      <c r="BB67" s="73"/>
      <c r="BC67" s="73"/>
      <c r="BD67" s="73"/>
      <c r="BE67" s="52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2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3"/>
        <v xml:space="preserve"> </v>
      </c>
      <c r="I68" s="84">
        <f t="shared" ca="1" si="32"/>
        <v>0</v>
      </c>
      <c r="J68" s="84">
        <f t="shared" ca="1" si="33"/>
        <v>0</v>
      </c>
      <c r="K68" s="84">
        <v>0</v>
      </c>
      <c r="L68" s="84" t="str">
        <f t="shared" ca="1" si="34"/>
        <v xml:space="preserve"> </v>
      </c>
      <c r="M68" s="51">
        <v>44</v>
      </c>
      <c r="N68" s="51">
        <f t="shared" ca="1" si="35"/>
        <v>0</v>
      </c>
      <c r="O68" s="51">
        <f t="shared" ca="1" si="41"/>
        <v>20</v>
      </c>
      <c r="P68" s="56">
        <f t="shared" ca="1" si="42"/>
        <v>0</v>
      </c>
      <c r="Q68" s="56">
        <f t="shared" ca="1" si="43"/>
        <v>0</v>
      </c>
      <c r="R68" s="56">
        <f t="shared" ca="1" si="54"/>
        <v>0</v>
      </c>
      <c r="S68" s="56" t="str">
        <f t="shared" ca="1" si="25"/>
        <v xml:space="preserve"> </v>
      </c>
      <c r="T68" s="56" t="e">
        <f t="shared" ca="1" si="26"/>
        <v>#VALUE!</v>
      </c>
      <c r="U68" s="56">
        <f t="shared" ca="1" si="58"/>
        <v>0</v>
      </c>
      <c r="V68" s="56">
        <f t="shared" ca="1" si="59"/>
        <v>0</v>
      </c>
      <c r="W68" s="56">
        <f t="shared" ca="1" si="27"/>
        <v>0</v>
      </c>
      <c r="X68" s="56">
        <f t="shared" ca="1" si="28"/>
        <v>0</v>
      </c>
      <c r="Y68" s="56">
        <f t="shared" ca="1" si="17"/>
        <v>0</v>
      </c>
      <c r="Z68" s="56">
        <f t="shared" ca="1" si="29"/>
        <v>0</v>
      </c>
      <c r="AA68" s="56">
        <f t="shared" ca="1" si="18"/>
        <v>0</v>
      </c>
      <c r="AB68" s="56">
        <f t="shared" ca="1" si="36"/>
        <v>0</v>
      </c>
      <c r="AC68" s="56">
        <f t="shared" ca="1" si="44"/>
        <v>0</v>
      </c>
      <c r="AD68" s="56">
        <f t="shared" ca="1" si="45"/>
        <v>0</v>
      </c>
      <c r="AE68" s="56">
        <f t="shared" ca="1" si="31"/>
        <v>0</v>
      </c>
      <c r="AF68" s="56">
        <f t="shared" ca="1" si="19"/>
        <v>0</v>
      </c>
      <c r="AG68" s="56">
        <f t="shared" ca="1" si="30"/>
        <v>0</v>
      </c>
      <c r="AH68" s="56">
        <f t="shared" ca="1" si="20"/>
        <v>0</v>
      </c>
      <c r="AI68" s="56">
        <f t="shared" ca="1" si="46"/>
        <v>0</v>
      </c>
      <c r="AJ68" s="56">
        <f t="shared" ca="1" si="60"/>
        <v>0</v>
      </c>
      <c r="AK68" s="56">
        <f t="shared" ca="1" si="61"/>
        <v>0</v>
      </c>
      <c r="AL68" s="57">
        <f t="shared" ca="1" si="55"/>
        <v>0</v>
      </c>
      <c r="AM68" s="57">
        <f t="shared" ca="1" si="47"/>
        <v>0</v>
      </c>
      <c r="AN68" s="51">
        <f t="shared" ca="1" si="56"/>
        <v>0</v>
      </c>
      <c r="AO68" s="51">
        <f t="shared" ca="1" si="48"/>
        <v>0</v>
      </c>
      <c r="AP68" s="51">
        <f t="shared" ca="1" si="49"/>
        <v>0</v>
      </c>
      <c r="AQ68" s="51">
        <f t="shared" ca="1" si="50"/>
        <v>30</v>
      </c>
      <c r="AR68" s="51">
        <f t="shared" si="51"/>
        <v>20</v>
      </c>
      <c r="AS68" s="51">
        <f t="shared" ca="1" si="57"/>
        <v>30</v>
      </c>
      <c r="AT68" s="52"/>
      <c r="AU68" s="52"/>
      <c r="AV68" s="52"/>
      <c r="AW68" s="52"/>
      <c r="AX68" s="52"/>
      <c r="AY68" s="51">
        <f t="shared" ca="1" si="24"/>
        <v>0</v>
      </c>
      <c r="AZ68" s="52"/>
      <c r="BA68" s="52"/>
      <c r="BB68" s="73"/>
      <c r="BC68" s="73"/>
      <c r="BD68" s="73"/>
      <c r="BE68" s="52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2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3"/>
        <v xml:space="preserve"> </v>
      </c>
      <c r="I69" s="84">
        <f t="shared" ca="1" si="32"/>
        <v>0</v>
      </c>
      <c r="J69" s="84">
        <f t="shared" ca="1" si="33"/>
        <v>0</v>
      </c>
      <c r="K69" s="84">
        <v>0</v>
      </c>
      <c r="L69" s="84" t="str">
        <f t="shared" ca="1" si="34"/>
        <v xml:space="preserve"> </v>
      </c>
      <c r="M69" s="51">
        <v>45</v>
      </c>
      <c r="N69" s="51">
        <f t="shared" ca="1" si="35"/>
        <v>0</v>
      </c>
      <c r="O69" s="51">
        <f t="shared" ca="1" si="41"/>
        <v>20</v>
      </c>
      <c r="P69" s="56">
        <f t="shared" ca="1" si="42"/>
        <v>0</v>
      </c>
      <c r="Q69" s="56">
        <f t="shared" ca="1" si="43"/>
        <v>0</v>
      </c>
      <c r="R69" s="56">
        <f t="shared" ca="1" si="54"/>
        <v>0</v>
      </c>
      <c r="S69" s="56" t="str">
        <f t="shared" ca="1" si="25"/>
        <v xml:space="preserve"> </v>
      </c>
      <c r="T69" s="56" t="e">
        <f t="shared" ca="1" si="26"/>
        <v>#VALUE!</v>
      </c>
      <c r="U69" s="56">
        <f t="shared" ca="1" si="58"/>
        <v>0</v>
      </c>
      <c r="V69" s="56">
        <f t="shared" ca="1" si="59"/>
        <v>0</v>
      </c>
      <c r="W69" s="56">
        <f t="shared" ca="1" si="27"/>
        <v>0</v>
      </c>
      <c r="X69" s="56">
        <f t="shared" ca="1" si="28"/>
        <v>0</v>
      </c>
      <c r="Y69" s="56">
        <f t="shared" ca="1" si="17"/>
        <v>0</v>
      </c>
      <c r="Z69" s="56">
        <f t="shared" ca="1" si="29"/>
        <v>0</v>
      </c>
      <c r="AA69" s="56">
        <f t="shared" ca="1" si="18"/>
        <v>0</v>
      </c>
      <c r="AB69" s="56">
        <f t="shared" ca="1" si="36"/>
        <v>0</v>
      </c>
      <c r="AC69" s="56">
        <f t="shared" ca="1" si="44"/>
        <v>0</v>
      </c>
      <c r="AD69" s="56">
        <f t="shared" ca="1" si="45"/>
        <v>0</v>
      </c>
      <c r="AE69" s="56">
        <f t="shared" ca="1" si="31"/>
        <v>0</v>
      </c>
      <c r="AF69" s="56">
        <f t="shared" ca="1" si="19"/>
        <v>0</v>
      </c>
      <c r="AG69" s="56">
        <f t="shared" ca="1" si="30"/>
        <v>0</v>
      </c>
      <c r="AH69" s="56">
        <f t="shared" ca="1" si="20"/>
        <v>0</v>
      </c>
      <c r="AI69" s="56">
        <f t="shared" ca="1" si="46"/>
        <v>0</v>
      </c>
      <c r="AJ69" s="56">
        <f t="shared" ca="1" si="60"/>
        <v>0</v>
      </c>
      <c r="AK69" s="56">
        <f t="shared" ca="1" si="61"/>
        <v>0</v>
      </c>
      <c r="AL69" s="57">
        <f t="shared" ca="1" si="55"/>
        <v>0</v>
      </c>
      <c r="AM69" s="57">
        <f t="shared" ca="1" si="47"/>
        <v>0</v>
      </c>
      <c r="AN69" s="51">
        <f t="shared" ca="1" si="56"/>
        <v>0</v>
      </c>
      <c r="AO69" s="51">
        <f t="shared" ca="1" si="48"/>
        <v>0</v>
      </c>
      <c r="AP69" s="51">
        <f t="shared" ca="1" si="49"/>
        <v>0</v>
      </c>
      <c r="AQ69" s="51">
        <f t="shared" ca="1" si="50"/>
        <v>30</v>
      </c>
      <c r="AR69" s="51">
        <f t="shared" si="51"/>
        <v>20</v>
      </c>
      <c r="AS69" s="51">
        <f t="shared" ca="1" si="57"/>
        <v>30</v>
      </c>
      <c r="AT69" s="52"/>
      <c r="AU69" s="52"/>
      <c r="AV69" s="52"/>
      <c r="AW69" s="52"/>
      <c r="AX69" s="52"/>
      <c r="AY69" s="51">
        <f t="shared" ca="1" si="24"/>
        <v>0</v>
      </c>
      <c r="AZ69" s="52"/>
      <c r="BA69" s="52"/>
      <c r="BB69" s="73"/>
      <c r="BC69" s="73"/>
      <c r="BD69" s="73"/>
      <c r="BE69" s="52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2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3"/>
        <v xml:space="preserve"> </v>
      </c>
      <c r="I70" s="84">
        <f t="shared" ca="1" si="32"/>
        <v>0</v>
      </c>
      <c r="J70" s="84">
        <f t="shared" ca="1" si="33"/>
        <v>0</v>
      </c>
      <c r="K70" s="84">
        <v>0</v>
      </c>
      <c r="L70" s="84" t="str">
        <f t="shared" ca="1" si="34"/>
        <v xml:space="preserve"> </v>
      </c>
      <c r="M70" s="51">
        <v>46</v>
      </c>
      <c r="N70" s="51">
        <f t="shared" ca="1" si="35"/>
        <v>0</v>
      </c>
      <c r="O70" s="51">
        <f t="shared" ca="1" si="41"/>
        <v>20</v>
      </c>
      <c r="P70" s="56">
        <f t="shared" ca="1" si="42"/>
        <v>0</v>
      </c>
      <c r="Q70" s="56">
        <f t="shared" ca="1" si="43"/>
        <v>0</v>
      </c>
      <c r="R70" s="56">
        <f t="shared" ca="1" si="54"/>
        <v>0</v>
      </c>
      <c r="S70" s="56" t="str">
        <f t="shared" ca="1" si="25"/>
        <v xml:space="preserve"> </v>
      </c>
      <c r="T70" s="56" t="e">
        <f t="shared" ca="1" si="26"/>
        <v>#VALUE!</v>
      </c>
      <c r="U70" s="56">
        <f t="shared" ca="1" si="58"/>
        <v>0</v>
      </c>
      <c r="V70" s="56">
        <f t="shared" ca="1" si="59"/>
        <v>0</v>
      </c>
      <c r="W70" s="56">
        <f t="shared" ca="1" si="27"/>
        <v>0</v>
      </c>
      <c r="X70" s="56">
        <f t="shared" ca="1" si="28"/>
        <v>0</v>
      </c>
      <c r="Y70" s="56">
        <f t="shared" ca="1" si="17"/>
        <v>0</v>
      </c>
      <c r="Z70" s="56">
        <f t="shared" ca="1" si="29"/>
        <v>0</v>
      </c>
      <c r="AA70" s="56">
        <f t="shared" ca="1" si="18"/>
        <v>0</v>
      </c>
      <c r="AB70" s="56">
        <f t="shared" ca="1" si="36"/>
        <v>0</v>
      </c>
      <c r="AC70" s="56">
        <f t="shared" ca="1" si="44"/>
        <v>0</v>
      </c>
      <c r="AD70" s="56">
        <f t="shared" ca="1" si="45"/>
        <v>0</v>
      </c>
      <c r="AE70" s="56">
        <f t="shared" ca="1" si="31"/>
        <v>0</v>
      </c>
      <c r="AF70" s="56">
        <f t="shared" ca="1" si="19"/>
        <v>0</v>
      </c>
      <c r="AG70" s="56">
        <f t="shared" ca="1" si="30"/>
        <v>0</v>
      </c>
      <c r="AH70" s="56">
        <f t="shared" ca="1" si="20"/>
        <v>0</v>
      </c>
      <c r="AI70" s="56">
        <f t="shared" ca="1" si="46"/>
        <v>0</v>
      </c>
      <c r="AJ70" s="56">
        <f t="shared" ca="1" si="60"/>
        <v>0</v>
      </c>
      <c r="AK70" s="56">
        <f t="shared" ca="1" si="61"/>
        <v>0</v>
      </c>
      <c r="AL70" s="57">
        <f t="shared" ca="1" si="55"/>
        <v>0</v>
      </c>
      <c r="AM70" s="57">
        <f t="shared" ca="1" si="47"/>
        <v>0</v>
      </c>
      <c r="AN70" s="51">
        <f t="shared" ca="1" si="56"/>
        <v>0</v>
      </c>
      <c r="AO70" s="51">
        <f t="shared" ca="1" si="48"/>
        <v>0</v>
      </c>
      <c r="AP70" s="51">
        <f t="shared" ca="1" si="49"/>
        <v>0</v>
      </c>
      <c r="AQ70" s="51">
        <f t="shared" ca="1" si="50"/>
        <v>30</v>
      </c>
      <c r="AR70" s="51">
        <f t="shared" si="51"/>
        <v>20</v>
      </c>
      <c r="AS70" s="51">
        <f t="shared" ca="1" si="57"/>
        <v>30</v>
      </c>
      <c r="AT70" s="52"/>
      <c r="AU70" s="52"/>
      <c r="AV70" s="52"/>
      <c r="AW70" s="52"/>
      <c r="AX70" s="52"/>
      <c r="AY70" s="51">
        <f t="shared" ca="1" si="24"/>
        <v>0</v>
      </c>
      <c r="AZ70" s="52"/>
      <c r="BA70" s="52"/>
      <c r="BB70" s="73"/>
      <c r="BC70" s="73"/>
      <c r="BD70" s="73"/>
      <c r="BE70" s="52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2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3"/>
        <v xml:space="preserve"> </v>
      </c>
      <c r="I71" s="84">
        <f t="shared" ca="1" si="32"/>
        <v>0</v>
      </c>
      <c r="J71" s="84">
        <f t="shared" ca="1" si="33"/>
        <v>0</v>
      </c>
      <c r="K71" s="84">
        <v>0</v>
      </c>
      <c r="L71" s="84" t="str">
        <f t="shared" ca="1" si="34"/>
        <v xml:space="preserve"> </v>
      </c>
      <c r="M71" s="51">
        <v>47</v>
      </c>
      <c r="N71" s="51">
        <f t="shared" ca="1" si="35"/>
        <v>0</v>
      </c>
      <c r="O71" s="51">
        <f t="shared" ca="1" si="41"/>
        <v>20</v>
      </c>
      <c r="P71" s="56">
        <f t="shared" ca="1" si="42"/>
        <v>0</v>
      </c>
      <c r="Q71" s="56">
        <f t="shared" ca="1" si="43"/>
        <v>0</v>
      </c>
      <c r="R71" s="56">
        <f t="shared" ca="1" si="54"/>
        <v>0</v>
      </c>
      <c r="S71" s="56" t="str">
        <f t="shared" ca="1" si="25"/>
        <v xml:space="preserve"> </v>
      </c>
      <c r="T71" s="56" t="e">
        <f t="shared" ca="1" si="26"/>
        <v>#VALUE!</v>
      </c>
      <c r="U71" s="56">
        <f t="shared" ca="1" si="58"/>
        <v>0</v>
      </c>
      <c r="V71" s="56">
        <f t="shared" ca="1" si="59"/>
        <v>0</v>
      </c>
      <c r="W71" s="56">
        <f t="shared" ca="1" si="27"/>
        <v>0</v>
      </c>
      <c r="X71" s="56">
        <f t="shared" ca="1" si="28"/>
        <v>0</v>
      </c>
      <c r="Y71" s="56">
        <f t="shared" ca="1" si="17"/>
        <v>0</v>
      </c>
      <c r="Z71" s="56">
        <f t="shared" ca="1" si="29"/>
        <v>0</v>
      </c>
      <c r="AA71" s="56">
        <f t="shared" ca="1" si="18"/>
        <v>0</v>
      </c>
      <c r="AB71" s="56">
        <f t="shared" ca="1" si="36"/>
        <v>0</v>
      </c>
      <c r="AC71" s="56">
        <f t="shared" ca="1" si="44"/>
        <v>0</v>
      </c>
      <c r="AD71" s="56">
        <f t="shared" ca="1" si="45"/>
        <v>0</v>
      </c>
      <c r="AE71" s="56">
        <f t="shared" ca="1" si="31"/>
        <v>0</v>
      </c>
      <c r="AF71" s="56">
        <f t="shared" ca="1" si="19"/>
        <v>0</v>
      </c>
      <c r="AG71" s="56">
        <f t="shared" ca="1" si="30"/>
        <v>0</v>
      </c>
      <c r="AH71" s="56">
        <f t="shared" ca="1" si="20"/>
        <v>0</v>
      </c>
      <c r="AI71" s="56">
        <f t="shared" ca="1" si="46"/>
        <v>0</v>
      </c>
      <c r="AJ71" s="56">
        <f t="shared" ca="1" si="60"/>
        <v>0</v>
      </c>
      <c r="AK71" s="56">
        <f t="shared" ca="1" si="61"/>
        <v>0</v>
      </c>
      <c r="AL71" s="57">
        <f t="shared" ca="1" si="55"/>
        <v>0</v>
      </c>
      <c r="AM71" s="57">
        <f t="shared" ca="1" si="47"/>
        <v>0</v>
      </c>
      <c r="AN71" s="51">
        <f t="shared" ca="1" si="56"/>
        <v>0</v>
      </c>
      <c r="AO71" s="51">
        <f t="shared" ca="1" si="48"/>
        <v>0</v>
      </c>
      <c r="AP71" s="51">
        <f t="shared" ca="1" si="49"/>
        <v>0</v>
      </c>
      <c r="AQ71" s="51">
        <f t="shared" ca="1" si="50"/>
        <v>30</v>
      </c>
      <c r="AR71" s="51">
        <f t="shared" si="51"/>
        <v>20</v>
      </c>
      <c r="AS71" s="51">
        <f t="shared" ca="1" si="57"/>
        <v>30</v>
      </c>
      <c r="AT71" s="52"/>
      <c r="AU71" s="52"/>
      <c r="AV71" s="52"/>
      <c r="AW71" s="52"/>
      <c r="AX71" s="52"/>
      <c r="AY71" s="51">
        <f t="shared" ca="1" si="24"/>
        <v>0</v>
      </c>
      <c r="AZ71" s="52"/>
      <c r="BA71" s="52"/>
      <c r="BB71" s="73"/>
      <c r="BC71" s="73"/>
      <c r="BD71" s="73"/>
      <c r="BE71" s="52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2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3"/>
        <v xml:space="preserve"> </v>
      </c>
      <c r="I72" s="84">
        <f t="shared" ca="1" si="32"/>
        <v>0</v>
      </c>
      <c r="J72" s="84">
        <f t="shared" ca="1" si="33"/>
        <v>0</v>
      </c>
      <c r="K72" s="84">
        <v>0</v>
      </c>
      <c r="L72" s="84" t="str">
        <f t="shared" ca="1" si="34"/>
        <v xml:space="preserve"> </v>
      </c>
      <c r="M72" s="51">
        <v>48</v>
      </c>
      <c r="N72" s="51">
        <f t="shared" ca="1" si="35"/>
        <v>0</v>
      </c>
      <c r="O72" s="51">
        <f t="shared" ca="1" si="41"/>
        <v>20</v>
      </c>
      <c r="P72" s="56">
        <f t="shared" ca="1" si="42"/>
        <v>0</v>
      </c>
      <c r="Q72" s="56">
        <f t="shared" ca="1" si="43"/>
        <v>0</v>
      </c>
      <c r="R72" s="56">
        <f t="shared" ca="1" si="54"/>
        <v>0</v>
      </c>
      <c r="S72" s="56" t="str">
        <f t="shared" ca="1" si="25"/>
        <v xml:space="preserve"> </v>
      </c>
      <c r="T72" s="56" t="e">
        <f t="shared" ca="1" si="26"/>
        <v>#VALUE!</v>
      </c>
      <c r="U72" s="56">
        <f t="shared" ca="1" si="58"/>
        <v>0</v>
      </c>
      <c r="V72" s="56">
        <f t="shared" ca="1" si="59"/>
        <v>0</v>
      </c>
      <c r="W72" s="56">
        <f t="shared" ca="1" si="27"/>
        <v>0</v>
      </c>
      <c r="X72" s="56">
        <f t="shared" ca="1" si="28"/>
        <v>0</v>
      </c>
      <c r="Y72" s="56">
        <f t="shared" ca="1" si="17"/>
        <v>0</v>
      </c>
      <c r="Z72" s="56">
        <f t="shared" ca="1" si="29"/>
        <v>0</v>
      </c>
      <c r="AA72" s="56">
        <f t="shared" ca="1" si="18"/>
        <v>0</v>
      </c>
      <c r="AB72" s="56">
        <f t="shared" ca="1" si="36"/>
        <v>0</v>
      </c>
      <c r="AC72" s="56">
        <f t="shared" ca="1" si="44"/>
        <v>0</v>
      </c>
      <c r="AD72" s="56">
        <f t="shared" ca="1" si="45"/>
        <v>0</v>
      </c>
      <c r="AE72" s="56">
        <f t="shared" ca="1" si="31"/>
        <v>0</v>
      </c>
      <c r="AF72" s="56">
        <f t="shared" ca="1" si="19"/>
        <v>0</v>
      </c>
      <c r="AG72" s="56">
        <f t="shared" ca="1" si="30"/>
        <v>0</v>
      </c>
      <c r="AH72" s="56">
        <f t="shared" ca="1" si="20"/>
        <v>0</v>
      </c>
      <c r="AI72" s="56">
        <f t="shared" ca="1" si="46"/>
        <v>0</v>
      </c>
      <c r="AJ72" s="56">
        <f t="shared" ca="1" si="60"/>
        <v>0</v>
      </c>
      <c r="AK72" s="56">
        <f t="shared" ca="1" si="61"/>
        <v>0</v>
      </c>
      <c r="AL72" s="57">
        <f t="shared" ca="1" si="55"/>
        <v>0</v>
      </c>
      <c r="AM72" s="57">
        <f t="shared" ca="1" si="47"/>
        <v>0</v>
      </c>
      <c r="AN72" s="51">
        <f t="shared" ca="1" si="56"/>
        <v>0</v>
      </c>
      <c r="AO72" s="51">
        <f t="shared" ca="1" si="48"/>
        <v>0</v>
      </c>
      <c r="AP72" s="51">
        <f t="shared" ca="1" si="49"/>
        <v>0</v>
      </c>
      <c r="AQ72" s="51">
        <f t="shared" ca="1" si="50"/>
        <v>30</v>
      </c>
      <c r="AR72" s="51">
        <f t="shared" si="51"/>
        <v>20</v>
      </c>
      <c r="AS72" s="51">
        <f t="shared" ca="1" si="57"/>
        <v>30</v>
      </c>
      <c r="AT72" s="52"/>
      <c r="AU72" s="52"/>
      <c r="AV72" s="52"/>
      <c r="AW72" s="52"/>
      <c r="AX72" s="52"/>
      <c r="AY72" s="51">
        <f t="shared" ca="1" si="24"/>
        <v>0</v>
      </c>
      <c r="AZ72" s="52"/>
      <c r="BA72" s="52"/>
      <c r="BB72" s="73"/>
      <c r="BC72" s="73"/>
      <c r="BD72" s="73"/>
      <c r="BE72" s="52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2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3"/>
        <v xml:space="preserve"> </v>
      </c>
      <c r="I73" s="84">
        <f t="shared" ca="1" si="32"/>
        <v>0</v>
      </c>
      <c r="J73" s="84">
        <f t="shared" ca="1" si="33"/>
        <v>0</v>
      </c>
      <c r="K73" s="84">
        <v>0</v>
      </c>
      <c r="L73" s="84" t="str">
        <f t="shared" ca="1" si="34"/>
        <v xml:space="preserve"> </v>
      </c>
      <c r="M73" s="51">
        <v>49</v>
      </c>
      <c r="N73" s="51">
        <f t="shared" ca="1" si="35"/>
        <v>0</v>
      </c>
      <c r="O73" s="51">
        <f t="shared" ca="1" si="41"/>
        <v>20</v>
      </c>
      <c r="P73" s="56">
        <f t="shared" ca="1" si="42"/>
        <v>0</v>
      </c>
      <c r="Q73" s="56">
        <f t="shared" ca="1" si="43"/>
        <v>0</v>
      </c>
      <c r="R73" s="56">
        <f t="shared" ca="1" si="54"/>
        <v>0</v>
      </c>
      <c r="S73" s="56" t="str">
        <f t="shared" ca="1" si="25"/>
        <v xml:space="preserve"> </v>
      </c>
      <c r="T73" s="56" t="e">
        <f t="shared" ca="1" si="26"/>
        <v>#VALUE!</v>
      </c>
      <c r="U73" s="56">
        <f ca="1">IF(N74=1,R72*D$11*20/36000+R73*D$11*10/36000,IF(N74=0,IF(N73=0,0,IF(D52&gt;20,R72*D$11*20/36000+R73*D$11*(Q$12-20)/36000,R73*D$11*Q$12/36000))))</f>
        <v>0</v>
      </c>
      <c r="V73" s="56">
        <f ca="1">IF(N74=1,R72*D$11*20/36000+R73*D$11*10/36000,IF(N74=0,IF(N73=0,0,IF(D52&gt;20,R72*D$11*20/36000+R73*D$11*(Q$12-20)/36000,R73*D$11*Q$12/36000))))</f>
        <v>0</v>
      </c>
      <c r="W73" s="56">
        <f t="shared" ca="1" si="27"/>
        <v>0</v>
      </c>
      <c r="X73" s="56">
        <f t="shared" ca="1" si="28"/>
        <v>0</v>
      </c>
      <c r="Y73" s="56">
        <f t="shared" ca="1" si="17"/>
        <v>0</v>
      </c>
      <c r="Z73" s="56">
        <f ca="1">IF(N74=1,Y72*D$11*20/36000+Y73*D$11*10/36000,IF(N74=0,IF(N73=0,0,IF(D$16&gt;20,Y72*D$11*20/36000+Y73*D$11*(Q$12-20)/36000,Y73*D$11*Q$12/36000))))</f>
        <v>0</v>
      </c>
      <c r="AA73" s="56">
        <f t="shared" ca="1" si="18"/>
        <v>0</v>
      </c>
      <c r="AB73" s="56">
        <f ca="1">IF(R74=0,R73*Q$12,(R72*20+R73*10))</f>
        <v>0</v>
      </c>
      <c r="AC73" s="56">
        <f t="shared" ca="1" si="44"/>
        <v>0</v>
      </c>
      <c r="AD73" s="56">
        <f t="shared" ca="1" si="45"/>
        <v>0</v>
      </c>
      <c r="AE73" s="56">
        <f t="shared" ca="1" si="31"/>
        <v>0</v>
      </c>
      <c r="AF73" s="56">
        <f t="shared" ca="1" si="19"/>
        <v>0</v>
      </c>
      <c r="AG73" s="56">
        <f t="shared" ca="1" si="30"/>
        <v>0</v>
      </c>
      <c r="AH73" s="56">
        <f t="shared" ca="1" si="20"/>
        <v>0</v>
      </c>
      <c r="AI73" s="56">
        <f t="shared" ca="1" si="46"/>
        <v>0</v>
      </c>
      <c r="AJ73" s="56">
        <f ca="1">IF(N74=1,AI72*G$12*20/36000+AI73*G$12*10/36000,IF(N74=0,IF(N73=0,0,AI73*G$12*Q$12/36000)))</f>
        <v>0</v>
      </c>
      <c r="AK73" s="56">
        <f ca="1">IF(N74=1,AI72*G$12*20/36000+AI73*G$12*10/36000,IF(N74=0,IF(N73=0,0,AI73*G$12*Q$12/36000)))</f>
        <v>0</v>
      </c>
      <c r="AL73" s="57">
        <f t="shared" ca="1" si="55"/>
        <v>0</v>
      </c>
      <c r="AM73" s="57">
        <f t="shared" ca="1" si="47"/>
        <v>0</v>
      </c>
      <c r="AN73" s="51">
        <f t="shared" ca="1" si="56"/>
        <v>0</v>
      </c>
      <c r="AO73" s="51">
        <f t="shared" ca="1" si="48"/>
        <v>0</v>
      </c>
      <c r="AP73" s="51">
        <f t="shared" ca="1" si="49"/>
        <v>0</v>
      </c>
      <c r="AQ73" s="51">
        <f t="shared" ca="1" si="50"/>
        <v>30</v>
      </c>
      <c r="AR73" s="51">
        <f t="shared" si="51"/>
        <v>20</v>
      </c>
      <c r="AS73" s="51">
        <f t="shared" ca="1" si="57"/>
        <v>30</v>
      </c>
      <c r="AT73" s="52"/>
      <c r="AU73" s="52"/>
      <c r="AV73" s="52"/>
      <c r="AW73" s="52"/>
      <c r="AX73" s="52"/>
      <c r="AY73" s="51">
        <f t="shared" ca="1" si="24"/>
        <v>0</v>
      </c>
      <c r="AZ73" s="52"/>
      <c r="BA73" s="52"/>
      <c r="BB73" s="73"/>
      <c r="BC73" s="73"/>
      <c r="BD73" s="73"/>
      <c r="BE73" s="52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2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3"/>
        <v xml:space="preserve"> </v>
      </c>
      <c r="I74" s="84">
        <f t="shared" ca="1" si="32"/>
        <v>0</v>
      </c>
      <c r="J74" s="84">
        <f t="shared" ca="1" si="33"/>
        <v>0</v>
      </c>
      <c r="K74" s="84">
        <v>0</v>
      </c>
      <c r="L74" s="84" t="str">
        <f t="shared" ca="1" si="34"/>
        <v xml:space="preserve"> </v>
      </c>
      <c r="M74" s="51">
        <v>50</v>
      </c>
      <c r="N74" s="51">
        <f t="shared" ca="1" si="35"/>
        <v>0</v>
      </c>
      <c r="O74" s="51">
        <f t="shared" ca="1" si="41"/>
        <v>20</v>
      </c>
      <c r="P74" s="56">
        <f t="shared" ca="1" si="42"/>
        <v>0</v>
      </c>
      <c r="Q74" s="56">
        <f t="shared" ca="1" si="43"/>
        <v>0</v>
      </c>
      <c r="R74" s="56">
        <f t="shared" ca="1" si="54"/>
        <v>0</v>
      </c>
      <c r="S74" s="56" t="str">
        <f t="shared" ca="1" si="25"/>
        <v xml:space="preserve"> </v>
      </c>
      <c r="T74" s="56" t="e">
        <f t="shared" ca="1" si="26"/>
        <v>#VALUE!</v>
      </c>
      <c r="U74" s="56">
        <f t="shared" ref="U74:U84" ca="1" si="62">IF(N75=1,R73*D$11*20/36000+R74*D$11*10/36000,IF(N75=0,IF(N74=0,0,R74*D$11*Q$12/36000+R73*D$11*20/36000+R74*D$11*10/36000)))</f>
        <v>0</v>
      </c>
      <c r="V74" s="56">
        <f t="shared" ref="V74:V84" ca="1" si="63">IF(N75=1,R73*D$11*20/36000+R74*D$11*10/36000,IF(N75=0,IF(N74=0,0,R74*D$11*Q$12/36000+R73*D$11*20/36000+R74*D$11*10/36000)))</f>
        <v>0</v>
      </c>
      <c r="W74" s="56">
        <f t="shared" ca="1" si="27"/>
        <v>0</v>
      </c>
      <c r="X74" s="56">
        <f t="shared" ca="1" si="28"/>
        <v>0</v>
      </c>
      <c r="Y74" s="56">
        <f t="shared" ca="1" si="17"/>
        <v>0</v>
      </c>
      <c r="Z74" s="56">
        <f t="shared" ca="1" si="29"/>
        <v>0</v>
      </c>
      <c r="AA74" s="56">
        <f t="shared" ca="1" si="18"/>
        <v>0</v>
      </c>
      <c r="AB74" s="56">
        <f t="shared" ref="AB74:AB84" ca="1" si="64">IF(R75=0,R74*Q$12,(R73*20+R74*10))</f>
        <v>0</v>
      </c>
      <c r="AC74" s="56">
        <f t="shared" ca="1" si="44"/>
        <v>0</v>
      </c>
      <c r="AD74" s="56">
        <f t="shared" ca="1" si="45"/>
        <v>0</v>
      </c>
      <c r="AE74" s="56">
        <f t="shared" ca="1" si="31"/>
        <v>0</v>
      </c>
      <c r="AF74" s="56">
        <f t="shared" ca="1" si="19"/>
        <v>0</v>
      </c>
      <c r="AG74" s="56">
        <f t="shared" ca="1" si="30"/>
        <v>0</v>
      </c>
      <c r="AH74" s="56">
        <f t="shared" ca="1" si="20"/>
        <v>0</v>
      </c>
      <c r="AI74" s="56">
        <f t="shared" ca="1" si="46"/>
        <v>0</v>
      </c>
      <c r="AJ74" s="56">
        <f t="shared" ref="AJ74:AJ84" ca="1" si="65">IF(N75=1,AI73*G$12*20/36000+AI74*G$12*10/36000,IF(N75=0,IF(N74=0,0,AI74*G$12*Q$12/36000+AI73*G$12*20/36000+AI74*G$12*10/36000)))</f>
        <v>0</v>
      </c>
      <c r="AK74" s="56">
        <f t="shared" ref="AK74:AK84" ca="1" si="66">IF(N75=1,AI73*G$12*20/36000+AI74*G$12*10/36000,IF(N75=0,IF(N74=0,0,AI74*G$12*Q$12/36000+AI73*G$12*20/36000+AI74*G$12*10/36000)))</f>
        <v>0</v>
      </c>
      <c r="AL74" s="57">
        <f t="shared" ca="1" si="55"/>
        <v>0</v>
      </c>
      <c r="AM74" s="57">
        <f t="shared" ca="1" si="47"/>
        <v>0</v>
      </c>
      <c r="AN74" s="51">
        <f t="shared" ca="1" si="56"/>
        <v>0</v>
      </c>
      <c r="AO74" s="51">
        <f t="shared" ca="1" si="48"/>
        <v>0</v>
      </c>
      <c r="AP74" s="51">
        <f t="shared" ca="1" si="49"/>
        <v>0</v>
      </c>
      <c r="AQ74" s="51">
        <f t="shared" ca="1" si="50"/>
        <v>30</v>
      </c>
      <c r="AR74" s="51">
        <f t="shared" si="51"/>
        <v>20</v>
      </c>
      <c r="AS74" s="51">
        <f t="shared" ca="1" si="57"/>
        <v>30</v>
      </c>
      <c r="AT74" s="52"/>
      <c r="AU74" s="52"/>
      <c r="AV74" s="52"/>
      <c r="AW74" s="52"/>
      <c r="AX74" s="52"/>
      <c r="AY74" s="51">
        <f t="shared" ca="1" si="24"/>
        <v>0</v>
      </c>
      <c r="AZ74" s="52"/>
      <c r="BA74" s="52"/>
      <c r="BB74" s="73"/>
      <c r="BC74" s="73"/>
      <c r="BD74" s="73"/>
      <c r="BE74" s="52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2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3"/>
        <v xml:space="preserve"> </v>
      </c>
      <c r="I75" s="84">
        <f t="shared" ca="1" si="32"/>
        <v>0</v>
      </c>
      <c r="J75" s="84">
        <f t="shared" ca="1" si="33"/>
        <v>0</v>
      </c>
      <c r="K75" s="84">
        <v>0</v>
      </c>
      <c r="L75" s="84" t="str">
        <f t="shared" ca="1" si="34"/>
        <v xml:space="preserve"> </v>
      </c>
      <c r="M75" s="51">
        <v>51</v>
      </c>
      <c r="N75" s="51">
        <f t="shared" ca="1" si="35"/>
        <v>0</v>
      </c>
      <c r="O75" s="51">
        <f t="shared" ca="1" si="41"/>
        <v>20</v>
      </c>
      <c r="P75" s="56">
        <f t="shared" ca="1" si="42"/>
        <v>0</v>
      </c>
      <c r="Q75" s="56">
        <f t="shared" ca="1" si="43"/>
        <v>0</v>
      </c>
      <c r="R75" s="56">
        <f t="shared" ca="1" si="54"/>
        <v>0</v>
      </c>
      <c r="S75" s="56" t="str">
        <f t="shared" ca="1" si="25"/>
        <v xml:space="preserve"> </v>
      </c>
      <c r="T75" s="56" t="e">
        <f t="shared" ca="1" si="26"/>
        <v>#VALUE!</v>
      </c>
      <c r="U75" s="56">
        <f t="shared" ca="1" si="62"/>
        <v>0</v>
      </c>
      <c r="V75" s="56">
        <f t="shared" ca="1" si="63"/>
        <v>0</v>
      </c>
      <c r="W75" s="56">
        <f t="shared" ca="1" si="27"/>
        <v>0</v>
      </c>
      <c r="X75" s="56">
        <f t="shared" ca="1" si="28"/>
        <v>0</v>
      </c>
      <c r="Y75" s="56">
        <f t="shared" ca="1" si="17"/>
        <v>0</v>
      </c>
      <c r="Z75" s="56">
        <f t="shared" ca="1" si="29"/>
        <v>0</v>
      </c>
      <c r="AA75" s="56">
        <f t="shared" ca="1" si="18"/>
        <v>0</v>
      </c>
      <c r="AB75" s="56">
        <f t="shared" ca="1" si="64"/>
        <v>0</v>
      </c>
      <c r="AC75" s="56">
        <f t="shared" ca="1" si="44"/>
        <v>0</v>
      </c>
      <c r="AD75" s="56">
        <f t="shared" ca="1" si="45"/>
        <v>0</v>
      </c>
      <c r="AE75" s="56">
        <f t="shared" ca="1" si="31"/>
        <v>0</v>
      </c>
      <c r="AF75" s="56">
        <f t="shared" ca="1" si="19"/>
        <v>0</v>
      </c>
      <c r="AG75" s="56">
        <f t="shared" ca="1" si="30"/>
        <v>0</v>
      </c>
      <c r="AH75" s="56">
        <f t="shared" ca="1" si="20"/>
        <v>0</v>
      </c>
      <c r="AI75" s="56">
        <f t="shared" ca="1" si="46"/>
        <v>0</v>
      </c>
      <c r="AJ75" s="56">
        <f t="shared" ca="1" si="65"/>
        <v>0</v>
      </c>
      <c r="AK75" s="56">
        <f t="shared" ca="1" si="66"/>
        <v>0</v>
      </c>
      <c r="AL75" s="57">
        <f t="shared" ca="1" si="55"/>
        <v>0</v>
      </c>
      <c r="AM75" s="57">
        <f t="shared" ca="1" si="47"/>
        <v>0</v>
      </c>
      <c r="AN75" s="51">
        <f t="shared" ca="1" si="56"/>
        <v>0</v>
      </c>
      <c r="AO75" s="51">
        <f t="shared" ca="1" si="48"/>
        <v>0</v>
      </c>
      <c r="AP75" s="51">
        <f t="shared" ca="1" si="49"/>
        <v>0</v>
      </c>
      <c r="AQ75" s="51">
        <f t="shared" ca="1" si="50"/>
        <v>30</v>
      </c>
      <c r="AR75" s="51">
        <f t="shared" si="51"/>
        <v>20</v>
      </c>
      <c r="AS75" s="51">
        <f t="shared" ca="1" si="57"/>
        <v>30</v>
      </c>
      <c r="AT75" s="52"/>
      <c r="AU75" s="52"/>
      <c r="AV75" s="52"/>
      <c r="AW75" s="52"/>
      <c r="AX75" s="52"/>
      <c r="AY75" s="51">
        <f t="shared" ca="1" si="24"/>
        <v>0</v>
      </c>
      <c r="AZ75" s="52"/>
      <c r="BA75" s="52"/>
      <c r="BB75" s="73"/>
      <c r="BC75" s="73"/>
      <c r="BD75" s="73"/>
      <c r="BE75" s="52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2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3"/>
        <v xml:space="preserve"> </v>
      </c>
      <c r="I76" s="84">
        <f t="shared" ca="1" si="32"/>
        <v>0</v>
      </c>
      <c r="J76" s="84">
        <f t="shared" ca="1" si="33"/>
        <v>0</v>
      </c>
      <c r="K76" s="84">
        <v>0</v>
      </c>
      <c r="L76" s="84" t="str">
        <f t="shared" ca="1" si="34"/>
        <v xml:space="preserve"> </v>
      </c>
      <c r="M76" s="51">
        <v>52</v>
      </c>
      <c r="N76" s="51">
        <f t="shared" ca="1" si="35"/>
        <v>0</v>
      </c>
      <c r="O76" s="51">
        <f t="shared" ca="1" si="41"/>
        <v>20</v>
      </c>
      <c r="P76" s="56">
        <f t="shared" ca="1" si="42"/>
        <v>0</v>
      </c>
      <c r="Q76" s="56">
        <f t="shared" ca="1" si="43"/>
        <v>0</v>
      </c>
      <c r="R76" s="56">
        <f t="shared" ca="1" si="54"/>
        <v>0</v>
      </c>
      <c r="S76" s="56" t="str">
        <f t="shared" ca="1" si="25"/>
        <v xml:space="preserve"> </v>
      </c>
      <c r="T76" s="56" t="e">
        <f t="shared" ca="1" si="26"/>
        <v>#VALUE!</v>
      </c>
      <c r="U76" s="56">
        <f t="shared" ca="1" si="62"/>
        <v>0</v>
      </c>
      <c r="V76" s="56">
        <f t="shared" ca="1" si="63"/>
        <v>0</v>
      </c>
      <c r="W76" s="56">
        <f t="shared" ca="1" si="27"/>
        <v>0</v>
      </c>
      <c r="X76" s="56">
        <f t="shared" ca="1" si="28"/>
        <v>0</v>
      </c>
      <c r="Y76" s="56">
        <f t="shared" ca="1" si="17"/>
        <v>0</v>
      </c>
      <c r="Z76" s="56">
        <f t="shared" ca="1" si="29"/>
        <v>0</v>
      </c>
      <c r="AA76" s="56">
        <f t="shared" ca="1" si="18"/>
        <v>0</v>
      </c>
      <c r="AB76" s="56">
        <f t="shared" ca="1" si="64"/>
        <v>0</v>
      </c>
      <c r="AC76" s="56">
        <f t="shared" ca="1" si="44"/>
        <v>0</v>
      </c>
      <c r="AD76" s="56">
        <f t="shared" ca="1" si="45"/>
        <v>0</v>
      </c>
      <c r="AE76" s="56">
        <f t="shared" ca="1" si="31"/>
        <v>0</v>
      </c>
      <c r="AF76" s="56">
        <f t="shared" ca="1" si="19"/>
        <v>0</v>
      </c>
      <c r="AG76" s="56">
        <f t="shared" ca="1" si="30"/>
        <v>0</v>
      </c>
      <c r="AH76" s="56">
        <f t="shared" ca="1" si="20"/>
        <v>0</v>
      </c>
      <c r="AI76" s="56">
        <f t="shared" ca="1" si="46"/>
        <v>0</v>
      </c>
      <c r="AJ76" s="56">
        <f t="shared" ca="1" si="65"/>
        <v>0</v>
      </c>
      <c r="AK76" s="56">
        <f t="shared" ca="1" si="66"/>
        <v>0</v>
      </c>
      <c r="AL76" s="57">
        <f t="shared" ca="1" si="55"/>
        <v>0</v>
      </c>
      <c r="AM76" s="57">
        <f t="shared" ca="1" si="47"/>
        <v>0</v>
      </c>
      <c r="AN76" s="51">
        <f t="shared" ca="1" si="56"/>
        <v>0</v>
      </c>
      <c r="AO76" s="51">
        <f t="shared" ca="1" si="48"/>
        <v>0</v>
      </c>
      <c r="AP76" s="51">
        <f t="shared" ca="1" si="49"/>
        <v>0</v>
      </c>
      <c r="AQ76" s="51">
        <f t="shared" ca="1" si="50"/>
        <v>30</v>
      </c>
      <c r="AR76" s="51">
        <f t="shared" si="51"/>
        <v>20</v>
      </c>
      <c r="AS76" s="51">
        <f t="shared" ca="1" si="57"/>
        <v>30</v>
      </c>
      <c r="AT76" s="52"/>
      <c r="AU76" s="52"/>
      <c r="AV76" s="52"/>
      <c r="AW76" s="52"/>
      <c r="AX76" s="52"/>
      <c r="AY76" s="51">
        <f t="shared" ca="1" si="24"/>
        <v>0</v>
      </c>
      <c r="AZ76" s="52"/>
      <c r="BA76" s="52"/>
      <c r="BB76" s="73"/>
      <c r="BC76" s="73"/>
      <c r="BD76" s="73"/>
      <c r="BE76" s="52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2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3"/>
        <v xml:space="preserve"> </v>
      </c>
      <c r="I77" s="84">
        <f t="shared" ca="1" si="32"/>
        <v>0</v>
      </c>
      <c r="J77" s="84">
        <f t="shared" ca="1" si="33"/>
        <v>0</v>
      </c>
      <c r="K77" s="84">
        <v>0</v>
      </c>
      <c r="L77" s="84" t="str">
        <f t="shared" ca="1" si="34"/>
        <v xml:space="preserve"> </v>
      </c>
      <c r="M77" s="51">
        <v>53</v>
      </c>
      <c r="N77" s="51">
        <f t="shared" ca="1" si="35"/>
        <v>0</v>
      </c>
      <c r="O77" s="51">
        <f t="shared" ca="1" si="41"/>
        <v>20</v>
      </c>
      <c r="P77" s="56">
        <f t="shared" ca="1" si="42"/>
        <v>0</v>
      </c>
      <c r="Q77" s="56">
        <f t="shared" ca="1" si="43"/>
        <v>0</v>
      </c>
      <c r="R77" s="56">
        <f t="shared" ca="1" si="54"/>
        <v>0</v>
      </c>
      <c r="S77" s="56" t="str">
        <f t="shared" ca="1" si="25"/>
        <v xml:space="preserve"> </v>
      </c>
      <c r="T77" s="56" t="e">
        <f t="shared" ca="1" si="26"/>
        <v>#VALUE!</v>
      </c>
      <c r="U77" s="56">
        <f t="shared" ca="1" si="62"/>
        <v>0</v>
      </c>
      <c r="V77" s="56">
        <f t="shared" ca="1" si="63"/>
        <v>0</v>
      </c>
      <c r="W77" s="56">
        <f t="shared" ca="1" si="27"/>
        <v>0</v>
      </c>
      <c r="X77" s="56">
        <f t="shared" ca="1" si="28"/>
        <v>0</v>
      </c>
      <c r="Y77" s="56">
        <f t="shared" ca="1" si="17"/>
        <v>0</v>
      </c>
      <c r="Z77" s="56">
        <f t="shared" ca="1" si="29"/>
        <v>0</v>
      </c>
      <c r="AA77" s="56">
        <f t="shared" ca="1" si="18"/>
        <v>0</v>
      </c>
      <c r="AB77" s="56">
        <f t="shared" ca="1" si="64"/>
        <v>0</v>
      </c>
      <c r="AC77" s="56">
        <f t="shared" ca="1" si="44"/>
        <v>0</v>
      </c>
      <c r="AD77" s="56">
        <f t="shared" ca="1" si="45"/>
        <v>0</v>
      </c>
      <c r="AE77" s="56">
        <f t="shared" ca="1" si="31"/>
        <v>0</v>
      </c>
      <c r="AF77" s="56">
        <f t="shared" ca="1" si="19"/>
        <v>0</v>
      </c>
      <c r="AG77" s="56">
        <f t="shared" ca="1" si="30"/>
        <v>0</v>
      </c>
      <c r="AH77" s="56">
        <f t="shared" ca="1" si="20"/>
        <v>0</v>
      </c>
      <c r="AI77" s="56">
        <f t="shared" ca="1" si="46"/>
        <v>0</v>
      </c>
      <c r="AJ77" s="56">
        <f t="shared" ca="1" si="65"/>
        <v>0</v>
      </c>
      <c r="AK77" s="56">
        <f t="shared" ca="1" si="66"/>
        <v>0</v>
      </c>
      <c r="AL77" s="57">
        <f t="shared" ca="1" si="55"/>
        <v>0</v>
      </c>
      <c r="AM77" s="57">
        <f t="shared" ca="1" si="47"/>
        <v>0</v>
      </c>
      <c r="AN77" s="51">
        <f t="shared" ca="1" si="56"/>
        <v>0</v>
      </c>
      <c r="AO77" s="51">
        <f t="shared" ca="1" si="48"/>
        <v>0</v>
      </c>
      <c r="AP77" s="51">
        <f t="shared" ca="1" si="49"/>
        <v>0</v>
      </c>
      <c r="AQ77" s="51">
        <f t="shared" ca="1" si="50"/>
        <v>30</v>
      </c>
      <c r="AR77" s="51">
        <f t="shared" si="51"/>
        <v>20</v>
      </c>
      <c r="AS77" s="51">
        <f t="shared" ca="1" si="57"/>
        <v>30</v>
      </c>
      <c r="AT77" s="52"/>
      <c r="AU77" s="52"/>
      <c r="AV77" s="52"/>
      <c r="AW77" s="52"/>
      <c r="AX77" s="52"/>
      <c r="AY77" s="51">
        <f t="shared" ca="1" si="24"/>
        <v>0</v>
      </c>
      <c r="AZ77" s="52"/>
      <c r="BA77" s="52"/>
      <c r="BB77" s="73"/>
      <c r="BC77" s="73"/>
      <c r="BD77" s="73"/>
      <c r="BE77" s="52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2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3"/>
        <v xml:space="preserve"> </v>
      </c>
      <c r="I78" s="84">
        <f t="shared" ca="1" si="32"/>
        <v>0</v>
      </c>
      <c r="J78" s="84">
        <f t="shared" ca="1" si="33"/>
        <v>0</v>
      </c>
      <c r="K78" s="84">
        <v>0</v>
      </c>
      <c r="L78" s="84" t="str">
        <f t="shared" ca="1" si="34"/>
        <v xml:space="preserve"> </v>
      </c>
      <c r="M78" s="51">
        <v>54</v>
      </c>
      <c r="N78" s="51">
        <f t="shared" ca="1" si="35"/>
        <v>0</v>
      </c>
      <c r="O78" s="51">
        <f t="shared" ca="1" si="41"/>
        <v>20</v>
      </c>
      <c r="P78" s="56">
        <f t="shared" ca="1" si="42"/>
        <v>0</v>
      </c>
      <c r="Q78" s="56">
        <f t="shared" ca="1" si="43"/>
        <v>0</v>
      </c>
      <c r="R78" s="56">
        <f t="shared" ca="1" si="54"/>
        <v>0</v>
      </c>
      <c r="S78" s="56" t="str">
        <f t="shared" ca="1" si="25"/>
        <v xml:space="preserve"> </v>
      </c>
      <c r="T78" s="56" t="e">
        <f t="shared" ca="1" si="26"/>
        <v>#VALUE!</v>
      </c>
      <c r="U78" s="56">
        <f t="shared" ca="1" si="62"/>
        <v>0</v>
      </c>
      <c r="V78" s="56">
        <f t="shared" ca="1" si="63"/>
        <v>0</v>
      </c>
      <c r="W78" s="56">
        <f t="shared" ca="1" si="27"/>
        <v>0</v>
      </c>
      <c r="X78" s="56">
        <f t="shared" ca="1" si="28"/>
        <v>0</v>
      </c>
      <c r="Y78" s="56">
        <f t="shared" ca="1" si="17"/>
        <v>0</v>
      </c>
      <c r="Z78" s="56">
        <f t="shared" ca="1" si="29"/>
        <v>0</v>
      </c>
      <c r="AA78" s="56">
        <f t="shared" ca="1" si="18"/>
        <v>0</v>
      </c>
      <c r="AB78" s="56">
        <f t="shared" ca="1" si="64"/>
        <v>0</v>
      </c>
      <c r="AC78" s="56">
        <f t="shared" ca="1" si="44"/>
        <v>0</v>
      </c>
      <c r="AD78" s="56">
        <f t="shared" ca="1" si="45"/>
        <v>0</v>
      </c>
      <c r="AE78" s="56">
        <f t="shared" ca="1" si="31"/>
        <v>0</v>
      </c>
      <c r="AF78" s="56">
        <f t="shared" ca="1" si="19"/>
        <v>0</v>
      </c>
      <c r="AG78" s="56">
        <f t="shared" ca="1" si="30"/>
        <v>0</v>
      </c>
      <c r="AH78" s="56">
        <f t="shared" ca="1" si="20"/>
        <v>0</v>
      </c>
      <c r="AI78" s="56">
        <f t="shared" ca="1" si="46"/>
        <v>0</v>
      </c>
      <c r="AJ78" s="56">
        <f t="shared" ca="1" si="65"/>
        <v>0</v>
      </c>
      <c r="AK78" s="56">
        <f t="shared" ca="1" si="66"/>
        <v>0</v>
      </c>
      <c r="AL78" s="57">
        <f t="shared" ca="1" si="55"/>
        <v>0</v>
      </c>
      <c r="AM78" s="57">
        <f t="shared" ca="1" si="47"/>
        <v>0</v>
      </c>
      <c r="AN78" s="51">
        <f t="shared" ca="1" si="56"/>
        <v>0</v>
      </c>
      <c r="AO78" s="51">
        <f t="shared" ca="1" si="48"/>
        <v>0</v>
      </c>
      <c r="AP78" s="51">
        <f t="shared" ca="1" si="49"/>
        <v>0</v>
      </c>
      <c r="AQ78" s="51">
        <f t="shared" ca="1" si="50"/>
        <v>30</v>
      </c>
      <c r="AR78" s="51">
        <f t="shared" si="51"/>
        <v>20</v>
      </c>
      <c r="AS78" s="51">
        <f t="shared" ca="1" si="57"/>
        <v>30</v>
      </c>
      <c r="AT78" s="52"/>
      <c r="AU78" s="52"/>
      <c r="AV78" s="52"/>
      <c r="AW78" s="52"/>
      <c r="AX78" s="52"/>
      <c r="AY78" s="51">
        <f t="shared" ca="1" si="24"/>
        <v>0</v>
      </c>
      <c r="AZ78" s="52"/>
      <c r="BA78" s="52"/>
      <c r="BB78" s="73"/>
      <c r="BC78" s="73"/>
      <c r="BD78" s="73"/>
      <c r="BE78" s="52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2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3"/>
        <v xml:space="preserve"> </v>
      </c>
      <c r="I79" s="84">
        <f t="shared" ca="1" si="32"/>
        <v>0</v>
      </c>
      <c r="J79" s="84">
        <f t="shared" ca="1" si="33"/>
        <v>0</v>
      </c>
      <c r="K79" s="84">
        <v>0</v>
      </c>
      <c r="L79" s="84" t="str">
        <f t="shared" ca="1" si="34"/>
        <v xml:space="preserve"> </v>
      </c>
      <c r="M79" s="51">
        <v>55</v>
      </c>
      <c r="N79" s="51">
        <f t="shared" ca="1" si="35"/>
        <v>0</v>
      </c>
      <c r="O79" s="51">
        <f t="shared" ca="1" si="41"/>
        <v>20</v>
      </c>
      <c r="P79" s="56">
        <f t="shared" ca="1" si="42"/>
        <v>0</v>
      </c>
      <c r="Q79" s="56">
        <f t="shared" ca="1" si="43"/>
        <v>0</v>
      </c>
      <c r="R79" s="56">
        <f t="shared" ca="1" si="54"/>
        <v>0</v>
      </c>
      <c r="S79" s="56" t="str">
        <f t="shared" ca="1" si="25"/>
        <v xml:space="preserve"> </v>
      </c>
      <c r="T79" s="56" t="e">
        <f t="shared" ca="1" si="26"/>
        <v>#VALUE!</v>
      </c>
      <c r="U79" s="56">
        <f t="shared" ca="1" si="62"/>
        <v>0</v>
      </c>
      <c r="V79" s="56">
        <f t="shared" ca="1" si="63"/>
        <v>0</v>
      </c>
      <c r="W79" s="56">
        <f t="shared" ca="1" si="27"/>
        <v>0</v>
      </c>
      <c r="X79" s="56">
        <f t="shared" ca="1" si="28"/>
        <v>0</v>
      </c>
      <c r="Y79" s="56">
        <f t="shared" ca="1" si="17"/>
        <v>0</v>
      </c>
      <c r="Z79" s="56">
        <f t="shared" ca="1" si="29"/>
        <v>0</v>
      </c>
      <c r="AA79" s="56">
        <f t="shared" ca="1" si="18"/>
        <v>0</v>
      </c>
      <c r="AB79" s="56">
        <f t="shared" ca="1" si="64"/>
        <v>0</v>
      </c>
      <c r="AC79" s="56">
        <f t="shared" ca="1" si="44"/>
        <v>0</v>
      </c>
      <c r="AD79" s="56">
        <f t="shared" ca="1" si="45"/>
        <v>0</v>
      </c>
      <c r="AE79" s="56">
        <f t="shared" ca="1" si="31"/>
        <v>0</v>
      </c>
      <c r="AF79" s="56">
        <f t="shared" ca="1" si="19"/>
        <v>0</v>
      </c>
      <c r="AG79" s="56">
        <f t="shared" ca="1" si="30"/>
        <v>0</v>
      </c>
      <c r="AH79" s="56">
        <f t="shared" ca="1" si="20"/>
        <v>0</v>
      </c>
      <c r="AI79" s="56">
        <f t="shared" ca="1" si="46"/>
        <v>0</v>
      </c>
      <c r="AJ79" s="56">
        <f t="shared" ca="1" si="65"/>
        <v>0</v>
      </c>
      <c r="AK79" s="56">
        <f t="shared" ca="1" si="66"/>
        <v>0</v>
      </c>
      <c r="AL79" s="57">
        <f t="shared" ca="1" si="55"/>
        <v>0</v>
      </c>
      <c r="AM79" s="57">
        <f t="shared" ca="1" si="47"/>
        <v>0</v>
      </c>
      <c r="AN79" s="51">
        <f t="shared" ca="1" si="56"/>
        <v>0</v>
      </c>
      <c r="AO79" s="51">
        <f t="shared" ca="1" si="48"/>
        <v>0</v>
      </c>
      <c r="AP79" s="51">
        <f t="shared" ca="1" si="49"/>
        <v>0</v>
      </c>
      <c r="AQ79" s="51">
        <f t="shared" ca="1" si="50"/>
        <v>30</v>
      </c>
      <c r="AR79" s="51">
        <f t="shared" si="51"/>
        <v>20</v>
      </c>
      <c r="AS79" s="51">
        <f t="shared" ca="1" si="57"/>
        <v>30</v>
      </c>
      <c r="AT79" s="52"/>
      <c r="AU79" s="52"/>
      <c r="AV79" s="52"/>
      <c r="AW79" s="52"/>
      <c r="AX79" s="52"/>
      <c r="AY79" s="51">
        <f t="shared" ca="1" si="24"/>
        <v>0</v>
      </c>
      <c r="AZ79" s="52"/>
      <c r="BA79" s="52"/>
      <c r="BB79" s="73"/>
      <c r="BC79" s="73"/>
      <c r="BD79" s="73"/>
      <c r="BE79" s="52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2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3"/>
        <v xml:space="preserve"> </v>
      </c>
      <c r="I80" s="84">
        <f t="shared" ca="1" si="32"/>
        <v>0</v>
      </c>
      <c r="J80" s="84">
        <f t="shared" ca="1" si="33"/>
        <v>0</v>
      </c>
      <c r="K80" s="84">
        <v>0</v>
      </c>
      <c r="L80" s="84" t="str">
        <f t="shared" ca="1" si="34"/>
        <v xml:space="preserve"> </v>
      </c>
      <c r="M80" s="51">
        <v>56</v>
      </c>
      <c r="N80" s="51">
        <f t="shared" ca="1" si="35"/>
        <v>0</v>
      </c>
      <c r="O80" s="51">
        <f t="shared" ca="1" si="41"/>
        <v>20</v>
      </c>
      <c r="P80" s="56">
        <f t="shared" ca="1" si="42"/>
        <v>0</v>
      </c>
      <c r="Q80" s="56">
        <f t="shared" ca="1" si="43"/>
        <v>0</v>
      </c>
      <c r="R80" s="56">
        <f t="shared" ca="1" si="54"/>
        <v>0</v>
      </c>
      <c r="S80" s="56" t="str">
        <f t="shared" ca="1" si="25"/>
        <v xml:space="preserve"> </v>
      </c>
      <c r="T80" s="56" t="e">
        <f t="shared" ca="1" si="26"/>
        <v>#VALUE!</v>
      </c>
      <c r="U80" s="56">
        <f t="shared" ca="1" si="62"/>
        <v>0</v>
      </c>
      <c r="V80" s="56">
        <f t="shared" ca="1" si="63"/>
        <v>0</v>
      </c>
      <c r="W80" s="56">
        <f t="shared" ca="1" si="27"/>
        <v>0</v>
      </c>
      <c r="X80" s="56">
        <f t="shared" ca="1" si="28"/>
        <v>0</v>
      </c>
      <c r="Y80" s="56">
        <f t="shared" ca="1" si="17"/>
        <v>0</v>
      </c>
      <c r="Z80" s="56">
        <f t="shared" ca="1" si="29"/>
        <v>0</v>
      </c>
      <c r="AA80" s="56">
        <f t="shared" ca="1" si="18"/>
        <v>0</v>
      </c>
      <c r="AB80" s="56">
        <f t="shared" ca="1" si="64"/>
        <v>0</v>
      </c>
      <c r="AC80" s="56">
        <f t="shared" ca="1" si="44"/>
        <v>0</v>
      </c>
      <c r="AD80" s="56">
        <f t="shared" ca="1" si="45"/>
        <v>0</v>
      </c>
      <c r="AE80" s="56">
        <f t="shared" ca="1" si="31"/>
        <v>0</v>
      </c>
      <c r="AF80" s="56">
        <f t="shared" ca="1" si="19"/>
        <v>0</v>
      </c>
      <c r="AG80" s="56">
        <f t="shared" ca="1" si="30"/>
        <v>0</v>
      </c>
      <c r="AH80" s="56">
        <f t="shared" ca="1" si="20"/>
        <v>0</v>
      </c>
      <c r="AI80" s="56">
        <f t="shared" ca="1" si="46"/>
        <v>0</v>
      </c>
      <c r="AJ80" s="56">
        <f t="shared" ca="1" si="65"/>
        <v>0</v>
      </c>
      <c r="AK80" s="56">
        <f t="shared" ca="1" si="66"/>
        <v>0</v>
      </c>
      <c r="AL80" s="57">
        <f t="shared" ca="1" si="55"/>
        <v>0</v>
      </c>
      <c r="AM80" s="57">
        <f t="shared" ca="1" si="47"/>
        <v>0</v>
      </c>
      <c r="AN80" s="51">
        <f t="shared" ca="1" si="56"/>
        <v>0</v>
      </c>
      <c r="AO80" s="51">
        <f t="shared" ca="1" si="48"/>
        <v>0</v>
      </c>
      <c r="AP80" s="51">
        <f t="shared" ca="1" si="49"/>
        <v>0</v>
      </c>
      <c r="AQ80" s="51">
        <f t="shared" ca="1" si="50"/>
        <v>30</v>
      </c>
      <c r="AR80" s="51">
        <f t="shared" si="51"/>
        <v>20</v>
      </c>
      <c r="AS80" s="51">
        <f t="shared" ca="1" si="57"/>
        <v>30</v>
      </c>
      <c r="AT80" s="52"/>
      <c r="AU80" s="52"/>
      <c r="AV80" s="52"/>
      <c r="AW80" s="52"/>
      <c r="AX80" s="52"/>
      <c r="AY80" s="51">
        <f t="shared" ca="1" si="24"/>
        <v>0</v>
      </c>
      <c r="AZ80" s="52"/>
      <c r="BA80" s="52"/>
      <c r="BB80" s="73"/>
      <c r="BC80" s="73"/>
      <c r="BD80" s="73"/>
      <c r="BE80" s="52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2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3"/>
        <v xml:space="preserve"> </v>
      </c>
      <c r="I81" s="84">
        <f t="shared" ca="1" si="32"/>
        <v>0</v>
      </c>
      <c r="J81" s="84">
        <f t="shared" ca="1" si="33"/>
        <v>0</v>
      </c>
      <c r="K81" s="84">
        <v>0</v>
      </c>
      <c r="L81" s="84" t="str">
        <f t="shared" ca="1" si="34"/>
        <v xml:space="preserve"> </v>
      </c>
      <c r="M81" s="51">
        <v>57</v>
      </c>
      <c r="N81" s="51">
        <f t="shared" ca="1" si="35"/>
        <v>0</v>
      </c>
      <c r="O81" s="51">
        <f t="shared" ca="1" si="41"/>
        <v>20</v>
      </c>
      <c r="P81" s="56">
        <f t="shared" ca="1" si="42"/>
        <v>0</v>
      </c>
      <c r="Q81" s="56">
        <f t="shared" ca="1" si="43"/>
        <v>0</v>
      </c>
      <c r="R81" s="56">
        <f t="shared" ca="1" si="54"/>
        <v>0</v>
      </c>
      <c r="S81" s="56" t="str">
        <f t="shared" ca="1" si="25"/>
        <v xml:space="preserve"> </v>
      </c>
      <c r="T81" s="56" t="e">
        <f t="shared" ca="1" si="26"/>
        <v>#VALUE!</v>
      </c>
      <c r="U81" s="56">
        <f t="shared" ca="1" si="62"/>
        <v>0</v>
      </c>
      <c r="V81" s="56">
        <f t="shared" ca="1" si="63"/>
        <v>0</v>
      </c>
      <c r="W81" s="56">
        <f t="shared" ca="1" si="27"/>
        <v>0</v>
      </c>
      <c r="X81" s="56">
        <f t="shared" ca="1" si="28"/>
        <v>0</v>
      </c>
      <c r="Y81" s="56">
        <f t="shared" ca="1" si="17"/>
        <v>0</v>
      </c>
      <c r="Z81" s="56">
        <f t="shared" ca="1" si="29"/>
        <v>0</v>
      </c>
      <c r="AA81" s="56">
        <f t="shared" ca="1" si="18"/>
        <v>0</v>
      </c>
      <c r="AB81" s="56">
        <f t="shared" ca="1" si="64"/>
        <v>0</v>
      </c>
      <c r="AC81" s="56">
        <f t="shared" ca="1" si="44"/>
        <v>0</v>
      </c>
      <c r="AD81" s="56">
        <f t="shared" ca="1" si="45"/>
        <v>0</v>
      </c>
      <c r="AE81" s="56">
        <f t="shared" ca="1" si="31"/>
        <v>0</v>
      </c>
      <c r="AF81" s="56">
        <f t="shared" ca="1" si="19"/>
        <v>0</v>
      </c>
      <c r="AG81" s="56">
        <f t="shared" ca="1" si="30"/>
        <v>0</v>
      </c>
      <c r="AH81" s="56">
        <f t="shared" ca="1" si="20"/>
        <v>0</v>
      </c>
      <c r="AI81" s="56">
        <f t="shared" ca="1" si="46"/>
        <v>0</v>
      </c>
      <c r="AJ81" s="56">
        <f t="shared" ca="1" si="65"/>
        <v>0</v>
      </c>
      <c r="AK81" s="56">
        <f t="shared" ca="1" si="66"/>
        <v>0</v>
      </c>
      <c r="AL81" s="57">
        <f t="shared" ca="1" si="55"/>
        <v>0</v>
      </c>
      <c r="AM81" s="57">
        <f t="shared" ca="1" si="47"/>
        <v>0</v>
      </c>
      <c r="AN81" s="51">
        <f t="shared" ca="1" si="56"/>
        <v>0</v>
      </c>
      <c r="AO81" s="51">
        <f t="shared" ca="1" si="48"/>
        <v>0</v>
      </c>
      <c r="AP81" s="51">
        <f t="shared" ca="1" si="49"/>
        <v>0</v>
      </c>
      <c r="AQ81" s="51">
        <f t="shared" ca="1" si="50"/>
        <v>30</v>
      </c>
      <c r="AR81" s="51">
        <f t="shared" si="51"/>
        <v>20</v>
      </c>
      <c r="AS81" s="51">
        <f t="shared" ca="1" si="57"/>
        <v>30</v>
      </c>
      <c r="AT81" s="52"/>
      <c r="AU81" s="52"/>
      <c r="AV81" s="52"/>
      <c r="AW81" s="52"/>
      <c r="AX81" s="52"/>
      <c r="AY81" s="51">
        <f t="shared" ca="1" si="24"/>
        <v>0</v>
      </c>
      <c r="AZ81" s="52"/>
      <c r="BA81" s="52"/>
      <c r="BB81" s="73"/>
      <c r="BC81" s="73"/>
      <c r="BD81" s="73"/>
      <c r="BE81" s="52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2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3"/>
        <v xml:space="preserve"> </v>
      </c>
      <c r="I82" s="84">
        <f t="shared" ca="1" si="32"/>
        <v>0</v>
      </c>
      <c r="J82" s="84">
        <f t="shared" ca="1" si="33"/>
        <v>0</v>
      </c>
      <c r="K82" s="84">
        <v>0</v>
      </c>
      <c r="L82" s="84" t="str">
        <f t="shared" ca="1" si="34"/>
        <v xml:space="preserve"> </v>
      </c>
      <c r="M82" s="51">
        <v>58</v>
      </c>
      <c r="N82" s="51">
        <f t="shared" ca="1" si="35"/>
        <v>0</v>
      </c>
      <c r="O82" s="51">
        <f t="shared" ca="1" si="41"/>
        <v>20</v>
      </c>
      <c r="P82" s="56">
        <f t="shared" ca="1" si="42"/>
        <v>0</v>
      </c>
      <c r="Q82" s="56">
        <f t="shared" ca="1" si="43"/>
        <v>0</v>
      </c>
      <c r="R82" s="56">
        <f t="shared" ca="1" si="54"/>
        <v>0</v>
      </c>
      <c r="S82" s="56" t="str">
        <f t="shared" ca="1" si="25"/>
        <v xml:space="preserve"> </v>
      </c>
      <c r="T82" s="56" t="e">
        <f t="shared" ca="1" si="26"/>
        <v>#VALUE!</v>
      </c>
      <c r="U82" s="56">
        <f t="shared" ca="1" si="62"/>
        <v>0</v>
      </c>
      <c r="V82" s="56">
        <f t="shared" ca="1" si="63"/>
        <v>0</v>
      </c>
      <c r="W82" s="56">
        <f t="shared" ca="1" si="27"/>
        <v>0</v>
      </c>
      <c r="X82" s="56">
        <f t="shared" ca="1" si="28"/>
        <v>0</v>
      </c>
      <c r="Y82" s="56">
        <f t="shared" ca="1" si="17"/>
        <v>0</v>
      </c>
      <c r="Z82" s="56">
        <f t="shared" ca="1" si="29"/>
        <v>0</v>
      </c>
      <c r="AA82" s="56">
        <f t="shared" ca="1" si="18"/>
        <v>0</v>
      </c>
      <c r="AB82" s="56">
        <f t="shared" ca="1" si="64"/>
        <v>0</v>
      </c>
      <c r="AC82" s="56">
        <f t="shared" ca="1" si="44"/>
        <v>0</v>
      </c>
      <c r="AD82" s="56">
        <f t="shared" ca="1" si="45"/>
        <v>0</v>
      </c>
      <c r="AE82" s="56">
        <f t="shared" ca="1" si="31"/>
        <v>0</v>
      </c>
      <c r="AF82" s="56">
        <f t="shared" ca="1" si="19"/>
        <v>0</v>
      </c>
      <c r="AG82" s="56">
        <f t="shared" ca="1" si="30"/>
        <v>0</v>
      </c>
      <c r="AH82" s="56">
        <f t="shared" ca="1" si="20"/>
        <v>0</v>
      </c>
      <c r="AI82" s="56">
        <f t="shared" ca="1" si="46"/>
        <v>0</v>
      </c>
      <c r="AJ82" s="56">
        <f t="shared" ca="1" si="65"/>
        <v>0</v>
      </c>
      <c r="AK82" s="56">
        <f t="shared" ca="1" si="66"/>
        <v>0</v>
      </c>
      <c r="AL82" s="57">
        <f t="shared" ca="1" si="55"/>
        <v>0</v>
      </c>
      <c r="AM82" s="57">
        <f t="shared" ca="1" si="47"/>
        <v>0</v>
      </c>
      <c r="AN82" s="51">
        <f t="shared" ca="1" si="56"/>
        <v>0</v>
      </c>
      <c r="AO82" s="51">
        <f t="shared" ca="1" si="48"/>
        <v>0</v>
      </c>
      <c r="AP82" s="51">
        <f t="shared" ca="1" si="49"/>
        <v>0</v>
      </c>
      <c r="AQ82" s="51">
        <f t="shared" ca="1" si="50"/>
        <v>30</v>
      </c>
      <c r="AR82" s="51">
        <f t="shared" si="51"/>
        <v>20</v>
      </c>
      <c r="AS82" s="51">
        <f t="shared" ca="1" si="57"/>
        <v>30</v>
      </c>
      <c r="AT82" s="52"/>
      <c r="AU82" s="52"/>
      <c r="AV82" s="52"/>
      <c r="AW82" s="52"/>
      <c r="AX82" s="52"/>
      <c r="AY82" s="51">
        <f t="shared" ca="1" si="24"/>
        <v>0</v>
      </c>
      <c r="AZ82" s="52"/>
      <c r="BA82" s="52"/>
      <c r="BB82" s="73"/>
      <c r="BC82" s="73"/>
      <c r="BD82" s="73"/>
      <c r="BE82" s="52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2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3"/>
        <v xml:space="preserve"> </v>
      </c>
      <c r="I83" s="84">
        <f t="shared" ca="1" si="32"/>
        <v>0</v>
      </c>
      <c r="J83" s="84">
        <f t="shared" ca="1" si="33"/>
        <v>0</v>
      </c>
      <c r="K83" s="84">
        <v>0</v>
      </c>
      <c r="L83" s="84" t="str">
        <f t="shared" ca="1" si="34"/>
        <v xml:space="preserve"> </v>
      </c>
      <c r="M83" s="51">
        <v>59</v>
      </c>
      <c r="N83" s="51">
        <f t="shared" ca="1" si="35"/>
        <v>0</v>
      </c>
      <c r="O83" s="51">
        <f t="shared" ca="1" si="41"/>
        <v>20</v>
      </c>
      <c r="P83" s="56">
        <f t="shared" ca="1" si="42"/>
        <v>0</v>
      </c>
      <c r="Q83" s="56">
        <f t="shared" ca="1" si="43"/>
        <v>0</v>
      </c>
      <c r="R83" s="56">
        <f t="shared" ca="1" si="54"/>
        <v>0</v>
      </c>
      <c r="S83" s="56" t="str">
        <f t="shared" ca="1" si="25"/>
        <v xml:space="preserve"> </v>
      </c>
      <c r="T83" s="56" t="e">
        <f t="shared" ca="1" si="26"/>
        <v>#VALUE!</v>
      </c>
      <c r="U83" s="56">
        <f t="shared" ca="1" si="62"/>
        <v>0</v>
      </c>
      <c r="V83" s="56">
        <f t="shared" ca="1" si="63"/>
        <v>0</v>
      </c>
      <c r="W83" s="56">
        <f t="shared" ca="1" si="27"/>
        <v>0</v>
      </c>
      <c r="X83" s="56">
        <f t="shared" ca="1" si="28"/>
        <v>0</v>
      </c>
      <c r="Y83" s="56">
        <f t="shared" ca="1" si="17"/>
        <v>0</v>
      </c>
      <c r="Z83" s="56">
        <f t="shared" ca="1" si="29"/>
        <v>0</v>
      </c>
      <c r="AA83" s="56">
        <f t="shared" ca="1" si="18"/>
        <v>0</v>
      </c>
      <c r="AB83" s="56">
        <f t="shared" ca="1" si="64"/>
        <v>0</v>
      </c>
      <c r="AC83" s="56">
        <f t="shared" ca="1" si="44"/>
        <v>0</v>
      </c>
      <c r="AD83" s="56">
        <f t="shared" ca="1" si="45"/>
        <v>0</v>
      </c>
      <c r="AE83" s="56">
        <f t="shared" ca="1" si="31"/>
        <v>0</v>
      </c>
      <c r="AF83" s="56">
        <f t="shared" ca="1" si="19"/>
        <v>0</v>
      </c>
      <c r="AG83" s="56">
        <f t="shared" ca="1" si="30"/>
        <v>0</v>
      </c>
      <c r="AH83" s="56">
        <f t="shared" ca="1" si="20"/>
        <v>0</v>
      </c>
      <c r="AI83" s="56">
        <f t="shared" ca="1" si="46"/>
        <v>0</v>
      </c>
      <c r="AJ83" s="56">
        <f t="shared" ca="1" si="65"/>
        <v>0</v>
      </c>
      <c r="AK83" s="56">
        <f t="shared" ca="1" si="66"/>
        <v>0</v>
      </c>
      <c r="AL83" s="57">
        <f t="shared" ca="1" si="55"/>
        <v>0</v>
      </c>
      <c r="AM83" s="57">
        <f t="shared" ca="1" si="47"/>
        <v>0</v>
      </c>
      <c r="AN83" s="51">
        <f t="shared" ca="1" si="56"/>
        <v>0</v>
      </c>
      <c r="AO83" s="51">
        <f t="shared" ca="1" si="48"/>
        <v>0</v>
      </c>
      <c r="AP83" s="51">
        <f t="shared" ca="1" si="49"/>
        <v>0</v>
      </c>
      <c r="AQ83" s="51">
        <f t="shared" ca="1" si="50"/>
        <v>30</v>
      </c>
      <c r="AR83" s="51">
        <f t="shared" si="51"/>
        <v>20</v>
      </c>
      <c r="AS83" s="51">
        <f t="shared" ca="1" si="57"/>
        <v>30</v>
      </c>
      <c r="AT83" s="52"/>
      <c r="AU83" s="52"/>
      <c r="AV83" s="52"/>
      <c r="AW83" s="52"/>
      <c r="AX83" s="52"/>
      <c r="AY83" s="51">
        <f t="shared" ca="1" si="24"/>
        <v>0</v>
      </c>
      <c r="AZ83" s="52"/>
      <c r="BA83" s="52"/>
      <c r="BB83" s="73"/>
      <c r="BC83" s="73"/>
      <c r="BD83" s="73"/>
      <c r="BE83" s="52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2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3"/>
        <v xml:space="preserve"> </v>
      </c>
      <c r="I84" s="84">
        <f t="shared" ca="1" si="32"/>
        <v>0</v>
      </c>
      <c r="J84" s="84">
        <f t="shared" ca="1" si="33"/>
        <v>0</v>
      </c>
      <c r="K84" s="84">
        <v>0</v>
      </c>
      <c r="L84" s="84" t="str">
        <f t="shared" ca="1" si="34"/>
        <v xml:space="preserve"> </v>
      </c>
      <c r="M84" s="51">
        <v>60</v>
      </c>
      <c r="N84" s="51">
        <f t="shared" ca="1" si="35"/>
        <v>0</v>
      </c>
      <c r="O84" s="51">
        <f t="shared" ca="1" si="41"/>
        <v>20</v>
      </c>
      <c r="P84" s="56">
        <f t="shared" ca="1" si="42"/>
        <v>0</v>
      </c>
      <c r="Q84" s="56">
        <f t="shared" ca="1" si="43"/>
        <v>0</v>
      </c>
      <c r="R84" s="56">
        <f t="shared" ca="1" si="54"/>
        <v>0</v>
      </c>
      <c r="S84" s="56" t="str">
        <f t="shared" ca="1" si="25"/>
        <v xml:space="preserve"> </v>
      </c>
      <c r="T84" s="56" t="e">
        <f t="shared" ca="1" si="26"/>
        <v>#VALUE!</v>
      </c>
      <c r="U84" s="56">
        <f t="shared" ca="1" si="62"/>
        <v>0</v>
      </c>
      <c r="V84" s="56">
        <f t="shared" ca="1" si="63"/>
        <v>0</v>
      </c>
      <c r="W84" s="56">
        <f t="shared" ca="1" si="27"/>
        <v>0</v>
      </c>
      <c r="X84" s="56">
        <f t="shared" ca="1" si="28"/>
        <v>0</v>
      </c>
      <c r="Y84" s="56">
        <f t="shared" ca="1" si="17"/>
        <v>0</v>
      </c>
      <c r="Z84" s="56">
        <f t="shared" ca="1" si="29"/>
        <v>0</v>
      </c>
      <c r="AA84" s="56">
        <f t="shared" ca="1" si="18"/>
        <v>0</v>
      </c>
      <c r="AB84" s="56">
        <f t="shared" ca="1" si="64"/>
        <v>0</v>
      </c>
      <c r="AC84" s="56">
        <f t="shared" ca="1" si="44"/>
        <v>0</v>
      </c>
      <c r="AD84" s="56">
        <f t="shared" ca="1" si="45"/>
        <v>0</v>
      </c>
      <c r="AE84" s="56">
        <f t="shared" ca="1" si="31"/>
        <v>0</v>
      </c>
      <c r="AF84" s="56">
        <f t="shared" ca="1" si="19"/>
        <v>0</v>
      </c>
      <c r="AG84" s="56">
        <f t="shared" ca="1" si="30"/>
        <v>0</v>
      </c>
      <c r="AH84" s="56">
        <f t="shared" ca="1" si="20"/>
        <v>0</v>
      </c>
      <c r="AI84" s="56">
        <f t="shared" ca="1" si="46"/>
        <v>0</v>
      </c>
      <c r="AJ84" s="56">
        <f t="shared" ca="1" si="65"/>
        <v>0</v>
      </c>
      <c r="AK84" s="56">
        <f t="shared" ca="1" si="66"/>
        <v>0</v>
      </c>
      <c r="AL84" s="57">
        <f t="shared" ca="1" si="55"/>
        <v>0</v>
      </c>
      <c r="AM84" s="57">
        <f t="shared" ca="1" si="47"/>
        <v>0</v>
      </c>
      <c r="AN84" s="51">
        <f t="shared" ca="1" si="56"/>
        <v>0</v>
      </c>
      <c r="AO84" s="51">
        <f t="shared" ca="1" si="48"/>
        <v>0</v>
      </c>
      <c r="AP84" s="51">
        <f t="shared" ca="1" si="49"/>
        <v>0</v>
      </c>
      <c r="AQ84" s="51">
        <f t="shared" ca="1" si="50"/>
        <v>30</v>
      </c>
      <c r="AR84" s="51">
        <f t="shared" si="51"/>
        <v>20</v>
      </c>
      <c r="AS84" s="51">
        <f t="shared" ca="1" si="57"/>
        <v>30</v>
      </c>
      <c r="AT84" s="52"/>
      <c r="AU84" s="52"/>
      <c r="AV84" s="52"/>
      <c r="AW84" s="52"/>
      <c r="AX84" s="52"/>
      <c r="AY84" s="51">
        <f t="shared" ca="1" si="24"/>
        <v>0</v>
      </c>
      <c r="AZ84" s="52"/>
      <c r="BA84" s="52"/>
      <c r="BB84" s="73"/>
      <c r="BC84" s="73"/>
      <c r="BD84" s="73"/>
      <c r="BE84" s="52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2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3"/>
        <v xml:space="preserve"> </v>
      </c>
      <c r="I85" s="84">
        <f t="shared" ca="1" si="32"/>
        <v>0</v>
      </c>
      <c r="J85" s="84">
        <f t="shared" ca="1" si="33"/>
        <v>0</v>
      </c>
      <c r="K85" s="84">
        <v>0</v>
      </c>
      <c r="L85" s="84" t="str">
        <f t="shared" ca="1" si="34"/>
        <v xml:space="preserve"> </v>
      </c>
      <c r="M85" s="51">
        <v>61</v>
      </c>
      <c r="N85" s="51">
        <f t="shared" ca="1" si="35"/>
        <v>0</v>
      </c>
      <c r="O85" s="51">
        <f t="shared" ca="1" si="41"/>
        <v>20</v>
      </c>
      <c r="P85" s="56">
        <f t="shared" ca="1" si="42"/>
        <v>0</v>
      </c>
      <c r="Q85" s="56">
        <f t="shared" ca="1" si="43"/>
        <v>0</v>
      </c>
      <c r="R85" s="56">
        <f t="shared" ca="1" si="54"/>
        <v>0</v>
      </c>
      <c r="S85" s="56" t="str">
        <f t="shared" ca="1" si="25"/>
        <v xml:space="preserve"> </v>
      </c>
      <c r="T85" s="56" t="e">
        <f t="shared" ca="1" si="26"/>
        <v>#VALUE!</v>
      </c>
      <c r="U85" s="56">
        <f ca="1">IF(N86=1,R84*D$11*20/36000+R85*D$11*10/36000,IF(N86=0,IF(N85=0,0,IF(D64&gt;20,R84*D$11*20/36000+R85*D$11*(Q$12-20)/36000,R85*D$11*Q$12/36000))))</f>
        <v>0</v>
      </c>
      <c r="V85" s="56">
        <f ca="1">IF(N86=1,R84*D$11*20/36000+R85*D$11*10/36000,IF(N86=0,IF(N85=0,0,IF(D64&gt;20,R84*D$11*20/36000+R85*D$11*(Q$12-20)/36000,R85*D$11*Q$12/36000))))</f>
        <v>0</v>
      </c>
      <c r="W85" s="56">
        <f ca="1">IF(N86=1,D10*D$11*20/36000+D10*D$11*10/36000,IF(N86=0,IF(N85=0,0,D10*D$11*Q$12/36000)))</f>
        <v>0</v>
      </c>
      <c r="X85" s="56">
        <f t="shared" ca="1" si="28"/>
        <v>0</v>
      </c>
      <c r="Y85" s="56">
        <f t="shared" ca="1" si="17"/>
        <v>0</v>
      </c>
      <c r="Z85" s="56">
        <f ca="1">IF(N86=1,Y84*D$11*20/36000+Y85*D$11*10/36000,IF(N86=0,IF(N85=0,0,IF(D$16&gt;20,Y84*D$11*20/36000+Y85*D$11*(Q$12-20)/36000,Y85*D$11*Q$12/36000))))</f>
        <v>0</v>
      </c>
      <c r="AA85" s="56">
        <f t="shared" ca="1" si="18"/>
        <v>0</v>
      </c>
      <c r="AB85" s="56">
        <f ca="1">R85*Q$12</f>
        <v>0</v>
      </c>
      <c r="AC85" s="56">
        <f t="shared" ca="1" si="44"/>
        <v>0</v>
      </c>
      <c r="AD85" s="56">
        <f t="shared" ca="1" si="45"/>
        <v>0</v>
      </c>
      <c r="AE85" s="56">
        <f ca="1">IF(N86=1,D10*G$12*20/36000+D10*G$12*10/36000,IF(N86=0,IF(N85=0,0,D10*G$12*Q$12/36000)))</f>
        <v>0</v>
      </c>
      <c r="AF85" s="56">
        <f t="shared" ca="1" si="19"/>
        <v>0</v>
      </c>
      <c r="AG85" s="56">
        <f ca="1">IF(N86=1,Y84*G$12*20/36000+Y85*G$12*10/36000,IF(N86=0,IF(N85=0,0,Y85*G$12*Q$12/36000)))</f>
        <v>0</v>
      </c>
      <c r="AH85" s="56">
        <f t="shared" ca="1" si="20"/>
        <v>0</v>
      </c>
      <c r="AI85" s="56">
        <f t="shared" ca="1" si="46"/>
        <v>0</v>
      </c>
      <c r="AJ85" s="56">
        <f ca="1">IF(N86=1,AI84*G$12*20/36000+AI85*G$12*10/36000,IF(N86=0,IF(N85=0,0,AI85*G$12*Q$12/36000)))</f>
        <v>0</v>
      </c>
      <c r="AK85" s="56">
        <f ca="1">IF(N86=1,AI84*G$12*20/36000+AI85*G$12*10/36000,IF(N86=0,IF(N85=0,0,AI85*G$12*Q$12/36000)))</f>
        <v>0</v>
      </c>
      <c r="AL85" s="57">
        <f t="shared" ca="1" si="55"/>
        <v>0</v>
      </c>
      <c r="AM85" s="57">
        <f t="shared" ca="1" si="47"/>
        <v>0</v>
      </c>
      <c r="AN85" s="51">
        <f t="shared" ca="1" si="56"/>
        <v>0</v>
      </c>
      <c r="AO85" s="51">
        <f t="shared" ca="1" si="48"/>
        <v>0</v>
      </c>
      <c r="AP85" s="51">
        <f t="shared" ca="1" si="49"/>
        <v>0</v>
      </c>
      <c r="AQ85" s="51">
        <f t="shared" ca="1" si="50"/>
        <v>30</v>
      </c>
      <c r="AR85" s="51">
        <f t="shared" si="51"/>
        <v>20</v>
      </c>
      <c r="AS85" s="51">
        <f t="shared" ca="1" si="57"/>
        <v>30</v>
      </c>
      <c r="AT85" s="52"/>
      <c r="AU85" s="52"/>
      <c r="AV85" s="52"/>
      <c r="AW85" s="52"/>
      <c r="AX85" s="52"/>
      <c r="AY85" s="51">
        <f t="shared" ca="1" si="24"/>
        <v>0</v>
      </c>
      <c r="AZ85" s="52"/>
      <c r="BA85" s="52"/>
      <c r="BB85" s="73"/>
      <c r="BC85" s="73"/>
      <c r="BD85" s="73"/>
      <c r="BE85" s="52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3"/>
        <v xml:space="preserve"> </v>
      </c>
      <c r="I86" s="84">
        <f>IF(N86=1,IF(N87=1,IF(M86&lt;=D$15,T86,AV$26),D$10-AV$26*M$16+AV$26),0)</f>
        <v>0</v>
      </c>
      <c r="J86" s="66"/>
      <c r="K86" s="66"/>
      <c r="L86" s="66"/>
      <c r="M86" s="58">
        <f>IF(A94=0,0,62000)</f>
        <v>0</v>
      </c>
      <c r="N86" s="58"/>
      <c r="O86" s="58"/>
      <c r="P86" s="59">
        <f t="shared" ref="P86:AK86" ca="1" si="67">SUM(P25:P85)</f>
        <v>18243350</v>
      </c>
      <c r="Q86" s="59">
        <f t="shared" ca="1" si="67"/>
        <v>18243350</v>
      </c>
      <c r="R86" s="59">
        <f t="shared" ca="1" si="67"/>
        <v>260000220</v>
      </c>
      <c r="S86" s="59"/>
      <c r="T86" s="59"/>
      <c r="U86" s="59">
        <f t="shared" ca="1" si="67"/>
        <v>18243346.203333333</v>
      </c>
      <c r="V86" s="59">
        <f t="shared" ca="1" si="67"/>
        <v>18243346.203333333</v>
      </c>
      <c r="W86" s="59">
        <f t="shared" ca="1" si="67"/>
        <v>31113333.333333332</v>
      </c>
      <c r="X86" s="59">
        <f t="shared" ca="1" si="67"/>
        <v>31113330</v>
      </c>
      <c r="Y86" s="59"/>
      <c r="Z86" s="59"/>
      <c r="AA86" s="59"/>
      <c r="AB86" s="59">
        <f t="shared" ca="1" si="67"/>
        <v>8253338240</v>
      </c>
      <c r="AC86" s="59">
        <f t="shared" ca="1" si="67"/>
        <v>0</v>
      </c>
      <c r="AD86" s="59">
        <f t="shared" ca="1" si="67"/>
        <v>0</v>
      </c>
      <c r="AE86" s="59">
        <f t="shared" ca="1" si="67"/>
        <v>0</v>
      </c>
      <c r="AF86" s="59">
        <f t="shared" ca="1" si="67"/>
        <v>0</v>
      </c>
      <c r="AG86" s="59"/>
      <c r="AH86" s="59"/>
      <c r="AI86" s="59">
        <f t="shared" ca="1" si="67"/>
        <v>260000220</v>
      </c>
      <c r="AJ86" s="59">
        <f t="shared" ca="1" si="67"/>
        <v>0</v>
      </c>
      <c r="AK86" s="59">
        <f t="shared" ca="1" si="67"/>
        <v>0</v>
      </c>
      <c r="AL86" s="59"/>
      <c r="AM86" s="58"/>
      <c r="AN86" s="58"/>
      <c r="AO86" s="58"/>
      <c r="AP86" s="58"/>
      <c r="AQ86" s="58"/>
      <c r="AR86" s="58"/>
      <c r="AS86" s="58"/>
      <c r="AT86" s="60"/>
      <c r="AU86" s="60"/>
      <c r="AV86" s="60"/>
      <c r="AW86" s="60"/>
      <c r="AX86" s="60"/>
      <c r="AY86" s="58"/>
      <c r="AZ86" s="60"/>
      <c r="BA86" s="60"/>
      <c r="BB86" s="43"/>
      <c r="BC86" s="43"/>
      <c r="BD86" s="43"/>
      <c r="BE86" s="60"/>
    </row>
    <row r="87" spans="1:141" ht="88.5" hidden="1" customHeight="1">
      <c r="A87" s="28">
        <v>0</v>
      </c>
      <c r="B87" s="301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129</v>
      </c>
      <c r="O87" s="28" t="s">
        <v>129</v>
      </c>
      <c r="P87" s="28"/>
      <c r="Q87" s="28"/>
      <c r="BB87" s="73"/>
      <c r="BC87" s="73"/>
      <c r="BD87" s="73"/>
      <c r="BE87" s="1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  <c r="BB88" s="73"/>
      <c r="BC88" s="73"/>
      <c r="BD88" s="73"/>
      <c r="BE88" s="1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  <c r="BB89" s="73"/>
      <c r="BC89" s="73"/>
      <c r="BD89" s="73"/>
      <c r="BE89" s="1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  <c r="BB90" s="73"/>
      <c r="BC90" s="73"/>
      <c r="BD90" s="73"/>
      <c r="BE90" s="19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BB91" s="73"/>
      <c r="BC91" s="73"/>
      <c r="BD91" s="73"/>
      <c r="BE91" s="19"/>
    </row>
    <row r="92" spans="1:141" s="19" customFormat="1" ht="27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73"/>
      <c r="BC92" s="73"/>
      <c r="BD92" s="73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129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73"/>
      <c r="BC93" s="73"/>
      <c r="BD93" s="73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73"/>
      <c r="BC94" s="73"/>
      <c r="BD94" s="73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73"/>
      <c r="BC95" s="73"/>
      <c r="BD95" s="73"/>
    </row>
    <row r="96" spans="1:141" s="50" customFormat="1" ht="25.5" hidden="1" customHeight="1">
      <c r="A96" s="32">
        <f t="shared" ref="A96:A103" si="68">IF(LEFT(B96,1)="I",1,0)</f>
        <v>1</v>
      </c>
      <c r="B96" s="46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469"/>
      <c r="D96" s="469"/>
      <c r="E96" s="469"/>
      <c r="F96" s="469"/>
      <c r="G96" s="469"/>
      <c r="H96" s="469"/>
      <c r="I96" s="469"/>
      <c r="J96" s="469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Y96" s="49"/>
      <c r="BB96" s="116"/>
      <c r="BC96" s="116"/>
      <c r="BD96" s="116"/>
    </row>
    <row r="97" spans="1:56" s="50" customFormat="1" ht="25.5" hidden="1" customHeight="1">
      <c r="A97" s="105">
        <f t="shared" si="68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49"/>
      <c r="N97" s="62" t="s">
        <v>44</v>
      </c>
      <c r="O97" s="62" t="s">
        <v>120</v>
      </c>
      <c r="P97" s="62" t="s">
        <v>44</v>
      </c>
      <c r="Q97" s="62" t="s">
        <v>120</v>
      </c>
      <c r="R97" s="62" t="s">
        <v>119</v>
      </c>
      <c r="S97" s="62"/>
      <c r="T97" s="62"/>
      <c r="U97" s="62" t="s">
        <v>45</v>
      </c>
      <c r="V97" s="62" t="s">
        <v>45</v>
      </c>
      <c r="W97" s="62"/>
      <c r="X97" s="62"/>
      <c r="Y97" s="62"/>
      <c r="Z97" s="62"/>
      <c r="AA97" s="62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34"/>
      <c r="AU97" s="34"/>
      <c r="AV97" s="34"/>
      <c r="AW97" s="34"/>
      <c r="AX97" s="34"/>
      <c r="AY97" s="65"/>
      <c r="AZ97" s="34"/>
      <c r="BA97" s="34"/>
      <c r="BB97" s="117"/>
      <c r="BC97" s="117"/>
      <c r="BD97" s="117"/>
    </row>
    <row r="98" spans="1:56" s="34" customFormat="1" ht="25.5" hidden="1" customHeight="1">
      <c r="A98" s="105">
        <f t="shared" si="68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61" t="s">
        <v>48</v>
      </c>
      <c r="V98" s="61" t="s">
        <v>48</v>
      </c>
      <c r="W98" s="61"/>
      <c r="X98" s="61"/>
      <c r="Y98" s="61"/>
      <c r="Z98" s="61"/>
      <c r="AA98" s="61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B98" s="116"/>
      <c r="BC98" s="116"/>
      <c r="BD98" s="116"/>
    </row>
    <row r="99" spans="1:56" s="34" customFormat="1" ht="25.5" hidden="1" customHeight="1">
      <c r="A99" s="32">
        <f t="shared" si="68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62" t="s">
        <v>99</v>
      </c>
      <c r="V99" s="62" t="s">
        <v>99</v>
      </c>
      <c r="W99" s="62"/>
      <c r="X99" s="62"/>
      <c r="Y99" s="62"/>
      <c r="Z99" s="62"/>
      <c r="AA99" s="62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B99" s="117"/>
      <c r="BC99" s="117"/>
      <c r="BD99" s="117"/>
    </row>
    <row r="100" spans="1:56" s="50" customFormat="1" ht="25.5" hidden="1" customHeight="1">
      <c r="A100" s="32">
        <f t="shared" si="68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Y100" s="49"/>
      <c r="BB100" s="117"/>
      <c r="BC100" s="117"/>
      <c r="BD100" s="117"/>
    </row>
    <row r="101" spans="1:56" s="50" customFormat="1" ht="25.5" hidden="1" customHeight="1">
      <c r="A101" s="105">
        <f t="shared" si="68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49"/>
      <c r="N101" s="62" t="s">
        <v>57</v>
      </c>
      <c r="O101" s="62" t="s">
        <v>57</v>
      </c>
      <c r="P101" s="62" t="s">
        <v>56</v>
      </c>
      <c r="Q101" s="62" t="s">
        <v>57</v>
      </c>
      <c r="R101" s="62" t="s">
        <v>53</v>
      </c>
      <c r="S101" s="62"/>
      <c r="T101" s="62"/>
      <c r="U101" s="62" t="s">
        <v>106</v>
      </c>
      <c r="V101" s="62" t="s">
        <v>106</v>
      </c>
      <c r="W101" s="62"/>
      <c r="X101" s="62"/>
      <c r="Y101" s="62"/>
      <c r="Z101" s="62"/>
      <c r="AA101" s="62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34"/>
      <c r="AU101" s="34"/>
      <c r="AV101" s="34"/>
      <c r="AW101" s="34"/>
      <c r="AX101" s="34"/>
      <c r="AY101" s="65"/>
      <c r="AZ101" s="34"/>
      <c r="BA101" s="34"/>
      <c r="BB101" s="117"/>
      <c r="BC101" s="117"/>
      <c r="BD101" s="117"/>
    </row>
    <row r="102" spans="1:56" s="34" customFormat="1" ht="25.5" hidden="1" customHeight="1">
      <c r="A102" s="105">
        <f t="shared" si="68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61" t="s">
        <v>61</v>
      </c>
      <c r="V102" s="61" t="s">
        <v>62</v>
      </c>
      <c r="W102" s="61"/>
      <c r="X102" s="61"/>
      <c r="Y102" s="61"/>
      <c r="Z102" s="61"/>
      <c r="AA102" s="61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B102" s="116"/>
      <c r="BC102" s="116"/>
      <c r="BD102" s="116"/>
    </row>
    <row r="103" spans="1:56" s="34" customFormat="1" ht="25.5" hidden="1" customHeight="1">
      <c r="A103" s="32">
        <f t="shared" si="68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61" t="s">
        <v>61</v>
      </c>
      <c r="W103" s="61"/>
      <c r="X103" s="61"/>
      <c r="Y103" s="61"/>
      <c r="Z103" s="61"/>
      <c r="AA103" s="61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B103" s="116"/>
      <c r="BC103" s="116"/>
      <c r="BD103" s="116"/>
    </row>
    <row r="104" spans="1:56" s="34" customFormat="1" ht="25.5" hidden="1" customHeight="1">
      <c r="A104" s="32"/>
      <c r="B104" s="299" t="str">
        <f t="shared" ref="B104:B119" si="69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61"/>
      <c r="W104" s="61"/>
      <c r="X104" s="61"/>
      <c r="Y104" s="61"/>
      <c r="Z104" s="61"/>
      <c r="AA104" s="61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B104" s="116"/>
      <c r="BC104" s="116"/>
      <c r="BD104" s="116"/>
    </row>
    <row r="105" spans="1:56" s="50" customFormat="1" ht="25.5" hidden="1" customHeight="1">
      <c r="A105" s="32">
        <f t="shared" ref="A105:A119" si="70">IF(LEFT(B105,1)="I",1,0)</f>
        <v>0</v>
      </c>
      <c r="B105" s="299" t="str">
        <f t="shared" si="69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Y105" s="49"/>
      <c r="BB105" s="117"/>
      <c r="BC105" s="117"/>
      <c r="BD105" s="117"/>
    </row>
    <row r="106" spans="1:56" s="50" customFormat="1" ht="25.5" hidden="1" customHeight="1">
      <c r="A106" s="105">
        <f t="shared" si="70"/>
        <v>0</v>
      </c>
      <c r="B106" s="299" t="str">
        <f t="shared" si="69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49"/>
      <c r="N106" s="62" t="s">
        <v>122</v>
      </c>
      <c r="O106" s="62" t="s">
        <v>122</v>
      </c>
      <c r="P106" s="62" t="s">
        <v>122</v>
      </c>
      <c r="Q106" s="62" t="s">
        <v>122</v>
      </c>
      <c r="R106" s="62" t="s">
        <v>127</v>
      </c>
      <c r="S106" s="62"/>
      <c r="T106" s="62"/>
      <c r="U106" s="62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34"/>
      <c r="AU106" s="34"/>
      <c r="AV106" s="34"/>
      <c r="AW106" s="34"/>
      <c r="AX106" s="34"/>
      <c r="AY106" s="65"/>
      <c r="AZ106" s="34"/>
      <c r="BA106" s="34"/>
      <c r="BB106" s="117"/>
      <c r="BC106" s="117"/>
      <c r="BD106" s="117"/>
    </row>
    <row r="107" spans="1:56" s="34" customFormat="1" ht="25.5" hidden="1" customHeight="1">
      <c r="A107" s="105">
        <f t="shared" si="70"/>
        <v>0</v>
      </c>
      <c r="B107" s="299" t="str">
        <f t="shared" si="69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61" t="s">
        <v>48</v>
      </c>
      <c r="S107" s="61"/>
      <c r="T107" s="61"/>
      <c r="U107" s="62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B107" s="117"/>
      <c r="BC107" s="117"/>
      <c r="BD107" s="117"/>
    </row>
    <row r="108" spans="1:56" s="50" customFormat="1" ht="25.5" hidden="1" customHeight="1">
      <c r="A108" s="32">
        <f t="shared" si="70"/>
        <v>0</v>
      </c>
      <c r="B108" s="299" t="str">
        <f t="shared" si="69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Y108" s="49"/>
      <c r="BB108" s="117"/>
      <c r="BC108" s="117"/>
      <c r="BD108" s="117"/>
    </row>
    <row r="109" spans="1:56" s="34" customFormat="1" ht="25.5" hidden="1" customHeight="1">
      <c r="A109" s="105">
        <f t="shared" si="70"/>
        <v>0</v>
      </c>
      <c r="B109" s="299" t="str">
        <f t="shared" si="69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49"/>
      <c r="N109" s="62" t="s">
        <v>65</v>
      </c>
      <c r="O109" s="62" t="s">
        <v>125</v>
      </c>
      <c r="P109" s="62" t="s">
        <v>65</v>
      </c>
      <c r="Q109" s="62" t="s">
        <v>125</v>
      </c>
      <c r="R109" s="62" t="s">
        <v>66</v>
      </c>
      <c r="S109" s="62"/>
      <c r="T109" s="62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0"/>
      <c r="AV109" s="50"/>
      <c r="AW109" s="50"/>
      <c r="AX109" s="50"/>
      <c r="AY109" s="49"/>
      <c r="AZ109" s="50"/>
      <c r="BA109" s="50"/>
      <c r="BB109" s="116"/>
      <c r="BC109" s="116"/>
      <c r="BD109" s="116"/>
    </row>
    <row r="110" spans="1:56" s="34" customFormat="1" ht="25.5" hidden="1" customHeight="1">
      <c r="A110" s="32">
        <f t="shared" si="70"/>
        <v>0</v>
      </c>
      <c r="B110" s="299" t="str">
        <f t="shared" si="69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49"/>
      <c r="N110" s="62" t="s">
        <v>67</v>
      </c>
      <c r="O110" s="62" t="s">
        <v>126</v>
      </c>
      <c r="P110" s="62" t="s">
        <v>67</v>
      </c>
      <c r="Q110" s="62" t="s">
        <v>126</v>
      </c>
      <c r="R110" s="62" t="s">
        <v>106</v>
      </c>
      <c r="S110" s="62"/>
      <c r="T110" s="62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50"/>
      <c r="AU110" s="50"/>
      <c r="AV110" s="50"/>
      <c r="AW110" s="50"/>
      <c r="AX110" s="50"/>
      <c r="AY110" s="49"/>
      <c r="AZ110" s="50"/>
      <c r="BA110" s="50"/>
      <c r="BB110" s="117"/>
      <c r="BC110" s="117"/>
      <c r="BD110" s="117"/>
    </row>
    <row r="111" spans="1:56" s="50" customFormat="1" ht="25.5" hidden="1" customHeight="1">
      <c r="A111" s="32">
        <f t="shared" si="70"/>
        <v>0</v>
      </c>
      <c r="B111" s="299" t="str">
        <f t="shared" si="69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49"/>
      <c r="N111" s="62" t="s">
        <v>68</v>
      </c>
      <c r="O111" s="62" t="s">
        <v>127</v>
      </c>
      <c r="P111" s="62" t="s">
        <v>68</v>
      </c>
      <c r="Q111" s="62" t="s">
        <v>127</v>
      </c>
      <c r="R111" s="33" t="s">
        <v>61</v>
      </c>
      <c r="S111" s="33"/>
      <c r="T111" s="33"/>
      <c r="U111" s="49" t="s">
        <v>36</v>
      </c>
      <c r="V111" s="62" t="s">
        <v>54</v>
      </c>
      <c r="W111" s="62"/>
      <c r="X111" s="62"/>
      <c r="Y111" s="62"/>
      <c r="Z111" s="62"/>
      <c r="AA111" s="62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34"/>
      <c r="AU111" s="34"/>
      <c r="AV111" s="34"/>
      <c r="AW111" s="34"/>
      <c r="AX111" s="34"/>
      <c r="AY111" s="65"/>
      <c r="AZ111" s="34"/>
      <c r="BA111" s="34"/>
      <c r="BB111" s="117"/>
      <c r="BC111" s="117"/>
      <c r="BD111" s="117"/>
    </row>
    <row r="112" spans="1:56" s="34" customFormat="1" ht="25.5" hidden="1" customHeight="1">
      <c r="A112" s="105">
        <f t="shared" si="70"/>
        <v>0</v>
      </c>
      <c r="B112" s="299" t="str">
        <f t="shared" si="69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49" t="s">
        <v>36</v>
      </c>
      <c r="S112" s="49"/>
      <c r="T112" s="49"/>
      <c r="U112" s="49" t="s">
        <v>36</v>
      </c>
      <c r="V112" s="62" t="s">
        <v>73</v>
      </c>
      <c r="W112" s="62"/>
      <c r="X112" s="62"/>
      <c r="Y112" s="62"/>
      <c r="Z112" s="62"/>
      <c r="AA112" s="62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B112" s="117"/>
      <c r="BC112" s="117"/>
      <c r="BD112" s="117"/>
    </row>
    <row r="113" spans="1:56" s="50" customFormat="1" ht="25.5" hidden="1" customHeight="1">
      <c r="A113" s="32">
        <f t="shared" si="70"/>
        <v>0</v>
      </c>
      <c r="B113" s="299" t="str">
        <f t="shared" si="69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Y113" s="49"/>
      <c r="BB113" s="117"/>
      <c r="BC113" s="117"/>
      <c r="BD113" s="117"/>
    </row>
    <row r="114" spans="1:56" s="34" customFormat="1" ht="25.5" hidden="1" customHeight="1">
      <c r="A114" s="105">
        <f t="shared" si="70"/>
        <v>0</v>
      </c>
      <c r="B114" s="299" t="str">
        <f t="shared" si="69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49"/>
      <c r="N114" s="62" t="s">
        <v>115</v>
      </c>
      <c r="O114" s="62" t="s">
        <v>94</v>
      </c>
      <c r="P114" s="62" t="s">
        <v>115</v>
      </c>
      <c r="Q114" s="62" t="s">
        <v>94</v>
      </c>
      <c r="R114" s="33" t="s">
        <v>36</v>
      </c>
      <c r="S114" s="33"/>
      <c r="T114" s="33"/>
      <c r="U114" s="33" t="s">
        <v>36</v>
      </c>
      <c r="V114" s="49" t="s">
        <v>36</v>
      </c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50"/>
      <c r="AU114" s="50"/>
      <c r="AV114" s="50"/>
      <c r="AW114" s="50"/>
      <c r="AX114" s="50"/>
      <c r="AY114" s="49"/>
      <c r="AZ114" s="50"/>
      <c r="BA114" s="50"/>
      <c r="BB114" s="116"/>
      <c r="BC114" s="116"/>
      <c r="BD114" s="116"/>
    </row>
    <row r="115" spans="1:56" s="50" customFormat="1" ht="25.5" hidden="1" customHeight="1">
      <c r="A115" s="32">
        <f t="shared" si="70"/>
        <v>1</v>
      </c>
      <c r="B115" s="299" t="str">
        <f t="shared" si="69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49"/>
      <c r="N115" s="61" t="s">
        <v>48</v>
      </c>
      <c r="O115" s="61" t="s">
        <v>48</v>
      </c>
      <c r="P115" s="61" t="s">
        <v>48</v>
      </c>
      <c r="Q115" s="61" t="s">
        <v>48</v>
      </c>
      <c r="R115" s="61" t="s">
        <v>36</v>
      </c>
      <c r="S115" s="61"/>
      <c r="T115" s="61"/>
      <c r="U115" s="61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34"/>
      <c r="AU115" s="34"/>
      <c r="AV115" s="34"/>
      <c r="AW115" s="34"/>
      <c r="AX115" s="34"/>
      <c r="AY115" s="65"/>
      <c r="AZ115" s="34"/>
      <c r="BA115" s="34"/>
      <c r="BB115" s="116"/>
      <c r="BC115" s="116"/>
      <c r="BD115" s="116"/>
    </row>
    <row r="116" spans="1:56" s="34" customFormat="1" ht="25.5" hidden="1" customHeight="1">
      <c r="A116" s="105">
        <f t="shared" si="70"/>
        <v>0</v>
      </c>
      <c r="B116" s="299" t="str">
        <f t="shared" si="69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61" t="s">
        <v>36</v>
      </c>
      <c r="S116" s="61"/>
      <c r="T116" s="61"/>
      <c r="U116" s="61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B116" s="116"/>
      <c r="BC116" s="116"/>
      <c r="BD116" s="116"/>
    </row>
    <row r="117" spans="1:56" s="34" customFormat="1" ht="25.5" hidden="1" customHeight="1">
      <c r="A117" s="32">
        <f t="shared" si="70"/>
        <v>0</v>
      </c>
      <c r="B117" s="299" t="str">
        <f t="shared" si="69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61" t="s">
        <v>36</v>
      </c>
      <c r="S117" s="61"/>
      <c r="T117" s="61"/>
      <c r="U117" s="61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B117" s="116"/>
      <c r="BC117" s="116"/>
      <c r="BD117" s="116"/>
    </row>
    <row r="118" spans="1:56" s="34" customFormat="1" ht="25.5" hidden="1" customHeight="1">
      <c r="A118" s="32">
        <f t="shared" si="70"/>
        <v>0</v>
      </c>
      <c r="B118" s="299" t="str">
        <f t="shared" si="69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61" t="s">
        <v>36</v>
      </c>
      <c r="S118" s="61"/>
      <c r="T118" s="61"/>
      <c r="U118" s="61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B118" s="116"/>
      <c r="BC118" s="116"/>
      <c r="BD118" s="116"/>
    </row>
    <row r="119" spans="1:56" s="34" customFormat="1" ht="25.5" hidden="1" customHeight="1">
      <c r="A119" s="32">
        <f t="shared" si="70"/>
        <v>0</v>
      </c>
      <c r="B119" s="299" t="str">
        <f t="shared" si="69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61" t="s">
        <v>61</v>
      </c>
      <c r="Q119" s="61" t="s">
        <v>61</v>
      </c>
      <c r="R119" s="61" t="s">
        <v>36</v>
      </c>
      <c r="S119" s="61"/>
      <c r="T119" s="61"/>
      <c r="U119" s="61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B119" s="116"/>
      <c r="BC119" s="116"/>
      <c r="BD119" s="116"/>
    </row>
    <row r="120" spans="1:56" s="34" customFormat="1" ht="37.5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61"/>
      <c r="Q120" s="61"/>
      <c r="R120" s="61"/>
      <c r="S120" s="61"/>
      <c r="T120" s="61"/>
      <c r="U120" s="61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B120" s="116"/>
      <c r="BC120" s="116"/>
      <c r="BD120" s="116"/>
    </row>
    <row r="121" spans="1:56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61"/>
      <c r="Q121" s="61"/>
      <c r="R121" s="61"/>
      <c r="S121" s="61"/>
      <c r="T121" s="61"/>
      <c r="U121" s="61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B121" s="116"/>
      <c r="BC121" s="116"/>
      <c r="BD121" s="116"/>
    </row>
    <row r="122" spans="1:56" s="34" customFormat="1" ht="36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61"/>
      <c r="Q122" s="61"/>
      <c r="R122" s="61"/>
      <c r="S122" s="61"/>
      <c r="T122" s="61"/>
      <c r="U122" s="61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B122" s="116"/>
      <c r="BC122" s="116"/>
      <c r="BD122" s="116"/>
    </row>
    <row r="123" spans="1:56" s="34" customFormat="1" ht="56.2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61"/>
      <c r="Q123" s="61"/>
      <c r="R123" s="61"/>
      <c r="S123" s="61"/>
      <c r="T123" s="61"/>
      <c r="U123" s="61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B123" s="116"/>
      <c r="BC123" s="116"/>
      <c r="BD123" s="116"/>
    </row>
    <row r="124" spans="1:56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61"/>
      <c r="Q124" s="61"/>
      <c r="R124" s="61"/>
      <c r="S124" s="61"/>
      <c r="T124" s="61"/>
      <c r="U124" s="61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B124" s="116"/>
      <c r="BC124" s="116"/>
      <c r="BD124" s="116"/>
    </row>
    <row r="125" spans="1:56" s="34" customFormat="1" ht="33.75" customHeight="1">
      <c r="A125" s="32"/>
      <c r="B125" s="456" t="s">
        <v>156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61"/>
      <c r="Q125" s="61"/>
      <c r="R125" s="61"/>
      <c r="S125" s="61"/>
      <c r="T125" s="61"/>
      <c r="U125" s="61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B125" s="116"/>
      <c r="BC125" s="116"/>
      <c r="BD125" s="116"/>
    </row>
    <row r="126" spans="1:56" s="34" customFormat="1" ht="46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61"/>
      <c r="Q126" s="61"/>
      <c r="R126" s="61"/>
      <c r="S126" s="61"/>
      <c r="T126" s="61"/>
      <c r="U126" s="61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B126" s="116"/>
      <c r="BC126" s="116"/>
      <c r="BD126" s="116"/>
    </row>
    <row r="127" spans="1:56" s="34" customFormat="1" ht="32.2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61"/>
      <c r="Q127" s="61"/>
      <c r="R127" s="61"/>
      <c r="S127" s="61"/>
      <c r="T127" s="61"/>
      <c r="U127" s="61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B127" s="116"/>
      <c r="BC127" s="116"/>
      <c r="BD127" s="116"/>
    </row>
    <row r="128" spans="1:56" s="34" customFormat="1" ht="38.2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61"/>
      <c r="Q128" s="61"/>
      <c r="R128" s="61"/>
      <c r="S128" s="61"/>
      <c r="T128" s="61"/>
      <c r="U128" s="61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B128" s="116"/>
      <c r="BC128" s="116"/>
      <c r="BD128" s="116"/>
    </row>
    <row r="129" spans="1:56" s="34" customFormat="1" ht="24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61"/>
      <c r="Q129" s="61"/>
      <c r="R129" s="61"/>
      <c r="S129" s="61"/>
      <c r="T129" s="61"/>
      <c r="U129" s="61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B129" s="116"/>
      <c r="BC129" s="116"/>
      <c r="BD129" s="116"/>
    </row>
    <row r="130" spans="1:56" s="34" customFormat="1" ht="38.25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61"/>
      <c r="Q130" s="61"/>
      <c r="R130" s="61"/>
      <c r="S130" s="61"/>
      <c r="T130" s="61"/>
      <c r="U130" s="61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B130" s="116"/>
      <c r="BC130" s="116"/>
      <c r="BD130" s="116"/>
    </row>
    <row r="131" spans="1:56" s="34" customFormat="1" ht="39.7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61"/>
      <c r="Q131" s="61"/>
      <c r="R131" s="61"/>
      <c r="S131" s="61"/>
      <c r="T131" s="61"/>
      <c r="U131" s="61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B131" s="116"/>
      <c r="BC131" s="116"/>
      <c r="BD131" s="116"/>
    </row>
    <row r="132" spans="1:56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61"/>
      <c r="Q132" s="61"/>
      <c r="R132" s="61"/>
      <c r="S132" s="61"/>
      <c r="T132" s="61"/>
      <c r="U132" s="61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B132" s="116"/>
      <c r="BC132" s="116"/>
      <c r="BD132" s="116"/>
    </row>
    <row r="133" spans="1:56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61"/>
      <c r="Q133" s="61"/>
      <c r="R133" s="61"/>
      <c r="S133" s="61"/>
      <c r="T133" s="61"/>
      <c r="U133" s="61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B133" s="116"/>
      <c r="BC133" s="116"/>
      <c r="BD133" s="116"/>
    </row>
    <row r="134" spans="1:56" s="34" customFormat="1" ht="18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61"/>
      <c r="Q134" s="61"/>
      <c r="R134" s="61"/>
      <c r="S134" s="61"/>
      <c r="T134" s="61"/>
      <c r="U134" s="61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B134" s="116"/>
      <c r="BC134" s="116"/>
      <c r="BD134" s="116"/>
    </row>
    <row r="135" spans="1:56" s="34" customFormat="1" ht="30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61"/>
      <c r="Q135" s="61"/>
      <c r="R135" s="61"/>
      <c r="S135" s="61"/>
      <c r="T135" s="61"/>
      <c r="U135" s="61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B135" s="116"/>
      <c r="BC135" s="116"/>
      <c r="BD135" s="116"/>
    </row>
    <row r="136" spans="1:56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61"/>
      <c r="Q136" s="61"/>
      <c r="R136" s="61"/>
      <c r="S136" s="61"/>
      <c r="T136" s="61"/>
      <c r="U136" s="61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B136" s="116"/>
      <c r="BC136" s="116"/>
      <c r="BD136" s="116"/>
    </row>
    <row r="137" spans="1:56" s="34" customFormat="1" ht="48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61"/>
      <c r="Q137" s="61"/>
      <c r="R137" s="61"/>
      <c r="S137" s="61"/>
      <c r="T137" s="61"/>
      <c r="U137" s="61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B137" s="116"/>
      <c r="BC137" s="116"/>
      <c r="BD137" s="116"/>
    </row>
    <row r="138" spans="1:56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61"/>
      <c r="Q138" s="61"/>
      <c r="R138" s="61"/>
      <c r="S138" s="61"/>
      <c r="T138" s="61"/>
      <c r="U138" s="61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B138" s="116"/>
      <c r="BC138" s="116"/>
      <c r="BD138" s="116"/>
    </row>
    <row r="139" spans="1:56" s="34" customFormat="1" ht="11.2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61"/>
      <c r="Q139" s="61"/>
      <c r="R139" s="61"/>
      <c r="S139" s="61"/>
      <c r="T139" s="61"/>
      <c r="U139" s="61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B139" s="116"/>
      <c r="BC139" s="116"/>
      <c r="BD139" s="116"/>
    </row>
    <row r="140" spans="1:56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61"/>
      <c r="Q140" s="61"/>
      <c r="R140" s="61"/>
      <c r="S140" s="61"/>
      <c r="T140" s="61"/>
      <c r="U140" s="61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B140" s="116"/>
      <c r="BC140" s="116"/>
      <c r="BD140" s="116"/>
    </row>
    <row r="141" spans="1:56" s="34" customFormat="1" ht="1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61"/>
      <c r="Q141" s="61"/>
      <c r="R141" s="61"/>
      <c r="S141" s="61"/>
      <c r="T141" s="61"/>
      <c r="U141" s="61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B141" s="116"/>
      <c r="BC141" s="116"/>
      <c r="BD141" s="116"/>
    </row>
    <row r="142" spans="1:56" s="34" customFormat="1" ht="32.2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61"/>
      <c r="Q142" s="61"/>
      <c r="R142" s="61"/>
      <c r="S142" s="61"/>
      <c r="T142" s="61"/>
      <c r="U142" s="61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B142" s="116"/>
      <c r="BC142" s="116"/>
      <c r="BD142" s="116"/>
    </row>
    <row r="143" spans="1:56" s="34" customFormat="1" ht="35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61"/>
      <c r="Q143" s="61"/>
      <c r="R143" s="61"/>
      <c r="S143" s="61"/>
      <c r="T143" s="61"/>
      <c r="U143" s="61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B143" s="116"/>
      <c r="BC143" s="116"/>
      <c r="BD143" s="116"/>
    </row>
    <row r="144" spans="1:56" s="34" customFormat="1" ht="39.7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61"/>
      <c r="Q144" s="61"/>
      <c r="R144" s="61"/>
      <c r="S144" s="61"/>
      <c r="T144" s="61"/>
      <c r="U144" s="61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B144" s="116"/>
      <c r="BC144" s="116"/>
      <c r="BD144" s="116"/>
    </row>
    <row r="145" spans="1:56" s="34" customFormat="1" ht="52.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61"/>
      <c r="Q145" s="61"/>
      <c r="R145" s="61"/>
      <c r="S145" s="61"/>
      <c r="T145" s="61"/>
      <c r="U145" s="61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B145" s="116"/>
      <c r="BC145" s="116"/>
      <c r="BD145" s="116"/>
    </row>
    <row r="146" spans="1:56" s="34" customFormat="1" ht="27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61"/>
      <c r="Q146" s="61"/>
      <c r="R146" s="61"/>
      <c r="S146" s="61"/>
      <c r="T146" s="61"/>
      <c r="U146" s="61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B146" s="116"/>
      <c r="BC146" s="116"/>
      <c r="BD146" s="116"/>
    </row>
    <row r="147" spans="1:56" s="34" customFormat="1" ht="80.2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61"/>
      <c r="Q147" s="61"/>
      <c r="R147" s="61"/>
      <c r="S147" s="61"/>
      <c r="T147" s="61"/>
      <c r="U147" s="61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B147" s="116"/>
      <c r="BC147" s="116"/>
      <c r="BD147" s="116"/>
    </row>
    <row r="148" spans="1:56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61"/>
      <c r="Q148" s="61"/>
      <c r="R148" s="61"/>
      <c r="S148" s="61"/>
      <c r="T148" s="61"/>
      <c r="U148" s="61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B148" s="116"/>
      <c r="BC148" s="116"/>
      <c r="BD148" s="116"/>
    </row>
    <row r="149" spans="1:56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6" ht="16.5" thickBot="1">
      <c r="A150" s="2"/>
      <c r="B150" s="465">
        <f ca="1">IF(A150=0,TODAY(),A150)</f>
        <v>45294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N1:Q1"/>
    <mergeCell ref="B7:C7"/>
    <mergeCell ref="D7:F7"/>
    <mergeCell ref="B5:I5"/>
    <mergeCell ref="F1:H4"/>
    <mergeCell ref="B15:C15"/>
    <mergeCell ref="D15:E15"/>
    <mergeCell ref="B8:C8"/>
    <mergeCell ref="D8:F8"/>
    <mergeCell ref="B10:C10"/>
    <mergeCell ref="D10:E10"/>
    <mergeCell ref="B13:C13"/>
    <mergeCell ref="D13:F13"/>
    <mergeCell ref="M11:P11"/>
    <mergeCell ref="B12:C12"/>
    <mergeCell ref="D12:E12"/>
    <mergeCell ref="M12:P12"/>
    <mergeCell ref="B11:C11"/>
    <mergeCell ref="D11:E11"/>
    <mergeCell ref="D17:F17"/>
    <mergeCell ref="D19:F19"/>
    <mergeCell ref="D22:E22"/>
    <mergeCell ref="B25:C25"/>
    <mergeCell ref="D20:F20"/>
    <mergeCell ref="B14:C14"/>
    <mergeCell ref="D14:E14"/>
    <mergeCell ref="D18:F18"/>
    <mergeCell ref="B16:C16"/>
    <mergeCell ref="D25:E25"/>
    <mergeCell ref="B18:C18"/>
    <mergeCell ref="B17:C17"/>
    <mergeCell ref="D16:E16"/>
    <mergeCell ref="B34:C34"/>
    <mergeCell ref="D34:E34"/>
    <mergeCell ref="D21:F21"/>
    <mergeCell ref="B26:C26"/>
    <mergeCell ref="B33:C33"/>
    <mergeCell ref="D33:E33"/>
    <mergeCell ref="B23:C24"/>
    <mergeCell ref="D23:H23"/>
    <mergeCell ref="B32:C32"/>
    <mergeCell ref="D32:E32"/>
    <mergeCell ref="D24:E24"/>
    <mergeCell ref="D26:E26"/>
    <mergeCell ref="B27:C27"/>
    <mergeCell ref="D27:E27"/>
    <mergeCell ref="B28:C28"/>
    <mergeCell ref="B29:C29"/>
    <mergeCell ref="D29:E29"/>
    <mergeCell ref="D28:E28"/>
    <mergeCell ref="B31:C31"/>
    <mergeCell ref="D31:E31"/>
    <mergeCell ref="B30:C30"/>
    <mergeCell ref="D30:E30"/>
    <mergeCell ref="B35:C35"/>
    <mergeCell ref="D35:E35"/>
    <mergeCell ref="B43:C43"/>
    <mergeCell ref="D43:E43"/>
    <mergeCell ref="B40:C40"/>
    <mergeCell ref="D40:E40"/>
    <mergeCell ref="B41:C41"/>
    <mergeCell ref="D41:E41"/>
    <mergeCell ref="B39:C39"/>
    <mergeCell ref="B36:C36"/>
    <mergeCell ref="D44:E44"/>
    <mergeCell ref="B45:C45"/>
    <mergeCell ref="D45:E45"/>
    <mergeCell ref="B46:C46"/>
    <mergeCell ref="D46:E46"/>
    <mergeCell ref="B44:C44"/>
    <mergeCell ref="D36:E36"/>
    <mergeCell ref="B42:C42"/>
    <mergeCell ref="D42:E42"/>
    <mergeCell ref="B37:C37"/>
    <mergeCell ref="D37:E37"/>
    <mergeCell ref="B38:C38"/>
    <mergeCell ref="D38:E38"/>
    <mergeCell ref="D39:E39"/>
    <mergeCell ref="B58:C58"/>
    <mergeCell ref="D58:E58"/>
    <mergeCell ref="B54:C54"/>
    <mergeCell ref="D54:E54"/>
    <mergeCell ref="B55:C55"/>
    <mergeCell ref="D55:E55"/>
    <mergeCell ref="B51:C51"/>
    <mergeCell ref="D51:E51"/>
    <mergeCell ref="B47:C47"/>
    <mergeCell ref="D47:E47"/>
    <mergeCell ref="B48:C48"/>
    <mergeCell ref="D48:E48"/>
    <mergeCell ref="B49:C49"/>
    <mergeCell ref="D49:E49"/>
    <mergeCell ref="B50:C50"/>
    <mergeCell ref="D50:E50"/>
    <mergeCell ref="B52:C52"/>
    <mergeCell ref="D52:E52"/>
    <mergeCell ref="B57:C57"/>
    <mergeCell ref="D57:E57"/>
    <mergeCell ref="B53:C53"/>
    <mergeCell ref="D53:E53"/>
    <mergeCell ref="B56:C56"/>
    <mergeCell ref="D56:E56"/>
    <mergeCell ref="B69:C69"/>
    <mergeCell ref="B70:C70"/>
    <mergeCell ref="B68:C68"/>
    <mergeCell ref="D68:E68"/>
    <mergeCell ref="B66:C66"/>
    <mergeCell ref="D66:E66"/>
    <mergeCell ref="B67:C67"/>
    <mergeCell ref="B59:C59"/>
    <mergeCell ref="D59:E59"/>
    <mergeCell ref="D62:E62"/>
    <mergeCell ref="B63:C63"/>
    <mergeCell ref="D63:E63"/>
    <mergeCell ref="B60:C60"/>
    <mergeCell ref="D60:E60"/>
    <mergeCell ref="B61:C61"/>
    <mergeCell ref="D61:E61"/>
    <mergeCell ref="B62:C62"/>
    <mergeCell ref="P94:Q94"/>
    <mergeCell ref="N94:O94"/>
    <mergeCell ref="D85:E85"/>
    <mergeCell ref="D82:E82"/>
    <mergeCell ref="B93:K93"/>
    <mergeCell ref="B82:C82"/>
    <mergeCell ref="B92:J92"/>
    <mergeCell ref="B74:C74"/>
    <mergeCell ref="D79:E79"/>
    <mergeCell ref="B76:C76"/>
    <mergeCell ref="D76:E76"/>
    <mergeCell ref="B79:C79"/>
    <mergeCell ref="D74:E74"/>
    <mergeCell ref="B75:C75"/>
    <mergeCell ref="D75:E75"/>
    <mergeCell ref="B78:C78"/>
    <mergeCell ref="D78:E78"/>
    <mergeCell ref="B89:H89"/>
    <mergeCell ref="B87:K87"/>
    <mergeCell ref="D84:E84"/>
    <mergeCell ref="D83:E83"/>
    <mergeCell ref="B83:C83"/>
    <mergeCell ref="B150:C150"/>
    <mergeCell ref="D150:F150"/>
    <mergeCell ref="G150:H150"/>
    <mergeCell ref="B110:K110"/>
    <mergeCell ref="B111:K111"/>
    <mergeCell ref="B112:K112"/>
    <mergeCell ref="I136:L136"/>
    <mergeCell ref="B144:H144"/>
    <mergeCell ref="I143:L143"/>
    <mergeCell ref="B137:H137"/>
    <mergeCell ref="B149:L149"/>
    <mergeCell ref="B147:L147"/>
    <mergeCell ref="B148:L148"/>
    <mergeCell ref="B145:H145"/>
    <mergeCell ref="I145:L145"/>
    <mergeCell ref="I146:L146"/>
    <mergeCell ref="B119:K119"/>
    <mergeCell ref="I135:L135"/>
    <mergeCell ref="B130:L130"/>
    <mergeCell ref="B133:L133"/>
    <mergeCell ref="B134:L134"/>
    <mergeCell ref="B131:L131"/>
    <mergeCell ref="B132:L132"/>
    <mergeCell ref="I138:L138"/>
    <mergeCell ref="I23:L23"/>
    <mergeCell ref="D67:E67"/>
    <mergeCell ref="D81:E81"/>
    <mergeCell ref="B86:C86"/>
    <mergeCell ref="D86:E86"/>
    <mergeCell ref="B84:C84"/>
    <mergeCell ref="B85:C85"/>
    <mergeCell ref="B80:C80"/>
    <mergeCell ref="D80:E80"/>
    <mergeCell ref="B77:C77"/>
    <mergeCell ref="D77:E77"/>
    <mergeCell ref="B81:C81"/>
    <mergeCell ref="B64:C64"/>
    <mergeCell ref="D73:E73"/>
    <mergeCell ref="B73:C73"/>
    <mergeCell ref="B72:C72"/>
    <mergeCell ref="D72:E72"/>
    <mergeCell ref="B71:C71"/>
    <mergeCell ref="D71:E71"/>
    <mergeCell ref="D70:E70"/>
    <mergeCell ref="D64:E64"/>
    <mergeCell ref="B65:C65"/>
    <mergeCell ref="D65:E65"/>
    <mergeCell ref="D69:E69"/>
    <mergeCell ref="B96:J96"/>
    <mergeCell ref="B102:K102"/>
    <mergeCell ref="B124:L124"/>
    <mergeCell ref="B127:L127"/>
    <mergeCell ref="B128:L128"/>
    <mergeCell ref="B118:K118"/>
    <mergeCell ref="B114:K114"/>
    <mergeCell ref="B115:K115"/>
    <mergeCell ref="B116:K116"/>
    <mergeCell ref="B117:K117"/>
    <mergeCell ref="B126:L126"/>
    <mergeCell ref="B106:K106"/>
    <mergeCell ref="B103:K103"/>
    <mergeCell ref="B104:K104"/>
    <mergeCell ref="B105:K105"/>
    <mergeCell ref="B97:K97"/>
    <mergeCell ref="B101:K101"/>
    <mergeCell ref="B98:K98"/>
    <mergeCell ref="B99:K99"/>
    <mergeCell ref="B100:K100"/>
    <mergeCell ref="B107:K107"/>
    <mergeCell ref="B108:K108"/>
    <mergeCell ref="B109:K109"/>
    <mergeCell ref="B146:H146"/>
    <mergeCell ref="B113:K113"/>
    <mergeCell ref="B125:L125"/>
    <mergeCell ref="B122:L122"/>
    <mergeCell ref="B141:L141"/>
    <mergeCell ref="B129:L129"/>
    <mergeCell ref="I137:L137"/>
    <mergeCell ref="B135:H135"/>
    <mergeCell ref="I142:L142"/>
    <mergeCell ref="B120:L120"/>
    <mergeCell ref="B121:L121"/>
    <mergeCell ref="B123:L123"/>
    <mergeCell ref="I144:L144"/>
    <mergeCell ref="B136:H136"/>
    <mergeCell ref="B140:L140"/>
    <mergeCell ref="B139:L139"/>
    <mergeCell ref="B138:H138"/>
    <mergeCell ref="B143:H143"/>
    <mergeCell ref="B142:H142"/>
  </mergeCells>
  <phoneticPr fontId="22" type="noConversion"/>
  <conditionalFormatting sqref="A11 A14:A15">
    <cfRule type="cellIs" dxfId="403" priority="34" stopIfTrue="1" operator="greaterThan">
      <formula>61</formula>
    </cfRule>
    <cfRule type="expression" dxfId="402" priority="35" stopIfTrue="1">
      <formula>$A$24</formula>
    </cfRule>
  </conditionalFormatting>
  <conditionalFormatting sqref="B26:C85 D48:H85">
    <cfRule type="expression" dxfId="401" priority="1" stopIfTrue="1">
      <formula>$N26</formula>
    </cfRule>
  </conditionalFormatting>
  <conditionalFormatting sqref="B18:F18">
    <cfRule type="expression" dxfId="400" priority="26" stopIfTrue="1">
      <formula>$M$8</formula>
    </cfRule>
  </conditionalFormatting>
  <conditionalFormatting sqref="B25:H25">
    <cfRule type="expression" dxfId="399" priority="7" stopIfTrue="1">
      <formula>$N$25</formula>
    </cfRule>
  </conditionalFormatting>
  <conditionalFormatting sqref="B96:I119">
    <cfRule type="expression" dxfId="398" priority="4" stopIfTrue="1">
      <formula>A96</formula>
    </cfRule>
  </conditionalFormatting>
  <conditionalFormatting sqref="D12:E12">
    <cfRule type="expression" dxfId="397" priority="33" stopIfTrue="1">
      <formula>$A$24</formula>
    </cfRule>
  </conditionalFormatting>
  <conditionalFormatting sqref="D26:H26">
    <cfRule type="expression" dxfId="396" priority="8" stopIfTrue="1">
      <formula>$N$26</formula>
    </cfRule>
  </conditionalFormatting>
  <conditionalFormatting sqref="D27:H27">
    <cfRule type="expression" dxfId="395" priority="9" stopIfTrue="1">
      <formula>$N$27</formula>
    </cfRule>
  </conditionalFormatting>
  <conditionalFormatting sqref="D28:H28">
    <cfRule type="expression" dxfId="394" priority="10" stopIfTrue="1">
      <formula>$N$28</formula>
    </cfRule>
  </conditionalFormatting>
  <conditionalFormatting sqref="D29:H29">
    <cfRule type="expression" dxfId="393" priority="11" stopIfTrue="1">
      <formula>$N$29</formula>
    </cfRule>
  </conditionalFormatting>
  <conditionalFormatting sqref="D30:H30">
    <cfRule type="expression" dxfId="392" priority="12" stopIfTrue="1">
      <formula>$N$30</formula>
    </cfRule>
  </conditionalFormatting>
  <conditionalFormatting sqref="D31:H31">
    <cfRule type="expression" dxfId="391" priority="13" stopIfTrue="1">
      <formula>$N$31</formula>
    </cfRule>
  </conditionalFormatting>
  <conditionalFormatting sqref="D32:H32">
    <cfRule type="expression" dxfId="390" priority="14" stopIfTrue="1">
      <formula>$N$32</formula>
    </cfRule>
  </conditionalFormatting>
  <conditionalFormatting sqref="D33:H33">
    <cfRule type="expression" dxfId="389" priority="15" stopIfTrue="1">
      <formula>$N$33</formula>
    </cfRule>
  </conditionalFormatting>
  <conditionalFormatting sqref="D34:H34">
    <cfRule type="expression" dxfId="388" priority="16" stopIfTrue="1">
      <formula>$N$34</formula>
    </cfRule>
  </conditionalFormatting>
  <conditionalFormatting sqref="D35:H35">
    <cfRule type="expression" dxfId="387" priority="17" stopIfTrue="1">
      <formula>$N$35</formula>
    </cfRule>
  </conditionalFormatting>
  <conditionalFormatting sqref="D36:H36">
    <cfRule type="expression" dxfId="386" priority="18" stopIfTrue="1">
      <formula>$N$36</formula>
    </cfRule>
  </conditionalFormatting>
  <conditionalFormatting sqref="D37:H37">
    <cfRule type="expression" dxfId="385" priority="19" stopIfTrue="1">
      <formula>$N$37</formula>
    </cfRule>
  </conditionalFormatting>
  <conditionalFormatting sqref="D38:H38">
    <cfRule type="expression" dxfId="384" priority="20" stopIfTrue="1">
      <formula>$N$38</formula>
    </cfRule>
  </conditionalFormatting>
  <conditionalFormatting sqref="D39:H39">
    <cfRule type="expression" dxfId="383" priority="21" stopIfTrue="1">
      <formula>$N$39</formula>
    </cfRule>
  </conditionalFormatting>
  <conditionalFormatting sqref="D40:H40">
    <cfRule type="expression" dxfId="382" priority="22" stopIfTrue="1">
      <formula>$N$40</formula>
    </cfRule>
  </conditionalFormatting>
  <conditionalFormatting sqref="D41:H41">
    <cfRule type="expression" dxfId="381" priority="23" stopIfTrue="1">
      <formula>$N$41</formula>
    </cfRule>
  </conditionalFormatting>
  <conditionalFormatting sqref="D42:H42">
    <cfRule type="expression" dxfId="380" priority="24" stopIfTrue="1">
      <formula>$N$42</formula>
    </cfRule>
  </conditionalFormatting>
  <conditionalFormatting sqref="D43:H43">
    <cfRule type="expression" dxfId="379" priority="28" stopIfTrue="1">
      <formula>$N$43</formula>
    </cfRule>
  </conditionalFormatting>
  <conditionalFormatting sqref="D44:H44">
    <cfRule type="expression" dxfId="378" priority="29" stopIfTrue="1">
      <formula>$N$44</formula>
    </cfRule>
  </conditionalFormatting>
  <conditionalFormatting sqref="D45:H45">
    <cfRule type="expression" dxfId="377" priority="30" stopIfTrue="1">
      <formula>$N$45</formula>
    </cfRule>
  </conditionalFormatting>
  <conditionalFormatting sqref="D46:H46">
    <cfRule type="expression" dxfId="376" priority="31" stopIfTrue="1">
      <formula>$N$46</formula>
    </cfRule>
  </conditionalFormatting>
  <conditionalFormatting sqref="D47:H47">
    <cfRule type="expression" dxfId="375" priority="32" stopIfTrue="1">
      <formula>$N$47</formula>
    </cfRule>
  </conditionalFormatting>
  <conditionalFormatting sqref="F10 D11:E11">
    <cfRule type="expression" dxfId="374" priority="25" stopIfTrue="1">
      <formula>$M$5</formula>
    </cfRule>
  </conditionalFormatting>
  <conditionalFormatting sqref="G10:L10">
    <cfRule type="expression" dxfId="373" priority="27" stopIfTrue="1">
      <formula>$A$1</formula>
    </cfRule>
  </conditionalFormatting>
  <conditionalFormatting sqref="I24:K24">
    <cfRule type="expression" dxfId="372" priority="39" stopIfTrue="1">
      <formula>$D$15</formula>
    </cfRule>
  </conditionalFormatting>
  <conditionalFormatting sqref="I23:L23 L24">
    <cfRule type="expression" dxfId="371" priority="38" stopIfTrue="1">
      <formula>$D$15</formula>
    </cfRule>
  </conditionalFormatting>
  <conditionalFormatting sqref="I25:L85 I86">
    <cfRule type="expression" dxfId="370" priority="6" stopIfTrue="1">
      <formula>$AY25</formula>
    </cfRule>
  </conditionalFormatting>
  <conditionalFormatting sqref="J96:J119">
    <cfRule type="expression" dxfId="369" priority="5" stopIfTrue="1">
      <formula>H96</formula>
    </cfRule>
  </conditionalFormatting>
  <conditionalFormatting sqref="K96:K119">
    <cfRule type="expression" dxfId="368" priority="3" stopIfTrue="1">
      <formula>H96</formula>
    </cfRule>
  </conditionalFormatting>
  <conditionalFormatting sqref="L96:L119">
    <cfRule type="expression" dxfId="367" priority="2" stopIfTrue="1">
      <formula>H96</formula>
    </cfRule>
  </conditionalFormatting>
  <dataValidations count="2">
    <dataValidation type="list" allowBlank="1" showInputMessage="1" showErrorMessage="1" sqref="D14:E14" xr:uid="{00000000-0002-0000-0A00-000000000000}">
      <formula1>$X$10:$X$15</formula1>
    </dataValidation>
    <dataValidation type="list" allowBlank="1" showInputMessage="1" showErrorMessage="1" sqref="D15:E15" xr:uid="{00000000-0002-0000-0A00-000001000000}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28515625" style="21" customWidth="1"/>
    <col min="9" max="10" width="16.5703125" style="21" customWidth="1"/>
    <col min="11" max="11" width="16.5703125" style="21" hidden="1" customWidth="1"/>
    <col min="12" max="12" width="23" style="21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19"/>
    <col min="51" max="51" width="9.140625" style="4"/>
    <col min="52" max="53" width="9.140625" style="19"/>
    <col min="54" max="56" width="9.140625" style="24"/>
    <col min="57" max="58" width="9.140625" style="19"/>
    <col min="59" max="141" width="9.140625" style="20"/>
    <col min="142" max="16384" width="9.140625" style="21"/>
  </cols>
  <sheetData>
    <row r="1" spans="1:26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6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6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6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6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26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6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6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6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Y9" s="4">
        <v>0</v>
      </c>
    </row>
    <row r="10" spans="1:26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40000000</v>
      </c>
      <c r="E10" s="450"/>
      <c r="F10" s="11" t="s">
        <v>189</v>
      </c>
      <c r="G10" s="12" t="s">
        <v>7</v>
      </c>
      <c r="H10" s="13">
        <f ca="1">F22+G22+A92+D10</f>
        <v>120746920</v>
      </c>
      <c r="I10" s="40"/>
      <c r="J10" s="40"/>
      <c r="K10" s="40"/>
      <c r="L10" s="40"/>
      <c r="X10" s="4">
        <v>12</v>
      </c>
      <c r="Y10" s="4">
        <v>1</v>
      </c>
    </row>
    <row r="11" spans="1:26" ht="15" customHeight="1">
      <c r="A11" s="17">
        <v>23.5</v>
      </c>
      <c r="B11" s="408" t="s">
        <v>8</v>
      </c>
      <c r="C11" s="409"/>
      <c r="D11" s="413">
        <f>IF(D14=12,68,78)</f>
        <v>78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">
        <f ca="1">IF(DAY(D16)=31,31,30)</f>
        <v>30</v>
      </c>
      <c r="X11" s="4">
        <v>18</v>
      </c>
      <c r="Y11" s="4">
        <v>3</v>
      </c>
      <c r="Z11" s="4">
        <f>IF(D14=12,IF(D15&lt;&gt;3,IF(D15&lt;&gt;6,1,0),0),0)</f>
        <v>0</v>
      </c>
    </row>
    <row r="12" spans="1:26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2</v>
      </c>
      <c r="X12" s="4">
        <v>24</v>
      </c>
      <c r="Y12" s="4">
        <v>6</v>
      </c>
    </row>
    <row r="13" spans="1:26" ht="26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X13" s="4">
        <v>36</v>
      </c>
      <c r="Y13" s="4">
        <v>12</v>
      </c>
    </row>
    <row r="14" spans="1:26" ht="15" customHeight="1">
      <c r="A14" s="17">
        <f ca="1">IF(DAY(D16)&lt;=21,D14,D14+1)</f>
        <v>60</v>
      </c>
      <c r="B14" s="408" t="s">
        <v>13</v>
      </c>
      <c r="C14" s="409"/>
      <c r="D14" s="413">
        <v>60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60</v>
      </c>
      <c r="X14" s="4">
        <v>48</v>
      </c>
    </row>
    <row r="15" spans="1:26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X15" s="4">
        <v>60</v>
      </c>
    </row>
    <row r="16" spans="1:26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54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idden="1">
      <c r="A22" s="4"/>
      <c r="B22" s="4"/>
      <c r="C22" s="4"/>
      <c r="D22" s="404">
        <f ca="1">SUM(D25:E85)</f>
        <v>80000000</v>
      </c>
      <c r="E22" s="272"/>
      <c r="F22" s="22">
        <f ca="1">SUM(F25:F86)/2</f>
        <v>80746920</v>
      </c>
      <c r="G22" s="22">
        <v>0</v>
      </c>
      <c r="H22" s="22">
        <f ca="1">SUM(H25:H72)</f>
        <v>109017670</v>
      </c>
      <c r="I22" s="22"/>
      <c r="J22" s="22"/>
      <c r="K22" s="22"/>
      <c r="L22" s="22"/>
    </row>
    <row r="23" spans="1:141" ht="18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8.25" customHeight="1">
      <c r="A24" s="4">
        <f ca="1"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рублей",IF(AW25&lt;=5,ROUND(AU25,0)-AW25,ROUND(AU25,0)+AX25)," ")))</f>
        <v>666670</v>
      </c>
      <c r="E25" s="443"/>
      <c r="F25" s="84">
        <f ca="1">IF(M1=1,P25,IF(M1=2,Q25," "))</f>
        <v>2340000</v>
      </c>
      <c r="G25" s="84">
        <v>0</v>
      </c>
      <c r="H25" s="84">
        <f ca="1">SUM(D25:G25)+A87</f>
        <v>3006670</v>
      </c>
      <c r="I25" s="84">
        <f ca="1">T25</f>
        <v>666670</v>
      </c>
      <c r="J25" s="84">
        <f t="shared" ref="J25:J56" ca="1" si="0">AA25</f>
        <v>2340000</v>
      </c>
      <c r="K25" s="84">
        <v>0</v>
      </c>
      <c r="L25" s="84">
        <f ca="1">SUM(I25:K25)+A87</f>
        <v>3006670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2340000</v>
      </c>
      <c r="Q25" s="22">
        <f t="shared" ref="Q25:Q56" ca="1" si="3">IF(V25&lt;&gt;0,IF(VALUE(RIGHT(ROUND(V25,0)))&lt;=5,ROUND(V25,0)-VALUE(RIGHT(ROUND(V25,0))),ROUND(V25,0)+10-VALUE(RIGHT(ROUND(V25,0)))),0)</f>
        <v>2340000</v>
      </c>
      <c r="R25" s="22">
        <f>D10</f>
        <v>40000000</v>
      </c>
      <c r="S25" s="22">
        <f ca="1">IF(N25=0,0,IF(F10="USD",ROUND(D10/M14,2),IF(F10="бел. рублей",IF(AW25&lt;=5,ROUND(AU25,0)-AW25,ROUND(AU25,0)+AX25)," ")))</f>
        <v>666670</v>
      </c>
      <c r="T25" s="22">
        <f ca="1">IF(N25=0,0,IF(F10="USD",ROUND(D10/M14,2),IF(F10="бел. рублей",IF(AW25&lt;=5,ROUND(AU25,0)-AW25,ROUND(AU25,0)+AX25)," ")))</f>
        <v>666670</v>
      </c>
      <c r="U25" s="22">
        <f ca="1">R25*Q11*D11/36000</f>
        <v>2340000</v>
      </c>
      <c r="V25" s="22">
        <f ca="1">R25*Q11*D11/36000</f>
        <v>2340000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2340000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2340000</v>
      </c>
      <c r="Y25" s="22">
        <f t="shared" ref="Y25:Y56" si="4">IF(M25&lt;=(D$15+1),D$10,Y24-I24)</f>
        <v>40000000</v>
      </c>
      <c r="Z25" s="22">
        <f ca="1">Y25*Q11*D11/36000</f>
        <v>2340000</v>
      </c>
      <c r="AA25" s="22">
        <f t="shared" ref="AA25:AA56" ca="1" si="5">IF(Z25&lt;&gt;0,IF(VALUE(RIGHT(ROUND(Z25,0)))&lt;=5,ROUND(Z25,0)-VALUE(RIGHT(ROUND(Z25,0))),ROUND(Z25,0)+10-VALUE(RIGHT(ROUND(Z25,0)))),0)</f>
        <v>2340000</v>
      </c>
      <c r="AB25" s="22">
        <f ca="1">R25*Q11</f>
        <v>1080000000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40000000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2</v>
      </c>
      <c r="AM25" s="69">
        <f t="shared" ref="AM25:AM56" ca="1" si="11">IF(AL25=13,1,AL25)</f>
        <v>2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29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666667</v>
      </c>
      <c r="AV25" s="94" t="str">
        <f ca="1">RIGHT(AU25)</f>
        <v>7</v>
      </c>
      <c r="AW25" s="19">
        <f ca="1">VALUE(AV25)</f>
        <v>7</v>
      </c>
      <c r="AX25" s="19">
        <f ca="1">10-AW25</f>
        <v>3</v>
      </c>
      <c r="AY25" s="4">
        <f t="shared" ref="AY25:AY56" ca="1" si="16">IF(D$15=0,0,IF(N25=1,1,0))</f>
        <v>1</v>
      </c>
      <c r="AZ25" s="19"/>
      <c r="BA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666670</v>
      </c>
      <c r="E26" s="443"/>
      <c r="F26" s="84">
        <f ca="1">IF(N26=0,IF(N25=1,F25," "),IF(M1=1,P26,IF(M1=2,Q26," ")))</f>
        <v>2585550</v>
      </c>
      <c r="G26" s="84">
        <v>0</v>
      </c>
      <c r="H26" s="84">
        <f t="shared" ref="H26:H57" ca="1" si="19">IF(SUM(D26:G26)=0," ",SUM(D26:G26))</f>
        <v>3252220</v>
      </c>
      <c r="I26" s="84">
        <f t="shared" ref="I26:I57" ca="1" si="20">IF(N26=1,IF(N27=1,IF(M26&lt;=D$15,T26,AV$26),D$10-AV$26*M$16+AV$26),0)</f>
        <v>677970</v>
      </c>
      <c r="J26" s="84">
        <f t="shared" ca="1" si="0"/>
        <v>2600000</v>
      </c>
      <c r="K26" s="84">
        <v>0</v>
      </c>
      <c r="L26" s="84">
        <f t="shared" ref="L26:L57" ca="1" si="21">IF(SUM(I26:K26)=0," ",SUM(I26:K26))</f>
        <v>3277970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2585550</v>
      </c>
      <c r="Q26" s="22">
        <f t="shared" ca="1" si="3"/>
        <v>2585550</v>
      </c>
      <c r="R26" s="22">
        <f t="shared" ref="R26:R57" ca="1" si="23">IF(N26=0,0,R25-D25)</f>
        <v>39333330</v>
      </c>
      <c r="S26" s="22">
        <f t="shared" ref="S26:S57" si="24">IF(M26&lt;=D$15,D$10/(D$14-M25),D26)</f>
        <v>677966.10169491521</v>
      </c>
      <c r="T26" s="22">
        <f t="shared" ref="T26:T57" si="25">IF(S26&lt;&gt;0,IF(VALUE(RIGHT(ROUND(S26,0)))&lt;=5,ROUND(S26,0)-VALUE(RIGHT(ROUND(S26,0))),ROUND(S26,0)+10-VALUE(RIGHT(ROUND(S26,0)))),0)</f>
        <v>677970</v>
      </c>
      <c r="U26" s="22">
        <f ca="1">IF(N27=1,R25*D11*20/36000+R26*D11*10/36000,IF(N27=0,IF(N26=0,0,R26*D11*Q12/36000+R25*D11*20/36000+R26*D11*10/36000)))</f>
        <v>2585555.4833333334</v>
      </c>
      <c r="V26" s="22">
        <f ca="1">IF(N27=1,R25*D11*20/36000+R26*D11*10/36000,IF(N27=0,IF(N26=0,0,R26*D11*Q12/36000+R25*D11*20/36000+R26*D11*10/36000)))</f>
        <v>2585555.4833333334</v>
      </c>
      <c r="W26" s="22">
        <f t="shared" ref="W26:W57" ca="1" si="26">IF(N27=1,$D$10*$D$11*20/36000+$D$10*$D$11*10/36000,IF(N27=0,IF(N26=0,0,$D$10*$D$11*$Q$12/36000+$D$10*$D$11*20/36000+$D$10*$D$11*10/36000)))</f>
        <v>2600000</v>
      </c>
      <c r="X26" s="22">
        <f t="shared" ref="X26:X57" ca="1" si="27">IF(W26&lt;&gt;0,IF(VALUE(RIGHT(ROUND(W26,0)))&lt;=5,ROUND(W26,0)-VALUE(RIGHT(ROUND(W26,0))),ROUND(W26,0)+10-VALUE(RIGHT(ROUND(W26,0)))),0)</f>
        <v>2600000</v>
      </c>
      <c r="Y26" s="22">
        <f t="shared" si="4"/>
        <v>40000000</v>
      </c>
      <c r="Z26" s="22">
        <f t="shared" ref="Z26:Z36" ca="1" si="28">IF(N27=1,Y25*D$11*20/36000+Y26*D$11*10/36000,IF(N27=0,IF(N26=0,0,Y26*D$11*Q$12/36000+Y25*D$11*20/36000+Y26*D$11*10/36000)))</f>
        <v>2600000</v>
      </c>
      <c r="AA26" s="22">
        <f t="shared" ca="1" si="5"/>
        <v>2600000</v>
      </c>
      <c r="AB26" s="22">
        <f ca="1">IF(R27=0,R26*Q12,(R25*20+R26*10))</f>
        <v>1193333300</v>
      </c>
      <c r="AC26" s="22">
        <f t="shared" ca="1" si="6"/>
        <v>0</v>
      </c>
      <c r="AD26" s="22">
        <f t="shared" ca="1" si="7"/>
        <v>0</v>
      </c>
      <c r="AE26" s="22">
        <f t="shared" ref="AE26:AE57" ca="1" si="29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30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39333330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1">IF(N26=0,0,MONTH(B25)+1)</f>
        <v>3</v>
      </c>
      <c r="AM26" s="69">
        <f t="shared" ca="1" si="11"/>
        <v>3</v>
      </c>
      <c r="AN26" s="4">
        <f t="shared" ref="AN26:AN57" ca="1" si="32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3">AQ25</f>
        <v>29</v>
      </c>
      <c r="AT26" s="19"/>
      <c r="AU26" s="4">
        <f ca="1">ROUNDUP(D$10/(A$14-D$15),0)</f>
        <v>740741</v>
      </c>
      <c r="AV26" s="22">
        <f ca="1">IF(AU26&lt;&gt;0,IF(VALUE(RIGHT(ROUND(AU26,0)))&lt;=5,ROUND(AU26,0)-VALUE(RIGHT(ROUND(AU26,0))),ROUND(AU26,0)+10-VALUE(RIGHT(ROUND(AU26,0)))),0)</f>
        <v>740740</v>
      </c>
      <c r="AW26" s="19"/>
      <c r="AX26" s="19"/>
      <c r="AY26" s="4">
        <f t="shared" ca="1" si="16"/>
        <v>1</v>
      </c>
      <c r="AZ26" s="19"/>
      <c r="BA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45402</v>
      </c>
      <c r="C27" s="401"/>
      <c r="D27" s="443">
        <f ca="1">IF(N27=0,IF(N26=1,D25+D26," "),IF(N27=0,0,IF(N28=1,D25,IF(N28=0,D10-D25*(M14-1)," "))))</f>
        <v>666670</v>
      </c>
      <c r="E27" s="443"/>
      <c r="F27" s="84">
        <f ca="1">IF(N27=0,IF(N26=1,F25+F26," "),IF(M1=1,P27,IF(M1=2,Q27," ")))</f>
        <v>2542220</v>
      </c>
      <c r="G27" s="84">
        <v>0</v>
      </c>
      <c r="H27" s="84">
        <f t="shared" ca="1" si="19"/>
        <v>3208890</v>
      </c>
      <c r="I27" s="84">
        <f t="shared" ca="1" si="20"/>
        <v>689650</v>
      </c>
      <c r="J27" s="84">
        <f t="shared" ca="1" si="0"/>
        <v>2600000</v>
      </c>
      <c r="K27" s="84">
        <v>0</v>
      </c>
      <c r="L27" s="84">
        <f t="shared" ca="1" si="21"/>
        <v>3289650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2542220</v>
      </c>
      <c r="Q27" s="22">
        <f t="shared" ca="1" si="3"/>
        <v>2542220</v>
      </c>
      <c r="R27" s="22">
        <f t="shared" ca="1" si="23"/>
        <v>38666660</v>
      </c>
      <c r="S27" s="22">
        <f t="shared" si="24"/>
        <v>689655.17241379316</v>
      </c>
      <c r="T27" s="22">
        <f t="shared" si="25"/>
        <v>689650</v>
      </c>
      <c r="U27" s="22">
        <f ca="1">IF(N28=1,R26*D11*20/36000+R27*D11*10/36000,IF(N28=0,IF(N27=0,0,R27*D11*Q12/36000+R26*D11*20/36000+R27*D11*10/36000)))</f>
        <v>2542221.9333333336</v>
      </c>
      <c r="V27" s="22">
        <f ca="1">IF(N28=1,R26*D11*20/36000+R27*D11*10/36000,IF(N28=0,IF(N27=0,0,R27*D11*Q12/36000+R26*D11*20/36000+R27*D11*10/36000)))</f>
        <v>2542221.9333333336</v>
      </c>
      <c r="W27" s="22">
        <f t="shared" ca="1" si="26"/>
        <v>2600000</v>
      </c>
      <c r="X27" s="22">
        <f t="shared" ca="1" si="27"/>
        <v>2600000</v>
      </c>
      <c r="Y27" s="22">
        <f t="shared" si="4"/>
        <v>40000000</v>
      </c>
      <c r="Z27" s="22">
        <f t="shared" ca="1" si="28"/>
        <v>2600000</v>
      </c>
      <c r="AA27" s="22">
        <f t="shared" ca="1" si="5"/>
        <v>2600000</v>
      </c>
      <c r="AB27" s="22">
        <f ca="1">IF(R28=0,R27*Q12,(R26*20+R27*10))</f>
        <v>1173333200</v>
      </c>
      <c r="AC27" s="22">
        <f t="shared" ca="1" si="6"/>
        <v>0</v>
      </c>
      <c r="AD27" s="22">
        <f t="shared" ca="1" si="7"/>
        <v>0</v>
      </c>
      <c r="AE27" s="22">
        <f t="shared" ca="1" si="29"/>
        <v>0</v>
      </c>
      <c r="AF27" s="22">
        <f t="shared" ca="1" si="8"/>
        <v>0</v>
      </c>
      <c r="AG27" s="22">
        <f t="shared" ca="1" si="30"/>
        <v>0</v>
      </c>
      <c r="AH27" s="22">
        <f t="shared" ca="1" si="9"/>
        <v>0</v>
      </c>
      <c r="AI27" s="22">
        <f t="shared" ca="1" si="10"/>
        <v>38666660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1"/>
        <v>4</v>
      </c>
      <c r="AM27" s="69">
        <f t="shared" ca="1" si="11"/>
        <v>4</v>
      </c>
      <c r="AN27" s="4">
        <f t="shared" ca="1" si="32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3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A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45432</v>
      </c>
      <c r="C28" s="401"/>
      <c r="D28" s="443">
        <f ca="1">IF(N28=0,IF(N27=1,D25+D26+D27," "),IF(N28=0,0,IF(N29=1,D25,IF(N29=0,D10-D25*(M14-1)," "))))</f>
        <v>666670</v>
      </c>
      <c r="E28" s="443"/>
      <c r="F28" s="84">
        <f ca="1">IF(N28=0,IF(N27=1,F25+F26+F27," "),IF(M1=1,P28,IF(M1=2,Q28," ")))</f>
        <v>2498890</v>
      </c>
      <c r="G28" s="84">
        <v>0</v>
      </c>
      <c r="H28" s="84">
        <f t="shared" ca="1" si="19"/>
        <v>3165560</v>
      </c>
      <c r="I28" s="84">
        <f t="shared" ca="1" si="20"/>
        <v>701750</v>
      </c>
      <c r="J28" s="84">
        <f t="shared" ca="1" si="0"/>
        <v>2600000</v>
      </c>
      <c r="K28" s="84">
        <v>0</v>
      </c>
      <c r="L28" s="84">
        <f t="shared" ca="1" si="21"/>
        <v>3301750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2498890</v>
      </c>
      <c r="Q28" s="22">
        <f t="shared" ca="1" si="3"/>
        <v>2498890</v>
      </c>
      <c r="R28" s="22">
        <f t="shared" ca="1" si="23"/>
        <v>37999990</v>
      </c>
      <c r="S28" s="22">
        <f t="shared" si="24"/>
        <v>701754.38596491225</v>
      </c>
      <c r="T28" s="22">
        <f t="shared" si="25"/>
        <v>701750</v>
      </c>
      <c r="U28" s="22">
        <f ca="1">IF(N29=1,R27*D11*20/36000+R28*D11*10/36000,IF(N29=0,IF(N28=0,0,R28*D11*Q12/36000+R27*D11*20/36000+R28*D11*10/36000)))</f>
        <v>2498888.3833333333</v>
      </c>
      <c r="V28" s="22">
        <f ca="1">IF(N29=1,R27*D11*20/36000+R28*D11*10/36000,IF(N29=0,IF(N28=0,0,R28*D11*Q12/36000+R27*D11*20/36000+R28*D11*10/36000)))</f>
        <v>2498888.3833333333</v>
      </c>
      <c r="W28" s="22">
        <f t="shared" ca="1" si="26"/>
        <v>2600000</v>
      </c>
      <c r="X28" s="22">
        <f t="shared" ca="1" si="27"/>
        <v>2600000</v>
      </c>
      <c r="Y28" s="22">
        <f t="shared" si="4"/>
        <v>40000000</v>
      </c>
      <c r="Z28" s="22">
        <f t="shared" ca="1" si="28"/>
        <v>2600000</v>
      </c>
      <c r="AA28" s="22">
        <f t="shared" ca="1" si="5"/>
        <v>2600000</v>
      </c>
      <c r="AB28" s="22">
        <f ca="1">IF(R29=0,R28*Q12,(R27*20+R28*10))</f>
        <v>1153333100</v>
      </c>
      <c r="AC28" s="22">
        <f t="shared" ca="1" si="6"/>
        <v>0</v>
      </c>
      <c r="AD28" s="22">
        <f t="shared" ca="1" si="7"/>
        <v>0</v>
      </c>
      <c r="AE28" s="22">
        <f t="shared" ca="1" si="29"/>
        <v>0</v>
      </c>
      <c r="AF28" s="22">
        <f t="shared" ca="1" si="8"/>
        <v>0</v>
      </c>
      <c r="AG28" s="22">
        <f t="shared" ca="1" si="30"/>
        <v>0</v>
      </c>
      <c r="AH28" s="22">
        <f t="shared" ca="1" si="9"/>
        <v>0</v>
      </c>
      <c r="AI28" s="22">
        <f t="shared" ca="1" si="10"/>
        <v>37999990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1"/>
        <v>5</v>
      </c>
      <c r="AM28" s="69">
        <f t="shared" ca="1" si="11"/>
        <v>5</v>
      </c>
      <c r="AN28" s="4">
        <f t="shared" ca="1" si="32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3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A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45463</v>
      </c>
      <c r="C29" s="401"/>
      <c r="D29" s="443">
        <f ca="1">IF(N29=0,IF(N28=1,D25+D26+D27+D28," "),IF(N29=0,0,IF(N30=1,D25,IF(N30=0,D10-D25*(M14-1)," "))))</f>
        <v>666670</v>
      </c>
      <c r="E29" s="443"/>
      <c r="F29" s="84">
        <f ca="1">IF(N29=0,IF(N28=1,F25+F26+F27+F28," "),IF(M1=1,P29,IF(M1=2,Q29," ")))</f>
        <v>2455550</v>
      </c>
      <c r="G29" s="84">
        <v>0</v>
      </c>
      <c r="H29" s="84">
        <f t="shared" ca="1" si="19"/>
        <v>3122220</v>
      </c>
      <c r="I29" s="84">
        <f t="shared" ca="1" si="20"/>
        <v>714290</v>
      </c>
      <c r="J29" s="84">
        <f t="shared" ca="1" si="0"/>
        <v>2600000</v>
      </c>
      <c r="K29" s="84">
        <v>0</v>
      </c>
      <c r="L29" s="84">
        <f t="shared" ca="1" si="21"/>
        <v>3314290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2455550</v>
      </c>
      <c r="Q29" s="22">
        <f t="shared" ca="1" si="3"/>
        <v>2455550</v>
      </c>
      <c r="R29" s="22">
        <f t="shared" ca="1" si="23"/>
        <v>37333320</v>
      </c>
      <c r="S29" s="22">
        <f t="shared" si="24"/>
        <v>714285.71428571432</v>
      </c>
      <c r="T29" s="22">
        <f t="shared" si="25"/>
        <v>714290</v>
      </c>
      <c r="U29" s="22">
        <f ca="1">IF(N30=1,R28*D11*20/36000+R29*D11*10/36000,IF(N30=0,IF(N29=0,0,R29*D11*Q12/36000+R28*D11*20/36000+R29*D11*10/36000)))</f>
        <v>2455554.8333333335</v>
      </c>
      <c r="V29" s="22">
        <f ca="1">IF(N30=1,R28*D11*20/36000+R29*D11*10/36000,IF(N30=0,IF(N29=0,0,R29*D11*Q12/36000+R28*D11*20/36000+R29*D11*10/36000)))</f>
        <v>2455554.8333333335</v>
      </c>
      <c r="W29" s="22">
        <f t="shared" ca="1" si="26"/>
        <v>2600000</v>
      </c>
      <c r="X29" s="22">
        <f t="shared" ca="1" si="27"/>
        <v>2600000</v>
      </c>
      <c r="Y29" s="22">
        <f t="shared" si="4"/>
        <v>40000000</v>
      </c>
      <c r="Z29" s="22">
        <f t="shared" ca="1" si="28"/>
        <v>2600000</v>
      </c>
      <c r="AA29" s="22">
        <f t="shared" ca="1" si="5"/>
        <v>2600000</v>
      </c>
      <c r="AB29" s="22">
        <f ca="1">IF(R30=0,R29*Q12,(R28*20+R29*10))</f>
        <v>1133333000</v>
      </c>
      <c r="AC29" s="22">
        <f t="shared" ca="1" si="6"/>
        <v>0</v>
      </c>
      <c r="AD29" s="22">
        <f t="shared" ca="1" si="7"/>
        <v>0</v>
      </c>
      <c r="AE29" s="22">
        <f t="shared" ca="1" si="29"/>
        <v>0</v>
      </c>
      <c r="AF29" s="22">
        <f t="shared" ca="1" si="8"/>
        <v>0</v>
      </c>
      <c r="AG29" s="22">
        <f t="shared" ca="1" si="30"/>
        <v>0</v>
      </c>
      <c r="AH29" s="22">
        <f t="shared" ca="1" si="9"/>
        <v>0</v>
      </c>
      <c r="AI29" s="22">
        <f t="shared" ca="1" si="10"/>
        <v>37333320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1"/>
        <v>6</v>
      </c>
      <c r="AM29" s="69">
        <f t="shared" ca="1" si="11"/>
        <v>6</v>
      </c>
      <c r="AN29" s="4">
        <f t="shared" ca="1" si="32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3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A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45493</v>
      </c>
      <c r="C30" s="401"/>
      <c r="D30" s="443">
        <f ca="1">IF(N30=0,IF(N29=1,D25+D26+D27+D28+D29," "),IF(N30=0,0,IF(N31=1,D25,IF(N31=0,D10-D25*(M14-1)," "))))</f>
        <v>666670</v>
      </c>
      <c r="E30" s="443"/>
      <c r="F30" s="84">
        <f ca="1">IF(N30=0,IF(N29=1,F25+F26+F27+F28+F29," "),IF(M1=1,P30,IF(M1=2,Q30," ")))</f>
        <v>2412220</v>
      </c>
      <c r="G30" s="84">
        <v>0</v>
      </c>
      <c r="H30" s="84">
        <f t="shared" ca="1" si="19"/>
        <v>3078890</v>
      </c>
      <c r="I30" s="84">
        <f t="shared" ca="1" si="20"/>
        <v>727270</v>
      </c>
      <c r="J30" s="84">
        <f t="shared" ca="1" si="0"/>
        <v>2600000</v>
      </c>
      <c r="K30" s="84">
        <v>0</v>
      </c>
      <c r="L30" s="84">
        <f t="shared" ca="1" si="21"/>
        <v>3327270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2412220</v>
      </c>
      <c r="Q30" s="22">
        <f t="shared" ca="1" si="3"/>
        <v>2412220</v>
      </c>
      <c r="R30" s="22">
        <f t="shared" ca="1" si="23"/>
        <v>36666650</v>
      </c>
      <c r="S30" s="22">
        <f t="shared" si="24"/>
        <v>727272.72727272729</v>
      </c>
      <c r="T30" s="22">
        <f t="shared" si="25"/>
        <v>727270</v>
      </c>
      <c r="U30" s="22">
        <f ca="1">IF(N31=1,R29*D11*20/36000+R30*D11*10/36000,IF(N31=0,IF(N30=0,0,R30*D11*Q12/36000+R29*D11*20/36000+R30*D11*10/36000)))</f>
        <v>2412221.2833333332</v>
      </c>
      <c r="V30" s="22">
        <f ca="1">IF(N31=1,R29*D11*20/36000+R30*D11*10/36000,IF(N31=0,IF(N30=0,0,R30*D11*Q12/36000+R29*D11*20/36000+R30*D11*10/36000)))</f>
        <v>2412221.2833333332</v>
      </c>
      <c r="W30" s="22">
        <f t="shared" ca="1" si="26"/>
        <v>2600000</v>
      </c>
      <c r="X30" s="22">
        <f t="shared" ca="1" si="27"/>
        <v>2600000</v>
      </c>
      <c r="Y30" s="22">
        <f t="shared" si="4"/>
        <v>40000000</v>
      </c>
      <c r="Z30" s="22">
        <f t="shared" ca="1" si="28"/>
        <v>2600000</v>
      </c>
      <c r="AA30" s="22">
        <f t="shared" ca="1" si="5"/>
        <v>2600000</v>
      </c>
      <c r="AB30" s="22">
        <f ca="1">IF(R31=0,R30*Q12,(R29*20+R30*10))</f>
        <v>1113332900</v>
      </c>
      <c r="AC30" s="22">
        <f t="shared" ca="1" si="6"/>
        <v>0</v>
      </c>
      <c r="AD30" s="22">
        <f t="shared" ca="1" si="7"/>
        <v>0</v>
      </c>
      <c r="AE30" s="22">
        <f t="shared" ca="1" si="29"/>
        <v>0</v>
      </c>
      <c r="AF30" s="22">
        <f t="shared" ca="1" si="8"/>
        <v>0</v>
      </c>
      <c r="AG30" s="22">
        <f t="shared" ca="1" si="30"/>
        <v>0</v>
      </c>
      <c r="AH30" s="22">
        <f t="shared" ca="1" si="9"/>
        <v>0</v>
      </c>
      <c r="AI30" s="22">
        <f t="shared" ca="1" si="10"/>
        <v>36666650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1"/>
        <v>7</v>
      </c>
      <c r="AM30" s="69">
        <f t="shared" ca="1" si="11"/>
        <v>7</v>
      </c>
      <c r="AN30" s="4">
        <f t="shared" ca="1" si="32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3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A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45524</v>
      </c>
      <c r="C31" s="401"/>
      <c r="D31" s="443">
        <f ca="1">IF(N31=0,IF(N30=1,D25+D26+D27+D28+D29+D30," "),IF(N31=0," ",IF(N32=1,D25,IF(N32=0,D10-D25*(M14-1)," "))))</f>
        <v>666670</v>
      </c>
      <c r="E31" s="443"/>
      <c r="F31" s="84">
        <f ca="1">IF(N31=0,IF(N30=1,F25+F26+F27+F28+F29+F30," "),IF(M1=1,P31,IF(M1=2,Q31," ")))</f>
        <v>2368890</v>
      </c>
      <c r="G31" s="84">
        <v>0</v>
      </c>
      <c r="H31" s="84">
        <f t="shared" ca="1" si="19"/>
        <v>3035560</v>
      </c>
      <c r="I31" s="84">
        <f t="shared" ca="1" si="20"/>
        <v>740740</v>
      </c>
      <c r="J31" s="84">
        <f t="shared" ca="1" si="0"/>
        <v>2600000</v>
      </c>
      <c r="K31" s="84">
        <v>0</v>
      </c>
      <c r="L31" s="84">
        <f t="shared" ca="1" si="21"/>
        <v>3340740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2368890</v>
      </c>
      <c r="Q31" s="22">
        <f t="shared" ca="1" si="3"/>
        <v>2368890</v>
      </c>
      <c r="R31" s="22">
        <f t="shared" ca="1" si="23"/>
        <v>35999980</v>
      </c>
      <c r="S31" s="22">
        <f t="shared" ca="1" si="24"/>
        <v>666670</v>
      </c>
      <c r="T31" s="22">
        <f t="shared" ca="1" si="25"/>
        <v>666670</v>
      </c>
      <c r="U31" s="22">
        <f ca="1">IF(N32=1,R30*D11*20/36000+R31*D11*10/36000,IF(N32=0,IF(N31=0,0,R31*D11*Q12/36000)))</f>
        <v>2368887.7333333334</v>
      </c>
      <c r="V31" s="22">
        <f ca="1">IF(N32=1,R30*D11*20/36000+R31*D11*10/36000,IF(N32=0,IF(N31=0,0,R31*D11*Q12/36000)))</f>
        <v>2368887.7333333334</v>
      </c>
      <c r="W31" s="22">
        <f t="shared" ca="1" si="26"/>
        <v>2600000</v>
      </c>
      <c r="X31" s="22">
        <f t="shared" ca="1" si="27"/>
        <v>2600000</v>
      </c>
      <c r="Y31" s="22">
        <f t="shared" si="4"/>
        <v>40000000</v>
      </c>
      <c r="Z31" s="22">
        <f t="shared" ca="1" si="28"/>
        <v>2600000</v>
      </c>
      <c r="AA31" s="22">
        <f t="shared" ca="1" si="5"/>
        <v>2600000</v>
      </c>
      <c r="AB31" s="22">
        <f ca="1">IF(R32=0,R31*Q12,(R30*20+R31*10))</f>
        <v>1093332800</v>
      </c>
      <c r="AC31" s="22">
        <f t="shared" ca="1" si="6"/>
        <v>0</v>
      </c>
      <c r="AD31" s="22">
        <f t="shared" ca="1" si="7"/>
        <v>0</v>
      </c>
      <c r="AE31" s="22">
        <f t="shared" ca="1" si="29"/>
        <v>0</v>
      </c>
      <c r="AF31" s="22">
        <f t="shared" ca="1" si="8"/>
        <v>0</v>
      </c>
      <c r="AG31" s="22">
        <f t="shared" ca="1" si="30"/>
        <v>0</v>
      </c>
      <c r="AH31" s="22">
        <f t="shared" ca="1" si="9"/>
        <v>0</v>
      </c>
      <c r="AI31" s="22">
        <f t="shared" ca="1" si="10"/>
        <v>35999980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1"/>
        <v>8</v>
      </c>
      <c r="AM31" s="69">
        <f t="shared" ca="1" si="11"/>
        <v>8</v>
      </c>
      <c r="AN31" s="4">
        <f t="shared" ca="1" si="32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3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A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45555</v>
      </c>
      <c r="C32" s="401"/>
      <c r="D32" s="443">
        <f ca="1">IF(N32=0,IF(N31=1,D25+D26+D27+D28+D29+D30+D31," "),IF(N32=0," ",IF(N33=1,D25,IF(N33=0,D10-D25*(M14-1)," "))))</f>
        <v>666670</v>
      </c>
      <c r="E32" s="443"/>
      <c r="F32" s="84">
        <f ca="1">IF(N32=0,IF(N31=1,F25+F26+F27+F28+F29+F30+F31," "),IF(M1=1,P32,IF(M1=2,Q32," ")))</f>
        <v>2325550</v>
      </c>
      <c r="G32" s="84">
        <v>0</v>
      </c>
      <c r="H32" s="84">
        <f t="shared" ca="1" si="19"/>
        <v>2992220</v>
      </c>
      <c r="I32" s="84">
        <f t="shared" ca="1" si="20"/>
        <v>740740</v>
      </c>
      <c r="J32" s="84">
        <f t="shared" ca="1" si="0"/>
        <v>2583950</v>
      </c>
      <c r="K32" s="84">
        <v>0</v>
      </c>
      <c r="L32" s="84">
        <f t="shared" ca="1" si="21"/>
        <v>3324690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2325550</v>
      </c>
      <c r="Q32" s="22">
        <f t="shared" ca="1" si="3"/>
        <v>2325550</v>
      </c>
      <c r="R32" s="22">
        <f t="shared" ca="1" si="23"/>
        <v>35333310</v>
      </c>
      <c r="S32" s="22">
        <f t="shared" ca="1" si="24"/>
        <v>666670</v>
      </c>
      <c r="T32" s="22">
        <f t="shared" ca="1" si="25"/>
        <v>666670</v>
      </c>
      <c r="U32" s="22">
        <f ca="1">IF(N33=1,R31*D11*20/36000+R32*D11*10/36000,IF(N33=0,IF(N32=0,0,R32*D11*Q12/36000+R31*D11*20/36000+R32*D11*10/36000)))</f>
        <v>2325554.1833333336</v>
      </c>
      <c r="V32" s="22">
        <f ca="1">IF(N33=1,R31*D11*20/36000+R32*D11*10/36000,IF(N33=0,IF(N32=0,0,R32*D11*Q12/36000+R31*D11*20/36000+R32*D11*10/36000)))</f>
        <v>2325554.1833333336</v>
      </c>
      <c r="W32" s="22">
        <f t="shared" ca="1" si="26"/>
        <v>2600000</v>
      </c>
      <c r="X32" s="22">
        <f t="shared" ca="1" si="27"/>
        <v>2600000</v>
      </c>
      <c r="Y32" s="22">
        <f t="shared" ca="1" si="4"/>
        <v>39259260</v>
      </c>
      <c r="Z32" s="22">
        <f t="shared" ca="1" si="28"/>
        <v>2583950.6333333333</v>
      </c>
      <c r="AA32" s="22">
        <f t="shared" ca="1" si="5"/>
        <v>2583950</v>
      </c>
      <c r="AB32" s="22">
        <f ca="1">IF(R33=0,R32*Q12,(R31*20+R32*10))</f>
        <v>1073332700</v>
      </c>
      <c r="AC32" s="22">
        <f t="shared" ca="1" si="6"/>
        <v>0</v>
      </c>
      <c r="AD32" s="22">
        <f t="shared" ca="1" si="7"/>
        <v>0</v>
      </c>
      <c r="AE32" s="22">
        <f t="shared" ca="1" si="29"/>
        <v>0</v>
      </c>
      <c r="AF32" s="22">
        <f t="shared" ca="1" si="8"/>
        <v>0</v>
      </c>
      <c r="AG32" s="22">
        <f t="shared" ca="1" si="30"/>
        <v>0</v>
      </c>
      <c r="AH32" s="22">
        <f t="shared" ca="1" si="9"/>
        <v>0</v>
      </c>
      <c r="AI32" s="22">
        <f t="shared" ca="1" si="10"/>
        <v>35333310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1"/>
        <v>9</v>
      </c>
      <c r="AM32" s="69">
        <f t="shared" ca="1" si="11"/>
        <v>9</v>
      </c>
      <c r="AN32" s="4">
        <f t="shared" ca="1" si="32"/>
        <v>2024</v>
      </c>
      <c r="AO32" s="4">
        <f t="shared" ca="1" si="12"/>
        <v>2024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3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A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45585</v>
      </c>
      <c r="C33" s="401"/>
      <c r="D33" s="443">
        <f ca="1">IF(N33=0,IF(N32=1,D25+D26+D27+D28+D29+D30+D31+D32," "),IF(N33=0," ",IF(N34=1,D25,IF(N34=0,D10-D25*(M14-1)," "))))</f>
        <v>666670</v>
      </c>
      <c r="E33" s="443"/>
      <c r="F33" s="84">
        <f ca="1">IF(N33=0,IF(N32=1,F25+F26+F27+F28+F29+F30+F31+F32," "),IF(M1=1,P33,IF(M1=2,Q33," ")))</f>
        <v>2282220</v>
      </c>
      <c r="G33" s="84">
        <v>0</v>
      </c>
      <c r="H33" s="84">
        <f t="shared" ca="1" si="19"/>
        <v>2948890</v>
      </c>
      <c r="I33" s="84">
        <f t="shared" ca="1" si="20"/>
        <v>740740</v>
      </c>
      <c r="J33" s="84">
        <f t="shared" ca="1" si="0"/>
        <v>2535800</v>
      </c>
      <c r="K33" s="84">
        <v>0</v>
      </c>
      <c r="L33" s="84">
        <f t="shared" ca="1" si="21"/>
        <v>3276540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2282220</v>
      </c>
      <c r="Q33" s="22">
        <f t="shared" ca="1" si="3"/>
        <v>2282220</v>
      </c>
      <c r="R33" s="22">
        <f t="shared" ca="1" si="23"/>
        <v>34666640</v>
      </c>
      <c r="S33" s="22">
        <f t="shared" ca="1" si="24"/>
        <v>666670</v>
      </c>
      <c r="T33" s="22">
        <f t="shared" ca="1" si="25"/>
        <v>666670</v>
      </c>
      <c r="U33" s="22">
        <f ca="1">IF(N34=1,R32*D11*20/36000+R33*D11*10/36000,IF(N34=0,IF(N33=0,0,R33*D11*Q12/36000+R32*D11*20/36000+R33*D11*10/36000)))</f>
        <v>2282220.6333333333</v>
      </c>
      <c r="V33" s="22">
        <f ca="1">IF(N34=1,R32*D11*20/36000+R33*D11*10/36000,IF(N34=0,IF(N33=0,0,R33*D11*Q12/36000+R32*D11*20/36000+R33*D11*10/36000)))</f>
        <v>2282220.6333333333</v>
      </c>
      <c r="W33" s="22">
        <f t="shared" ca="1" si="26"/>
        <v>2600000</v>
      </c>
      <c r="X33" s="22">
        <f t="shared" ca="1" si="27"/>
        <v>2600000</v>
      </c>
      <c r="Y33" s="22">
        <f t="shared" ca="1" si="4"/>
        <v>38518520</v>
      </c>
      <c r="Z33" s="22">
        <f t="shared" ca="1" si="28"/>
        <v>2535802.5333333332</v>
      </c>
      <c r="AA33" s="22">
        <f t="shared" ca="1" si="5"/>
        <v>2535800</v>
      </c>
      <c r="AB33" s="22">
        <f ca="1">IF(R34=0,R33*Q12,(R32*20+R33*10))</f>
        <v>1053332600</v>
      </c>
      <c r="AC33" s="22">
        <f t="shared" ca="1" si="6"/>
        <v>0</v>
      </c>
      <c r="AD33" s="22">
        <f t="shared" ca="1" si="7"/>
        <v>0</v>
      </c>
      <c r="AE33" s="22">
        <f t="shared" ca="1" si="29"/>
        <v>0</v>
      </c>
      <c r="AF33" s="22">
        <f t="shared" ca="1" si="8"/>
        <v>0</v>
      </c>
      <c r="AG33" s="22">
        <f t="shared" ca="1" si="30"/>
        <v>0</v>
      </c>
      <c r="AH33" s="22">
        <f t="shared" ca="1" si="9"/>
        <v>0</v>
      </c>
      <c r="AI33" s="22">
        <f t="shared" ca="1" si="10"/>
        <v>34666640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1"/>
        <v>10</v>
      </c>
      <c r="AM33" s="69">
        <f t="shared" ca="1" si="11"/>
        <v>10</v>
      </c>
      <c r="AN33" s="4">
        <f t="shared" ca="1" si="32"/>
        <v>2024</v>
      </c>
      <c r="AO33" s="4">
        <f t="shared" ca="1" si="12"/>
        <v>2024</v>
      </c>
      <c r="AP33" s="4">
        <f t="shared" ca="1" si="13"/>
        <v>1</v>
      </c>
      <c r="AQ33" s="4">
        <f t="shared" ca="1" si="14"/>
        <v>30</v>
      </c>
      <c r="AR33" s="4">
        <f t="shared" si="15"/>
        <v>20</v>
      </c>
      <c r="AS33" s="4">
        <f t="shared" ca="1" si="33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A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45616</v>
      </c>
      <c r="C34" s="401"/>
      <c r="D34" s="443">
        <f ca="1">IF(N34=0,IF(N33=1,D25+D26+D27+D28+D29+D30+D31+D32+D33," "),IF(N34=0," ",IF(N35=1,D25,IF(N35=0,D10-D25*(M14-1)," "))))</f>
        <v>666670</v>
      </c>
      <c r="E34" s="443"/>
      <c r="F34" s="84">
        <f ca="1">IF(N34=0,IF(N33=1,F25+F26+F27+F28+F29+F30+F31+F32+F33," "),IF(M1=1,P34,IF(M1=2,Q34," ")))</f>
        <v>2238890</v>
      </c>
      <c r="G34" s="84">
        <v>0</v>
      </c>
      <c r="H34" s="84">
        <f t="shared" ca="1" si="19"/>
        <v>2905560</v>
      </c>
      <c r="I34" s="84">
        <f t="shared" ca="1" si="20"/>
        <v>740740</v>
      </c>
      <c r="J34" s="84">
        <f t="shared" ca="1" si="0"/>
        <v>2487650</v>
      </c>
      <c r="K34" s="84">
        <v>0</v>
      </c>
      <c r="L34" s="84">
        <f t="shared" ca="1" si="21"/>
        <v>3228390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2238890</v>
      </c>
      <c r="Q34" s="22">
        <f t="shared" ca="1" si="3"/>
        <v>2238890</v>
      </c>
      <c r="R34" s="22">
        <f t="shared" ca="1" si="23"/>
        <v>33999970</v>
      </c>
      <c r="S34" s="22">
        <f t="shared" ca="1" si="24"/>
        <v>666670</v>
      </c>
      <c r="T34" s="22">
        <f t="shared" ca="1" si="25"/>
        <v>666670</v>
      </c>
      <c r="U34" s="22">
        <f ca="1">IF(N35=1,R33*D11*20/36000+R34*D11*10/36000,IF(N35=0,IF(N34=0,0,R34*D11*Q12/36000+29*D11*20/36000+R34*D11*10/36000)))</f>
        <v>2238887.0833333335</v>
      </c>
      <c r="V34" s="22">
        <f ca="1">IF(N35=1,R33*D11*20/36000+R34*D11*10/36000,IF(N35=0,IF(N34=0,0,R34*D11*Q12/36000+29*D11*20/36000+R34*D11*10/36000)))</f>
        <v>2238887.0833333335</v>
      </c>
      <c r="W34" s="22">
        <f t="shared" ca="1" si="26"/>
        <v>2600000</v>
      </c>
      <c r="X34" s="22">
        <f t="shared" ca="1" si="27"/>
        <v>2600000</v>
      </c>
      <c r="Y34" s="22">
        <f t="shared" ca="1" si="4"/>
        <v>37777780</v>
      </c>
      <c r="Z34" s="22">
        <f t="shared" ca="1" si="28"/>
        <v>2487654.4333333336</v>
      </c>
      <c r="AA34" s="22">
        <f t="shared" ca="1" si="5"/>
        <v>2487650</v>
      </c>
      <c r="AB34" s="22">
        <f ca="1">IF(R35=0,R34*Q12,(R33*20+R34*10))</f>
        <v>1033332500</v>
      </c>
      <c r="AC34" s="22">
        <f t="shared" ca="1" si="6"/>
        <v>0</v>
      </c>
      <c r="AD34" s="22">
        <f t="shared" ca="1" si="7"/>
        <v>0</v>
      </c>
      <c r="AE34" s="22">
        <f t="shared" ca="1" si="29"/>
        <v>0</v>
      </c>
      <c r="AF34" s="22">
        <f t="shared" ca="1" si="8"/>
        <v>0</v>
      </c>
      <c r="AG34" s="22">
        <f t="shared" ca="1" si="30"/>
        <v>0</v>
      </c>
      <c r="AH34" s="22">
        <f t="shared" ca="1" si="9"/>
        <v>0</v>
      </c>
      <c r="AI34" s="22">
        <f t="shared" ca="1" si="10"/>
        <v>33999970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1"/>
        <v>11</v>
      </c>
      <c r="AM34" s="69">
        <f t="shared" ca="1" si="11"/>
        <v>11</v>
      </c>
      <c r="AN34" s="4">
        <f t="shared" ca="1" si="32"/>
        <v>2024</v>
      </c>
      <c r="AO34" s="4">
        <f t="shared" ca="1" si="12"/>
        <v>2024</v>
      </c>
      <c r="AP34" s="4">
        <f t="shared" ca="1" si="13"/>
        <v>1</v>
      </c>
      <c r="AQ34" s="4">
        <f t="shared" ca="1" si="14"/>
        <v>30</v>
      </c>
      <c r="AR34" s="4">
        <f t="shared" si="15"/>
        <v>20</v>
      </c>
      <c r="AS34" s="4">
        <f t="shared" ca="1" si="33"/>
        <v>30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A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45646</v>
      </c>
      <c r="C35" s="401"/>
      <c r="D35" s="443">
        <f ca="1">IF(N35=0,IF(N34=1,D25+D26+D27+D28+D29+D30+D31+D32+D33+D34," "),IF(N35=0," ",IF(N36=1,D25,IF(N36=0,D10-D25*(M14-1)," "))))</f>
        <v>666670</v>
      </c>
      <c r="E35" s="443"/>
      <c r="F35" s="84">
        <f ca="1">IF(N35=0,IF(N34=1,F25+F26+F27+F28+F29+F30+F31+F32+F33+F34," "),IF(M1=1,P35,IF(M1=2,Q35," ")))</f>
        <v>2195550</v>
      </c>
      <c r="G35" s="84">
        <v>0</v>
      </c>
      <c r="H35" s="84">
        <f t="shared" ca="1" si="19"/>
        <v>2862220</v>
      </c>
      <c r="I35" s="84">
        <f t="shared" ca="1" si="20"/>
        <v>740740</v>
      </c>
      <c r="J35" s="84">
        <f t="shared" ca="1" si="0"/>
        <v>2439510</v>
      </c>
      <c r="K35" s="84">
        <v>0</v>
      </c>
      <c r="L35" s="84">
        <f t="shared" ca="1" si="21"/>
        <v>3180250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2195550</v>
      </c>
      <c r="Q35" s="22">
        <f t="shared" ca="1" si="3"/>
        <v>2195550</v>
      </c>
      <c r="R35" s="22">
        <f t="shared" ca="1" si="23"/>
        <v>33333300</v>
      </c>
      <c r="S35" s="22">
        <f t="shared" ca="1" si="24"/>
        <v>666670</v>
      </c>
      <c r="T35" s="22">
        <f t="shared" ca="1" si="25"/>
        <v>666670</v>
      </c>
      <c r="U35" s="22">
        <f ca="1">IF(N36=1,R34*D11*20/36000+R35*D11*10/36000,IF(N36=0,IF(N35=0,0,R35*D11*Q12/36000+R34*D11*20/36000+R35*D11*10/36000)))</f>
        <v>2195553.5333333332</v>
      </c>
      <c r="V35" s="22">
        <f ca="1">IF(N36=1,R34*D11*20/36000+R35*D11*10/36000,IF(N36=0,IF(N35=0,0,R35*D11*Q12/36000+R34*D11*20/36000+R35*D11*10/36000)))</f>
        <v>2195553.5333333332</v>
      </c>
      <c r="W35" s="22">
        <f t="shared" ca="1" si="26"/>
        <v>2600000</v>
      </c>
      <c r="X35" s="22">
        <f t="shared" ca="1" si="27"/>
        <v>2600000</v>
      </c>
      <c r="Y35" s="22">
        <f t="shared" ca="1" si="4"/>
        <v>37037040</v>
      </c>
      <c r="Z35" s="22">
        <f t="shared" ca="1" si="28"/>
        <v>2439506.333333333</v>
      </c>
      <c r="AA35" s="22">
        <f t="shared" ca="1" si="5"/>
        <v>2439510</v>
      </c>
      <c r="AB35" s="22">
        <f ca="1">IF(R36=0,R35*Q12,(R34*20+R35*10))</f>
        <v>1013332400</v>
      </c>
      <c r="AC35" s="22">
        <f t="shared" ca="1" si="6"/>
        <v>0</v>
      </c>
      <c r="AD35" s="22">
        <f t="shared" ca="1" si="7"/>
        <v>0</v>
      </c>
      <c r="AE35" s="22">
        <f t="shared" ca="1" si="29"/>
        <v>0</v>
      </c>
      <c r="AF35" s="22">
        <f t="shared" ca="1" si="8"/>
        <v>0</v>
      </c>
      <c r="AG35" s="22">
        <f t="shared" ca="1" si="30"/>
        <v>0</v>
      </c>
      <c r="AH35" s="22">
        <f t="shared" ca="1" si="9"/>
        <v>0</v>
      </c>
      <c r="AI35" s="22">
        <f t="shared" ca="1" si="10"/>
        <v>33333300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1"/>
        <v>12</v>
      </c>
      <c r="AM35" s="69">
        <f t="shared" ca="1" si="11"/>
        <v>12</v>
      </c>
      <c r="AN35" s="4">
        <f t="shared" ca="1" si="32"/>
        <v>2024</v>
      </c>
      <c r="AO35" s="4">
        <f t="shared" ca="1" si="12"/>
        <v>2024</v>
      </c>
      <c r="AP35" s="4">
        <f t="shared" ca="1" si="13"/>
        <v>1</v>
      </c>
      <c r="AQ35" s="4">
        <f t="shared" ca="1" si="14"/>
        <v>30</v>
      </c>
      <c r="AR35" s="4">
        <f t="shared" si="15"/>
        <v>20</v>
      </c>
      <c r="AS35" s="4">
        <f t="shared" ca="1" si="33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A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45677</v>
      </c>
      <c r="C36" s="401"/>
      <c r="D36" s="443">
        <f ca="1">IF(N36=0,IF(N35=1,D25+D26+D27+D28+D29+D30+D31+D32+D33+D34+D35," "),IF(N36=0," ",IF(N37=1,D25,IF(N37=0,D10-D25*(M14-1)," "))))</f>
        <v>666670</v>
      </c>
      <c r="E36" s="443"/>
      <c r="F36" s="84">
        <f ca="1">IF(N36=0,IF(N35=1,F25+F26+F27+F28+F29+F30+F31+F32+F33+F34+F35," "),IF(M1=1,P36,IF(M1=2,Q36," ")))</f>
        <v>2152220</v>
      </c>
      <c r="G36" s="84">
        <v>0</v>
      </c>
      <c r="H36" s="84">
        <f t="shared" ca="1" si="19"/>
        <v>2818890</v>
      </c>
      <c r="I36" s="84">
        <f t="shared" ca="1" si="20"/>
        <v>740740</v>
      </c>
      <c r="J36" s="84">
        <f t="shared" ca="1" si="0"/>
        <v>2391360</v>
      </c>
      <c r="K36" s="84">
        <v>0</v>
      </c>
      <c r="L36" s="84">
        <f t="shared" ca="1" si="21"/>
        <v>3132100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2152220</v>
      </c>
      <c r="Q36" s="22">
        <f t="shared" ca="1" si="3"/>
        <v>2152220</v>
      </c>
      <c r="R36" s="22">
        <f t="shared" ca="1" si="23"/>
        <v>32666630</v>
      </c>
      <c r="S36" s="22">
        <f t="shared" ca="1" si="24"/>
        <v>666670</v>
      </c>
      <c r="T36" s="22">
        <f t="shared" ca="1" si="25"/>
        <v>666670</v>
      </c>
      <c r="U36" s="22">
        <f ca="1">IF(N37=1,R35*D11*20/36000+R36*D11*10/36000,IF(N37=0,IF(N36=0,0,R36*D11*Q12/36000+R35*D11*20/36000+R36*D11*10/36000)))</f>
        <v>2152219.9833333334</v>
      </c>
      <c r="V36" s="22">
        <f ca="1">IF(N37=1,R35*D11*20/36000+R36*D11*10/36000,IF(N37=0,IF(N36=0,0,R36*D11*Q12/36000+R35*D11*20/36000+R36*D11*10/36000)))</f>
        <v>2152219.9833333334</v>
      </c>
      <c r="W36" s="22">
        <f t="shared" ca="1" si="26"/>
        <v>2600000</v>
      </c>
      <c r="X36" s="22">
        <f t="shared" ca="1" si="27"/>
        <v>2600000</v>
      </c>
      <c r="Y36" s="22">
        <f t="shared" ca="1" si="4"/>
        <v>36296300</v>
      </c>
      <c r="Z36" s="22">
        <f t="shared" ca="1" si="28"/>
        <v>2391358.2333333334</v>
      </c>
      <c r="AA36" s="22">
        <f t="shared" ca="1" si="5"/>
        <v>2391360</v>
      </c>
      <c r="AB36" s="22">
        <f ca="1">IF(R37=0,R36*Q12,(R35*20+R36*10))</f>
        <v>993332300</v>
      </c>
      <c r="AC36" s="22">
        <f t="shared" ca="1" si="6"/>
        <v>0</v>
      </c>
      <c r="AD36" s="22">
        <f t="shared" ca="1" si="7"/>
        <v>0</v>
      </c>
      <c r="AE36" s="22">
        <f t="shared" ca="1" si="29"/>
        <v>0</v>
      </c>
      <c r="AF36" s="22">
        <f t="shared" ca="1" si="8"/>
        <v>0</v>
      </c>
      <c r="AG36" s="22">
        <f t="shared" ca="1" si="30"/>
        <v>0</v>
      </c>
      <c r="AH36" s="22">
        <f t="shared" ca="1" si="9"/>
        <v>0</v>
      </c>
      <c r="AI36" s="22">
        <f t="shared" ca="1" si="10"/>
        <v>32666630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1"/>
        <v>13</v>
      </c>
      <c r="AM36" s="69">
        <f t="shared" ca="1" si="11"/>
        <v>1</v>
      </c>
      <c r="AN36" s="4">
        <f t="shared" ca="1" si="32"/>
        <v>2024</v>
      </c>
      <c r="AO36" s="4">
        <f t="shared" ca="1" si="12"/>
        <v>2025</v>
      </c>
      <c r="AP36" s="4">
        <f t="shared" ca="1" si="13"/>
        <v>1</v>
      </c>
      <c r="AQ36" s="4">
        <f t="shared" ca="1" si="14"/>
        <v>30</v>
      </c>
      <c r="AR36" s="4">
        <f t="shared" si="15"/>
        <v>20</v>
      </c>
      <c r="AS36" s="4">
        <f t="shared" ca="1" si="33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A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45708</v>
      </c>
      <c r="C37" s="401"/>
      <c r="D37" s="443">
        <f ca="1">IF(N37=0,IF(N36=1,D25+D26+D27+D28+D29+D30+D31+D32+D33+D34+D35+D36," "),IF(N37=0," ",IF(N38=1,D25,IF(N38=0,D10-D25*(M14-1)," "))))</f>
        <v>666670</v>
      </c>
      <c r="E37" s="443"/>
      <c r="F37" s="84">
        <f ca="1">IF(N37=0,IF(N36=1,F25+F26+F27+F28+F29+F30+F31+F32+F33+F34+F35+F36," "),IF(M1=1,P37,IF(M1=2,Q37," ")))</f>
        <v>2108890</v>
      </c>
      <c r="G37" s="84">
        <v>0</v>
      </c>
      <c r="H37" s="84">
        <f t="shared" ca="1" si="19"/>
        <v>2775560</v>
      </c>
      <c r="I37" s="84">
        <f t="shared" ca="1" si="20"/>
        <v>740740</v>
      </c>
      <c r="J37" s="84">
        <f t="shared" ca="1" si="0"/>
        <v>2343210</v>
      </c>
      <c r="K37" s="84">
        <v>0</v>
      </c>
      <c r="L37" s="84">
        <f t="shared" ca="1" si="21"/>
        <v>3083950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2108890</v>
      </c>
      <c r="Q37" s="22">
        <f t="shared" ca="1" si="3"/>
        <v>2108890</v>
      </c>
      <c r="R37" s="22">
        <f t="shared" ca="1" si="23"/>
        <v>31999960</v>
      </c>
      <c r="S37" s="22">
        <f t="shared" ca="1" si="24"/>
        <v>666670</v>
      </c>
      <c r="T37" s="22">
        <f t="shared" ca="1" si="25"/>
        <v>666670</v>
      </c>
      <c r="U37" s="22">
        <f ca="1">IF(N38=1,R36*D$11*20/36000+R37*D$11*10/36000,IF(N38=0,IF(N37=0,0,IF(D16&gt;20,R36*D$11*20/36000+R37*D$11*(Q$12-20)/36000,R37*D$11*Q$12/36000))))</f>
        <v>2108886.4333333331</v>
      </c>
      <c r="V37" s="22">
        <f ca="1">IF(N38=1,R36*D$11*20/36000+R37*D$11*10/36000,IF(N38=0,IF(N37=0,0,IF(D16&gt;20,R36*D$11*20/36000+R37*D$11*(Q$12-20)/36000,R37*D$11*Q$12/36000))))</f>
        <v>2108886.4333333331</v>
      </c>
      <c r="W37" s="22">
        <f t="shared" ca="1" si="26"/>
        <v>2600000</v>
      </c>
      <c r="X37" s="22">
        <f t="shared" ca="1" si="27"/>
        <v>2600000</v>
      </c>
      <c r="Y37" s="22">
        <f t="shared" ca="1" si="4"/>
        <v>35555560</v>
      </c>
      <c r="Z37" s="22">
        <f ca="1">IF(N38=1,Y36*D$11*20/36000+Y37*D$11*10/36000,IF(N38=0,IF(N37=0,0,IF(D$16&gt;20,Y36*D$11*20/36000+Y37*D$11*(Q$12-20)/36000,Y37*D$11*Q$12/36000))))</f>
        <v>2343210.1333333333</v>
      </c>
      <c r="AA37" s="22">
        <f t="shared" ca="1" si="5"/>
        <v>2343210</v>
      </c>
      <c r="AB37" s="22">
        <f ca="1">IF(R38=0,R37*Q12,(R36*20+R37*10))</f>
        <v>973332200</v>
      </c>
      <c r="AC37" s="22">
        <f t="shared" ca="1" si="6"/>
        <v>0</v>
      </c>
      <c r="AD37" s="22">
        <f t="shared" ca="1" si="7"/>
        <v>0</v>
      </c>
      <c r="AE37" s="22">
        <f t="shared" ca="1" si="29"/>
        <v>0</v>
      </c>
      <c r="AF37" s="22">
        <f t="shared" ca="1" si="8"/>
        <v>0</v>
      </c>
      <c r="AG37" s="22">
        <f t="shared" ca="1" si="30"/>
        <v>0</v>
      </c>
      <c r="AH37" s="22">
        <f t="shared" ca="1" si="9"/>
        <v>0</v>
      </c>
      <c r="AI37" s="22">
        <f t="shared" ca="1" si="10"/>
        <v>31999960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1"/>
        <v>2</v>
      </c>
      <c r="AM37" s="69">
        <f t="shared" ca="1" si="11"/>
        <v>2</v>
      </c>
      <c r="AN37" s="4">
        <f t="shared" ca="1" si="32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28</v>
      </c>
      <c r="AR37" s="4">
        <f t="shared" si="15"/>
        <v>20</v>
      </c>
      <c r="AS37" s="4">
        <f t="shared" ca="1" si="33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A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45736</v>
      </c>
      <c r="C38" s="401"/>
      <c r="D38" s="443">
        <f ca="1">IF(N38=0,IF(N37=1,D25+D26+D27+D28+D29+D30+D31+D32+D33+D34+D35+D36+D37," "),IF(N38=0," ",IF(N39=1,D25,IF(N39=0,D10-D25*(M14-1)," "))))</f>
        <v>666670</v>
      </c>
      <c r="E38" s="443"/>
      <c r="F38" s="84">
        <f ca="1">IF(N38=0,IF(N37=1,F25+F26+F27+F28+F29+F30+F31+F32+F33+F34+F35+F36+F37," "),IF(M1=1,P38,IF(M1=2,Q38," ")))</f>
        <v>2065550</v>
      </c>
      <c r="G38" s="84">
        <v>0</v>
      </c>
      <c r="H38" s="84">
        <f t="shared" ca="1" si="19"/>
        <v>2732220</v>
      </c>
      <c r="I38" s="84">
        <f t="shared" ca="1" si="20"/>
        <v>740740</v>
      </c>
      <c r="J38" s="84">
        <f t="shared" ca="1" si="0"/>
        <v>2295060</v>
      </c>
      <c r="K38" s="84">
        <v>0</v>
      </c>
      <c r="L38" s="84">
        <f t="shared" ca="1" si="21"/>
        <v>3035800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2065550</v>
      </c>
      <c r="Q38" s="22">
        <f t="shared" ca="1" si="3"/>
        <v>2065550</v>
      </c>
      <c r="R38" s="22">
        <f t="shared" ca="1" si="23"/>
        <v>31333290</v>
      </c>
      <c r="S38" s="22">
        <f t="shared" ca="1" si="24"/>
        <v>666670</v>
      </c>
      <c r="T38" s="22">
        <f t="shared" ca="1" si="25"/>
        <v>666670</v>
      </c>
      <c r="U38" s="22">
        <f ca="1">IF(N39=1,R37*D11*20/36000+R38*D11*10/36000,IF(N39=0,IF(N38=0,0,R38*D11*Q12/36000+R37*D11*20/36000+R38*D11*10/36000)))</f>
        <v>2065552.8833333333</v>
      </c>
      <c r="V38" s="22">
        <f ca="1">IF(N39=1,R37*D11*20/36000+R38*D11*10/36000,IF(N39=0,IF(N38=0,0,R38*D11*Q12/36000+R37*D11*20/36000+R38*D11*10/36000)))</f>
        <v>2065552.8833333333</v>
      </c>
      <c r="W38" s="22">
        <f t="shared" ca="1" si="26"/>
        <v>2600000</v>
      </c>
      <c r="X38" s="22">
        <f t="shared" ca="1" si="27"/>
        <v>2600000</v>
      </c>
      <c r="Y38" s="22">
        <f t="shared" ca="1" si="4"/>
        <v>34814820</v>
      </c>
      <c r="Z38" s="22">
        <f ca="1">IF(N39=1,Y37*D$11*20/36000+Y38*D$11*10/36000,IF(N39=0,IF(N38=0,0,Y38*D$11*Q$12/36000+Y37*D$11*20/36000+Y38*D$11*10/36000)))</f>
        <v>2295062.0333333332</v>
      </c>
      <c r="AA38" s="22">
        <f t="shared" ca="1" si="5"/>
        <v>2295060</v>
      </c>
      <c r="AB38" s="22">
        <f ca="1">IF(R39=0,R38*Q12,(R37*20+R38*10))</f>
        <v>953332100</v>
      </c>
      <c r="AC38" s="22">
        <f t="shared" ca="1" si="6"/>
        <v>0</v>
      </c>
      <c r="AD38" s="22">
        <f t="shared" ca="1" si="7"/>
        <v>0</v>
      </c>
      <c r="AE38" s="22">
        <f t="shared" ca="1" si="29"/>
        <v>0</v>
      </c>
      <c r="AF38" s="22">
        <f t="shared" ca="1" si="8"/>
        <v>0</v>
      </c>
      <c r="AG38" s="22">
        <f t="shared" ca="1" si="30"/>
        <v>0</v>
      </c>
      <c r="AH38" s="22">
        <f t="shared" ca="1" si="9"/>
        <v>0</v>
      </c>
      <c r="AI38" s="22">
        <f t="shared" ca="1" si="10"/>
        <v>31333290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1"/>
        <v>3</v>
      </c>
      <c r="AM38" s="69">
        <f t="shared" ca="1" si="11"/>
        <v>3</v>
      </c>
      <c r="AN38" s="4">
        <f t="shared" ca="1" si="32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3"/>
        <v>28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A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45767</v>
      </c>
      <c r="C39" s="401"/>
      <c r="D39" s="443">
        <f ca="1">IF(N39=0,IF(N38=1,D25+D26+D27+D28+D29+D30+D31+D32+D33+D34+D35+D36+D37+D38," "),IF(N39=0," ",IF(N40=1,D25,IF(N40=0,D10-D25*(M14-1)," "))))</f>
        <v>666670</v>
      </c>
      <c r="E39" s="443"/>
      <c r="F39" s="84">
        <f ca="1">IF(N39=0,IF(N38=1,F25+F26+F27+F28+F29+F30+F31+F32+F33+F34+F35+F36+F37+F38," "),IF(M1=1,P39,IF(M1=2,Q39," ")))</f>
        <v>2022220</v>
      </c>
      <c r="G39" s="84">
        <v>0</v>
      </c>
      <c r="H39" s="84">
        <f t="shared" ca="1" si="19"/>
        <v>2688890</v>
      </c>
      <c r="I39" s="84">
        <f t="shared" ca="1" si="20"/>
        <v>740740</v>
      </c>
      <c r="J39" s="84">
        <f t="shared" ca="1" si="0"/>
        <v>2246910</v>
      </c>
      <c r="K39" s="84">
        <v>0</v>
      </c>
      <c r="L39" s="84">
        <f t="shared" ca="1" si="21"/>
        <v>2987650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2022220</v>
      </c>
      <c r="Q39" s="22">
        <f t="shared" ca="1" si="3"/>
        <v>2022220</v>
      </c>
      <c r="R39" s="22">
        <f t="shared" ca="1" si="23"/>
        <v>30666620</v>
      </c>
      <c r="S39" s="22">
        <f t="shared" ca="1" si="24"/>
        <v>666670</v>
      </c>
      <c r="T39" s="22">
        <f t="shared" ca="1" si="25"/>
        <v>666670</v>
      </c>
      <c r="U39" s="22">
        <f ca="1">IF(N40=1,R38*D11*20/36000+R39*D11*10/36000,IF(N40=0,IF(N39=0,0,R39*D11*Q12/36000+R38*D11*20/36000+R39*D11*10/36000)))</f>
        <v>2022219.3333333333</v>
      </c>
      <c r="V39" s="22">
        <f ca="1">IF(N40=1,R38*D11*20/36000+R39*D11*10/36000,IF(N40=0,IF(N39=0,0,R39*D11*Q12/36000+R38*D11*20/36000+R39*D11*10/36000)))</f>
        <v>2022219.3333333333</v>
      </c>
      <c r="W39" s="22">
        <f t="shared" ca="1" si="26"/>
        <v>2600000</v>
      </c>
      <c r="X39" s="22">
        <f t="shared" ca="1" si="27"/>
        <v>2600000</v>
      </c>
      <c r="Y39" s="22">
        <f t="shared" ca="1" si="4"/>
        <v>34074080</v>
      </c>
      <c r="Z39" s="22">
        <f ca="1">IF(N40=1,Y38*D$11*20/36000+Y39*D$11*10/36000,IF(N40=0,IF(N39=0,0,Y39*D$11*Q$12/36000+Y38*D$11*20/36000+Y39*D$11*10/36000)))</f>
        <v>2246913.9333333331</v>
      </c>
      <c r="AA39" s="22">
        <f t="shared" ca="1" si="5"/>
        <v>2246910</v>
      </c>
      <c r="AB39" s="22">
        <f ca="1">IF(R40=0,R39*Q12,(R38*20+R39*10))</f>
        <v>933332000</v>
      </c>
      <c r="AC39" s="22">
        <f t="shared" ca="1" si="6"/>
        <v>0</v>
      </c>
      <c r="AD39" s="22">
        <f t="shared" ca="1" si="7"/>
        <v>0</v>
      </c>
      <c r="AE39" s="22">
        <f t="shared" ca="1" si="29"/>
        <v>0</v>
      </c>
      <c r="AF39" s="22">
        <f t="shared" ca="1" si="8"/>
        <v>0</v>
      </c>
      <c r="AG39" s="22">
        <f t="shared" ca="1" si="30"/>
        <v>0</v>
      </c>
      <c r="AH39" s="22">
        <f t="shared" ca="1" si="9"/>
        <v>0</v>
      </c>
      <c r="AI39" s="22">
        <f t="shared" ca="1" si="10"/>
        <v>30666620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1"/>
        <v>4</v>
      </c>
      <c r="AM39" s="69">
        <f t="shared" ca="1" si="11"/>
        <v>4</v>
      </c>
      <c r="AN39" s="4">
        <f t="shared" ca="1" si="32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3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A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45797</v>
      </c>
      <c r="C40" s="401"/>
      <c r="D40" s="443">
        <f ca="1">IF(N40=0,IF(N39=1,D25+D26+D27+D28+D29+D30+D31+D32+D33+D34+D35+D36+D37+D38+D39," "),IF(N40=0," ",IF(N41=1,D25,IF(N41=0,D10-D25*(M14-1)," "))))</f>
        <v>666670</v>
      </c>
      <c r="E40" s="443"/>
      <c r="F40" s="84">
        <f ca="1">IF(N40=0,IF(N39=1,F25+F26+F27+F28+F29+F30+F31+F32+F33+F34+F35+F36+F37+F38+F39," "),IF(M1=1,P40,IF(M1=2,Q40," ")))</f>
        <v>1978890</v>
      </c>
      <c r="G40" s="84">
        <v>0</v>
      </c>
      <c r="H40" s="84">
        <f t="shared" ca="1" si="19"/>
        <v>2645560</v>
      </c>
      <c r="I40" s="84">
        <f t="shared" ca="1" si="20"/>
        <v>740740</v>
      </c>
      <c r="J40" s="84">
        <f t="shared" ca="1" si="0"/>
        <v>2198770</v>
      </c>
      <c r="K40" s="84">
        <v>0</v>
      </c>
      <c r="L40" s="84">
        <f t="shared" ca="1" si="21"/>
        <v>2939510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1978890</v>
      </c>
      <c r="Q40" s="22">
        <f t="shared" ca="1" si="3"/>
        <v>1978890</v>
      </c>
      <c r="R40" s="22">
        <f t="shared" ca="1" si="23"/>
        <v>29999950</v>
      </c>
      <c r="S40" s="22">
        <f t="shared" ca="1" si="24"/>
        <v>666670</v>
      </c>
      <c r="T40" s="22">
        <f t="shared" ca="1" si="25"/>
        <v>666670</v>
      </c>
      <c r="U40" s="22">
        <f ca="1">IF(N41=1,R39*D11*20/36000+R40*D11*10/36000,IF(N41=0,IF(N40=0,0,R40*D11*Q12/36000+R39*D11*20/36000+R40*D11*10/36000)))</f>
        <v>1978885.7833333332</v>
      </c>
      <c r="V40" s="22">
        <f ca="1">IF(N41=1,R39*D11*20/36000+R40*D11*10/36000,IF(N41=0,IF(N40=0,0,R40*D11*Q12/36000+R39*D11*20/36000+R40*D11*10/36000)))</f>
        <v>1978885.7833333332</v>
      </c>
      <c r="W40" s="22">
        <f t="shared" ca="1" si="26"/>
        <v>2600000</v>
      </c>
      <c r="X40" s="22">
        <f t="shared" ca="1" si="27"/>
        <v>2600000</v>
      </c>
      <c r="Y40" s="22">
        <f t="shared" ca="1" si="4"/>
        <v>33333340</v>
      </c>
      <c r="Z40" s="22">
        <f ca="1">IF(N41=1,Y39*D$11*20/36000+Y40*D$11*10/36000,IF(N41=0,IF(N40=0,0,Y40*D$11*Q$12/36000+Y39*D$11*20/36000+Y40*D$11*10/36000)))</f>
        <v>2198765.833333333</v>
      </c>
      <c r="AA40" s="22">
        <f t="shared" ca="1" si="5"/>
        <v>2198770</v>
      </c>
      <c r="AB40" s="22">
        <f ca="1">IF(R41=0,R40*Q12,(R39*20+R40*10))</f>
        <v>913331900</v>
      </c>
      <c r="AC40" s="22">
        <f t="shared" ca="1" si="6"/>
        <v>0</v>
      </c>
      <c r="AD40" s="22">
        <f t="shared" ca="1" si="7"/>
        <v>0</v>
      </c>
      <c r="AE40" s="22">
        <f t="shared" ca="1" si="29"/>
        <v>0</v>
      </c>
      <c r="AF40" s="22">
        <f t="shared" ca="1" si="8"/>
        <v>0</v>
      </c>
      <c r="AG40" s="22">
        <f t="shared" ca="1" si="30"/>
        <v>0</v>
      </c>
      <c r="AH40" s="22">
        <f t="shared" ca="1" si="9"/>
        <v>0</v>
      </c>
      <c r="AI40" s="22">
        <f t="shared" ca="1" si="10"/>
        <v>29999950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1"/>
        <v>5</v>
      </c>
      <c r="AM40" s="69">
        <f t="shared" ca="1" si="11"/>
        <v>5</v>
      </c>
      <c r="AN40" s="4">
        <f t="shared" ca="1" si="32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3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A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45828</v>
      </c>
      <c r="C41" s="401"/>
      <c r="D41" s="443">
        <f ca="1">IF(N41=0,IF(N40=1,D25+D26+D27+D28+D29+D30+D31+D32+D33+D34+D35+D36+D37+D38+D39+D40," "),IF(N41=0," ",IF(N42=1,D25,IF(N42=0,D10-D25*(M14-1)," "))))</f>
        <v>666670</v>
      </c>
      <c r="E41" s="443"/>
      <c r="F41" s="84">
        <f ca="1">IF(N41=0,IF(N40=1,F25+F26+F27+F28+F29+F30+F31+F32+F33+F34+F36+F35+F37+F38+F39+F40," "),IF(M1=1,P41,IF(M1=2,Q41," ")))</f>
        <v>1935550</v>
      </c>
      <c r="G41" s="84">
        <v>0</v>
      </c>
      <c r="H41" s="84">
        <f t="shared" ca="1" si="19"/>
        <v>2602220</v>
      </c>
      <c r="I41" s="84">
        <f t="shared" ca="1" si="20"/>
        <v>740740</v>
      </c>
      <c r="J41" s="84">
        <f t="shared" ca="1" si="0"/>
        <v>2150620</v>
      </c>
      <c r="K41" s="84">
        <v>0</v>
      </c>
      <c r="L41" s="84">
        <f t="shared" ca="1" si="21"/>
        <v>2891360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1935550</v>
      </c>
      <c r="Q41" s="22">
        <f t="shared" ca="1" si="3"/>
        <v>1935550</v>
      </c>
      <c r="R41" s="22">
        <f t="shared" ca="1" si="23"/>
        <v>29333280</v>
      </c>
      <c r="S41" s="22">
        <f t="shared" ca="1" si="24"/>
        <v>666670</v>
      </c>
      <c r="T41" s="22">
        <f t="shared" ca="1" si="25"/>
        <v>666670</v>
      </c>
      <c r="U41" s="22">
        <f ca="1">IF(N42=1,R40*D11*20/36000+R41*D11*10/36000,IF(N42=0,IF(N41=0,0,R41*D11*Q12/36000+R40*D11*20/36000+R41*D11*10/36000)))</f>
        <v>1935552.2333333334</v>
      </c>
      <c r="V41" s="22">
        <f ca="1">IF(N42=1,R40*D11*20/36000+R41*D11*10/36000,IF(N42=0,IF(N41=0,0,R41*D11*Q12/36000+R40*D11*20/36000+R41*D11*10/36000)))</f>
        <v>1935552.2333333334</v>
      </c>
      <c r="W41" s="22">
        <f t="shared" ca="1" si="26"/>
        <v>2600000</v>
      </c>
      <c r="X41" s="22">
        <f t="shared" ca="1" si="27"/>
        <v>2600000</v>
      </c>
      <c r="Y41" s="22">
        <f t="shared" ca="1" si="4"/>
        <v>32592600</v>
      </c>
      <c r="Z41" s="22">
        <f ca="1">IF(N42=1,Y40*D$11*20/36000+Y41*D$11*10/36000,IF(N42=0,IF(N41=0,0,Y41*D$11*Q$12/36000+Y40*D$11*20/36000+Y41*D$11*10/36000)))</f>
        <v>2150617.7333333334</v>
      </c>
      <c r="AA41" s="22">
        <f t="shared" ca="1" si="5"/>
        <v>2150620</v>
      </c>
      <c r="AB41" s="22">
        <f ca="1">IF(R42=0,R41*Q12,(R40*20+R41*10))</f>
        <v>893331800</v>
      </c>
      <c r="AC41" s="22">
        <f t="shared" ca="1" si="6"/>
        <v>0</v>
      </c>
      <c r="AD41" s="22">
        <f t="shared" ca="1" si="7"/>
        <v>0</v>
      </c>
      <c r="AE41" s="22">
        <f t="shared" ca="1" si="29"/>
        <v>0</v>
      </c>
      <c r="AF41" s="22">
        <f t="shared" ca="1" si="8"/>
        <v>0</v>
      </c>
      <c r="AG41" s="22">
        <f t="shared" ca="1" si="30"/>
        <v>0</v>
      </c>
      <c r="AH41" s="22">
        <f t="shared" ca="1" si="9"/>
        <v>0</v>
      </c>
      <c r="AI41" s="22">
        <f t="shared" ca="1" si="10"/>
        <v>29333280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1"/>
        <v>6</v>
      </c>
      <c r="AM41" s="69">
        <f t="shared" ca="1" si="11"/>
        <v>6</v>
      </c>
      <c r="AN41" s="4">
        <f t="shared" ca="1" si="32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3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A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45858</v>
      </c>
      <c r="C42" s="401"/>
      <c r="D42" s="443">
        <f ca="1">IF(N42=0,IF(N41=1,D25+D26+D27+D28+D29+D30+D31+D32+D33+D34+D35+D36+D37+D38+D39+D40+D41," "),IF(N42=0," ",IF(N43=1,D25,IF(N43=0,D10-D25*(M14-1)," "))))</f>
        <v>666670</v>
      </c>
      <c r="E42" s="443"/>
      <c r="F42" s="84">
        <f ca="1">IF(N42=0,IF(N41=1,F25+F26+F27+F28+F29+F30+F31+F32+F33+F34+F35+F36+F37+F38+F39+F40+F41," "),IF(M1=1,P42,IF(M1=2,Q42," ")))</f>
        <v>1892220</v>
      </c>
      <c r="G42" s="84">
        <v>0</v>
      </c>
      <c r="H42" s="84">
        <f t="shared" ca="1" si="19"/>
        <v>2558890</v>
      </c>
      <c r="I42" s="84">
        <f t="shared" ca="1" si="20"/>
        <v>740740</v>
      </c>
      <c r="J42" s="84">
        <f t="shared" ca="1" si="0"/>
        <v>2102470</v>
      </c>
      <c r="K42" s="84">
        <v>0</v>
      </c>
      <c r="L42" s="84">
        <f t="shared" ca="1" si="21"/>
        <v>2843210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1892220</v>
      </c>
      <c r="Q42" s="22">
        <f t="shared" ca="1" si="3"/>
        <v>1892220</v>
      </c>
      <c r="R42" s="22">
        <f t="shared" ca="1" si="23"/>
        <v>28666610</v>
      </c>
      <c r="S42" s="22">
        <f t="shared" ca="1" si="24"/>
        <v>666670</v>
      </c>
      <c r="T42" s="22">
        <f t="shared" ca="1" si="25"/>
        <v>666670</v>
      </c>
      <c r="U42" s="22">
        <f ca="1">IF(N43=1,R41*D11*20/36000+R42*D11*10/36000,IF(N43=0,IF(N42=0,0,R42*D11*Q12/36000+R41*D11*20/36000+R42*D11*10/36000)))</f>
        <v>1892218.6833333333</v>
      </c>
      <c r="V42" s="22">
        <f ca="1">IF(N43=1,R41*D11*20/36000+R42*D11*10/36000,IF(N43=0,IF(N42=0,0,R42*D11*Q12/36000+R41*D11*20/36000+R42*D11*10/36000)))</f>
        <v>1892218.6833333333</v>
      </c>
      <c r="W42" s="22">
        <f t="shared" ca="1" si="26"/>
        <v>2600000</v>
      </c>
      <c r="X42" s="22">
        <f t="shared" ca="1" si="27"/>
        <v>2600000</v>
      </c>
      <c r="Y42" s="22">
        <f t="shared" ca="1" si="4"/>
        <v>31851860</v>
      </c>
      <c r="Z42" s="22">
        <f ca="1">IF(N43=1,Y41*D$11*20/36000+Y42*D$11*10/36000,IF(N43=0,IF(N42=0,0,Y42*D$11*Q$12/36000+Y41*D$11*20/36000+Y42*D$11*10/36000)))</f>
        <v>2102469.6333333333</v>
      </c>
      <c r="AA42" s="22">
        <f t="shared" ca="1" si="5"/>
        <v>2102470</v>
      </c>
      <c r="AB42" s="22">
        <f ca="1">IF(R43=0,R42*Q12,(R41*20+R42*10))</f>
        <v>873331700</v>
      </c>
      <c r="AC42" s="22">
        <f t="shared" ca="1" si="6"/>
        <v>0</v>
      </c>
      <c r="AD42" s="22">
        <f t="shared" ca="1" si="7"/>
        <v>0</v>
      </c>
      <c r="AE42" s="22">
        <f t="shared" ca="1" si="29"/>
        <v>0</v>
      </c>
      <c r="AF42" s="22">
        <f t="shared" ca="1" si="8"/>
        <v>0</v>
      </c>
      <c r="AG42" s="22">
        <f t="shared" ca="1" si="30"/>
        <v>0</v>
      </c>
      <c r="AH42" s="22">
        <f t="shared" ca="1" si="9"/>
        <v>0</v>
      </c>
      <c r="AI42" s="22">
        <f t="shared" ca="1" si="10"/>
        <v>28666610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1"/>
        <v>7</v>
      </c>
      <c r="AM42" s="69">
        <f t="shared" ca="1" si="11"/>
        <v>7</v>
      </c>
      <c r="AN42" s="4">
        <f t="shared" ca="1" si="32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3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A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45889</v>
      </c>
      <c r="C43" s="401"/>
      <c r="D43" s="443">
        <f ca="1">IF(N43=0,IF(N42=1,D25+D26+D27+D28+D29+D30+D31+D32+D33+D34+D35+D36+D37+D38+D39+D40+D41+D42," "),IF(N43=0," ",IF(N44=1,D25,IF(N44=0,D10-D25*(M14-1)," "))))</f>
        <v>666670</v>
      </c>
      <c r="E43" s="443"/>
      <c r="F43" s="84">
        <f ca="1">IF(N43=0,IF(N42=1,F25+F26+F27+F28+F29+F30+F31+F32+F33+F34+F35+F36+F37+F38+F39+F40+F41+F42," "),IF(M1=1,P43,IF(M1=2,Q43," ")))</f>
        <v>1848880</v>
      </c>
      <c r="G43" s="84">
        <v>0</v>
      </c>
      <c r="H43" s="84">
        <f t="shared" ca="1" si="19"/>
        <v>2515550</v>
      </c>
      <c r="I43" s="84">
        <f t="shared" ca="1" si="20"/>
        <v>740740</v>
      </c>
      <c r="J43" s="84">
        <f t="shared" ca="1" si="0"/>
        <v>2054320</v>
      </c>
      <c r="K43" s="84">
        <v>0</v>
      </c>
      <c r="L43" s="84">
        <f t="shared" ca="1" si="21"/>
        <v>2795060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1848880</v>
      </c>
      <c r="Q43" s="22">
        <f t="shared" ca="1" si="3"/>
        <v>1848880</v>
      </c>
      <c r="R43" s="22">
        <f t="shared" ca="1" si="23"/>
        <v>27999940</v>
      </c>
      <c r="S43" s="22">
        <f t="shared" ca="1" si="24"/>
        <v>666670</v>
      </c>
      <c r="T43" s="22">
        <f t="shared" ca="1" si="25"/>
        <v>666670</v>
      </c>
      <c r="U43" s="22">
        <f ca="1">IF(N44=1,R42*D$11*20/36000+R43*D$11*10/36000,IF(N44=0,IF(N43=0,0,IF(D22&gt;20,R42*D$11*20/36000+R43*D$11*(Q$12-20)/36000,R43*D$11*Q$12/36000))))</f>
        <v>1848885.1333333333</v>
      </c>
      <c r="V43" s="22">
        <f ca="1">IF(N44=1,R42*D$11*20/36000+R43*D$11*10/36000,IF(N44=0,IF(N43=0,0,IF(D22&gt;20,R42*D$11*20/36000+R43*D$11*(Q$12-20)/36000,R43*D$11*Q$12/36000))))</f>
        <v>1848885.1333333333</v>
      </c>
      <c r="W43" s="22">
        <f t="shared" ca="1" si="26"/>
        <v>2600000</v>
      </c>
      <c r="X43" s="22">
        <f t="shared" ca="1" si="27"/>
        <v>2600000</v>
      </c>
      <c r="Y43" s="22">
        <f t="shared" ca="1" si="4"/>
        <v>31111120</v>
      </c>
      <c r="Z43" s="22">
        <f ca="1">IF(N44=1,Y42*D$11*20/36000+Y43*D$11*10/36000,IF(N44=0,IF(N43=0,0,IF(D$16&gt;20,Y42*D$11*20/36000+Y43*D$11*(Q$12-20)/36000,Y43*D$11*Q$12/36000))))</f>
        <v>2054321.5333333332</v>
      </c>
      <c r="AA43" s="22">
        <f t="shared" ca="1" si="5"/>
        <v>2054320</v>
      </c>
      <c r="AB43" s="22">
        <f ca="1">IF(R44=0,R43*Q12,(R42*20+R43*10))</f>
        <v>853331600</v>
      </c>
      <c r="AC43" s="22">
        <f t="shared" ca="1" si="6"/>
        <v>0</v>
      </c>
      <c r="AD43" s="22">
        <f t="shared" ca="1" si="7"/>
        <v>0</v>
      </c>
      <c r="AE43" s="22">
        <f t="shared" ca="1" si="29"/>
        <v>0</v>
      </c>
      <c r="AF43" s="22">
        <f t="shared" ca="1" si="8"/>
        <v>0</v>
      </c>
      <c r="AG43" s="22">
        <f t="shared" ca="1" si="30"/>
        <v>0</v>
      </c>
      <c r="AH43" s="22">
        <f t="shared" ca="1" si="9"/>
        <v>0</v>
      </c>
      <c r="AI43" s="22">
        <f t="shared" ca="1" si="10"/>
        <v>27999940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1"/>
        <v>8</v>
      </c>
      <c r="AM43" s="69">
        <f t="shared" ca="1" si="11"/>
        <v>8</v>
      </c>
      <c r="AN43" s="4">
        <f t="shared" ca="1" si="32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3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A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45920</v>
      </c>
      <c r="C44" s="401"/>
      <c r="D44" s="443">
        <f ca="1">IF(N44=0,IF(N43=1,D25+D26+D27+D28+D29+D30+D31+D32+D33+D34+D35+D36+D37+D38+D39+D40+D41+D42+D43," "),IF(N44=0," ",IF(N45=1,D25,IF(N45=0,D10-D25*(M14-1)," "))))</f>
        <v>666670</v>
      </c>
      <c r="E44" s="443"/>
      <c r="F44" s="84">
        <f ca="1">IF(N44=0,IF(N43=1,F25+F26+F27+F28+F29+F30+F31+F32+F33+F34+F35+F36+F37+F38+F39+F40+F41+F42+F43," "),IF(M1=1,P44,IF(M1=2,Q44," ")))</f>
        <v>1805550</v>
      </c>
      <c r="G44" s="84">
        <v>0</v>
      </c>
      <c r="H44" s="84">
        <f t="shared" ca="1" si="19"/>
        <v>2472220</v>
      </c>
      <c r="I44" s="84">
        <f t="shared" ca="1" si="20"/>
        <v>740740</v>
      </c>
      <c r="J44" s="84">
        <f t="shared" ca="1" si="0"/>
        <v>2006170</v>
      </c>
      <c r="K44" s="84">
        <v>0</v>
      </c>
      <c r="L44" s="84">
        <f t="shared" ca="1" si="21"/>
        <v>2746910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1805550</v>
      </c>
      <c r="Q44" s="22">
        <f t="shared" ca="1" si="3"/>
        <v>1805550</v>
      </c>
      <c r="R44" s="22">
        <f t="shared" ca="1" si="23"/>
        <v>27333270</v>
      </c>
      <c r="S44" s="22">
        <f t="shared" ca="1" si="24"/>
        <v>666670</v>
      </c>
      <c r="T44" s="22">
        <f t="shared" ca="1" si="25"/>
        <v>666670</v>
      </c>
      <c r="U44" s="22">
        <f ca="1">IF(N45=1,R43*D11*20/36000+R44*D11*10/36000,IF(N45=0,IF(N44=0,0,R44*D11*Q12/36000+R43*D11*20/36000+R44*D11*10/36000)))</f>
        <v>1805551.5833333335</v>
      </c>
      <c r="V44" s="22">
        <f ca="1">IF(N45=1,R43*D11*20/36000+R44*D11*10/36000,IF(N45=0,IF(N44=0,0,R44*D11*Q12/36000+R43*D11*20/36000+R44*D11*10/36000)))</f>
        <v>1805551.5833333335</v>
      </c>
      <c r="W44" s="22">
        <f t="shared" ca="1" si="26"/>
        <v>2600000</v>
      </c>
      <c r="X44" s="22">
        <f t="shared" ca="1" si="27"/>
        <v>2600000</v>
      </c>
      <c r="Y44" s="22">
        <f t="shared" ca="1" si="4"/>
        <v>30370380</v>
      </c>
      <c r="Z44" s="22">
        <f ca="1">IF(N45=1,Y43*D$11*20/36000+Y44*D$11*10/36000,IF(N45=0,IF(N44=0,0,Y44*D$11*Q$12/36000+Y43*D$11*20/36000+Y44*D$11*10/36000)))</f>
        <v>2006173.4333333336</v>
      </c>
      <c r="AA44" s="22">
        <f t="shared" ca="1" si="5"/>
        <v>2006170</v>
      </c>
      <c r="AB44" s="22">
        <f ca="1">IF(R45=0,R44*Q12,(R43*20+R44*10))</f>
        <v>833331500</v>
      </c>
      <c r="AC44" s="22">
        <f t="shared" ca="1" si="6"/>
        <v>0</v>
      </c>
      <c r="AD44" s="22">
        <f t="shared" ca="1" si="7"/>
        <v>0</v>
      </c>
      <c r="AE44" s="22">
        <f t="shared" ca="1" si="29"/>
        <v>0</v>
      </c>
      <c r="AF44" s="22">
        <f t="shared" ca="1" si="8"/>
        <v>0</v>
      </c>
      <c r="AG44" s="22">
        <f t="shared" ca="1" si="30"/>
        <v>0</v>
      </c>
      <c r="AH44" s="22">
        <f t="shared" ca="1" si="9"/>
        <v>0</v>
      </c>
      <c r="AI44" s="22">
        <f t="shared" ca="1" si="10"/>
        <v>27333270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1"/>
        <v>9</v>
      </c>
      <c r="AM44" s="69">
        <f t="shared" ca="1" si="11"/>
        <v>9</v>
      </c>
      <c r="AN44" s="4">
        <f t="shared" ca="1" si="32"/>
        <v>2025</v>
      </c>
      <c r="AO44" s="4">
        <f t="shared" ca="1" si="12"/>
        <v>2025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3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A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45950</v>
      </c>
      <c r="C45" s="401"/>
      <c r="D45" s="443">
        <f ca="1">IF(N45=0,IF(N44=1,D25+D26+D27+D28+D29+D30+D31+D32+D33+D34+D35+D36+D37+D38+D39+D40+D41+D42+D43+D44," "),IF(N45=0," ",IF(N46=1,D25,IF(N46=0,D10-D25*(M14-1)," "))))</f>
        <v>666670</v>
      </c>
      <c r="E45" s="443"/>
      <c r="F45" s="84">
        <f ca="1">IF(N45=0,IF(N44=1,F25+F26+F27+F28+F29+F30+F31+F32+F33+F34+F35+F36+F37+F38+F39+F40+F41+F42+F43+F44," "),IF(M1=1,P45,IF(M1=2,Q45," ")))</f>
        <v>1762220</v>
      </c>
      <c r="G45" s="84">
        <v>0</v>
      </c>
      <c r="H45" s="84">
        <f t="shared" ca="1" si="19"/>
        <v>2428890</v>
      </c>
      <c r="I45" s="84">
        <f t="shared" ca="1" si="20"/>
        <v>740740</v>
      </c>
      <c r="J45" s="84">
        <f t="shared" ca="1" si="0"/>
        <v>1958020</v>
      </c>
      <c r="K45" s="84">
        <v>0</v>
      </c>
      <c r="L45" s="84">
        <f t="shared" ca="1" si="21"/>
        <v>2698760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1762220</v>
      </c>
      <c r="Q45" s="22">
        <f t="shared" ca="1" si="3"/>
        <v>1762220</v>
      </c>
      <c r="R45" s="22">
        <f t="shared" ca="1" si="23"/>
        <v>26666600</v>
      </c>
      <c r="S45" s="22">
        <f t="shared" ca="1" si="24"/>
        <v>666670</v>
      </c>
      <c r="T45" s="22">
        <f t="shared" ca="1" si="25"/>
        <v>666670</v>
      </c>
      <c r="U45" s="22">
        <f ca="1">IF(N46=1,R44*D11*20/36000+R45*D11*10/36000,IF(N46=0,IF(N45=0,0,R45*D11*Q12/36000+R44*D11*20/36000+R45*D11*10/36000)))</f>
        <v>1762218.0333333332</v>
      </c>
      <c r="V45" s="22">
        <f ca="1">IF(N46=1,R44*D11*20/36000+R45*D11*10/36000,IF(N46=0,IF(N45=0,0,R45*D11*Q12/36000+R44*D11*20/36000+R45*D11*10/36000)))</f>
        <v>1762218.0333333332</v>
      </c>
      <c r="W45" s="22">
        <f t="shared" ca="1" si="26"/>
        <v>2600000</v>
      </c>
      <c r="X45" s="22">
        <f t="shared" ca="1" si="27"/>
        <v>2600000</v>
      </c>
      <c r="Y45" s="22">
        <f t="shared" ca="1" si="4"/>
        <v>29629640</v>
      </c>
      <c r="Z45" s="22">
        <f ca="1">IF(N46=1,Y44*D$11*20/36000+Y45*D$11*10/36000,IF(N46=0,IF(N45=0,0,Y45*D$11*Q$12/36000+Y44*D$11*20/36000+Y45*D$11*10/36000)))</f>
        <v>1958025.3333333335</v>
      </c>
      <c r="AA45" s="22">
        <f t="shared" ca="1" si="5"/>
        <v>1958020</v>
      </c>
      <c r="AB45" s="22">
        <f ca="1">IF(R46=0,R45*Q12,(R44*20+R45*10))</f>
        <v>813331400</v>
      </c>
      <c r="AC45" s="22">
        <f t="shared" ca="1" si="6"/>
        <v>0</v>
      </c>
      <c r="AD45" s="22">
        <f t="shared" ca="1" si="7"/>
        <v>0</v>
      </c>
      <c r="AE45" s="22">
        <f t="shared" ca="1" si="29"/>
        <v>0</v>
      </c>
      <c r="AF45" s="22">
        <f t="shared" ca="1" si="8"/>
        <v>0</v>
      </c>
      <c r="AG45" s="22">
        <f t="shared" ca="1" si="30"/>
        <v>0</v>
      </c>
      <c r="AH45" s="22">
        <f t="shared" ca="1" si="9"/>
        <v>0</v>
      </c>
      <c r="AI45" s="22">
        <f t="shared" ca="1" si="10"/>
        <v>26666600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1"/>
        <v>10</v>
      </c>
      <c r="AM45" s="69">
        <f t="shared" ca="1" si="11"/>
        <v>10</v>
      </c>
      <c r="AN45" s="4">
        <f t="shared" ca="1" si="32"/>
        <v>2025</v>
      </c>
      <c r="AO45" s="4">
        <f t="shared" ca="1" si="12"/>
        <v>2025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3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A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45981</v>
      </c>
      <c r="C46" s="401"/>
      <c r="D46" s="443">
        <f ca="1">IF(N46=0,IF(N45=1,D25+D26+D27+D28+D29+D30+D31+D32+D33+D34+D35+D36+D37+D38+D39+D40+D41+D42+D43+D44+D45," "),IF(N46=0," ",IF(N47=1,D25,IF(N47=0,D10-D25*(M14-1)," "))))</f>
        <v>666670</v>
      </c>
      <c r="E46" s="443"/>
      <c r="F46" s="84">
        <f ca="1">IF(N46=0,IF(N45=1,F25+F26+F27+F28+F29+F30+F31+F32+F33+F34+F35+F36+F37+F38+F39+F40+F41+F42+F43+F44+F45," "),IF(M1=1,P46,IF(M1=2,Q46," ")))</f>
        <v>1718880</v>
      </c>
      <c r="G46" s="84">
        <v>0</v>
      </c>
      <c r="H46" s="84">
        <f t="shared" ca="1" si="19"/>
        <v>2385550</v>
      </c>
      <c r="I46" s="84">
        <f t="shared" ca="1" si="20"/>
        <v>740740</v>
      </c>
      <c r="J46" s="84">
        <f t="shared" ca="1" si="0"/>
        <v>1909880</v>
      </c>
      <c r="K46" s="84">
        <v>0</v>
      </c>
      <c r="L46" s="84">
        <f t="shared" ca="1" si="21"/>
        <v>2650620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1718880</v>
      </c>
      <c r="Q46" s="22">
        <f t="shared" ca="1" si="3"/>
        <v>1718880</v>
      </c>
      <c r="R46" s="22">
        <f t="shared" ca="1" si="23"/>
        <v>25999930</v>
      </c>
      <c r="S46" s="22">
        <f t="shared" ca="1" si="24"/>
        <v>666670</v>
      </c>
      <c r="T46" s="22">
        <f t="shared" ca="1" si="25"/>
        <v>666670</v>
      </c>
      <c r="U46" s="22">
        <f ca="1">IF(N47=1,R45*D11*20/36000+R46*D11*10/36000,IF(N47=0,IF(N46=0,0,R46*D11*Q12/36000+R45*D11*20/36000+R46*D11*10/36000)))</f>
        <v>1718884.4833333334</v>
      </c>
      <c r="V46" s="22">
        <f ca="1">IF(N47=1,R45*D11*20/36000+R46*D11*10/36000,IF(N47=0,IF(N46=0,0,R46*D11*Q12/36000+R45*D11*20/36000+R46*D11*10/36000)))</f>
        <v>1718884.4833333334</v>
      </c>
      <c r="W46" s="22">
        <f t="shared" ca="1" si="26"/>
        <v>2600000</v>
      </c>
      <c r="X46" s="22">
        <f t="shared" ca="1" si="27"/>
        <v>2600000</v>
      </c>
      <c r="Y46" s="22">
        <f t="shared" ca="1" si="4"/>
        <v>28888900</v>
      </c>
      <c r="Z46" s="22">
        <f ca="1">IF(N47=1,Y45*D$11*20/36000+Y46*D$11*10/36000,IF(N47=0,IF(N46=0,0,Y46*D$11*Q$12/36000+Y45*D$11*20/36000+Y46*D$11*10/36000)))</f>
        <v>1909877.2333333334</v>
      </c>
      <c r="AA46" s="22">
        <f t="shared" ca="1" si="5"/>
        <v>1909880</v>
      </c>
      <c r="AB46" s="22">
        <f ca="1">IF(R47=0,R46*Q12,(R45*20+R46*10))</f>
        <v>793331300</v>
      </c>
      <c r="AC46" s="22">
        <f t="shared" ca="1" si="6"/>
        <v>0</v>
      </c>
      <c r="AD46" s="22">
        <f t="shared" ca="1" si="7"/>
        <v>0</v>
      </c>
      <c r="AE46" s="22">
        <f t="shared" ca="1" si="29"/>
        <v>0</v>
      </c>
      <c r="AF46" s="22">
        <f t="shared" ca="1" si="8"/>
        <v>0</v>
      </c>
      <c r="AG46" s="22">
        <f t="shared" ca="1" si="30"/>
        <v>0</v>
      </c>
      <c r="AH46" s="22">
        <f t="shared" ca="1" si="9"/>
        <v>0</v>
      </c>
      <c r="AI46" s="22">
        <f t="shared" ca="1" si="10"/>
        <v>25999930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1"/>
        <v>11</v>
      </c>
      <c r="AM46" s="69">
        <f t="shared" ca="1" si="11"/>
        <v>11</v>
      </c>
      <c r="AN46" s="4">
        <f t="shared" ca="1" si="32"/>
        <v>2025</v>
      </c>
      <c r="AO46" s="4">
        <f t="shared" ca="1" si="12"/>
        <v>2025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3"/>
        <v>30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A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46011</v>
      </c>
      <c r="C47" s="401"/>
      <c r="D47" s="443">
        <f ca="1">IF(N47=0,IF(N46=1,D25+D26+D27+D28+D29+D30+D31+D32+D33+D34+D35+D36+D37+D38+D39+D40+D41+D42+D43+D44+D45+D46," "),IF(N47=0," ",IF(N48=1,D25,IF(N48=0,D10-D25*(M14-1)," "))))</f>
        <v>666670</v>
      </c>
      <c r="E47" s="443"/>
      <c r="F47" s="84">
        <f ca="1">IF(N47=0,IF(N46=1,F25+F26+F27+F28+F29+F30+F31+F32+F33+F34+F35+F36+F37+F38+F39+F40+F41+F42+F43+F44+F45+F46," "),IF(M1=1,P47,IF(M1=2,Q47," ")))</f>
        <v>1675550</v>
      </c>
      <c r="G47" s="84">
        <v>0</v>
      </c>
      <c r="H47" s="84">
        <f t="shared" ca="1" si="19"/>
        <v>2342220</v>
      </c>
      <c r="I47" s="84">
        <f t="shared" ca="1" si="20"/>
        <v>740740</v>
      </c>
      <c r="J47" s="84">
        <f t="shared" ca="1" si="0"/>
        <v>1861730</v>
      </c>
      <c r="K47" s="84">
        <v>0</v>
      </c>
      <c r="L47" s="84">
        <f t="shared" ca="1" si="21"/>
        <v>2602470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1675550</v>
      </c>
      <c r="Q47" s="22">
        <f t="shared" ca="1" si="3"/>
        <v>1675550</v>
      </c>
      <c r="R47" s="22">
        <f t="shared" ca="1" si="23"/>
        <v>25333260</v>
      </c>
      <c r="S47" s="22">
        <f t="shared" ca="1" si="24"/>
        <v>666670</v>
      </c>
      <c r="T47" s="22">
        <f t="shared" ca="1" si="25"/>
        <v>666670</v>
      </c>
      <c r="U47" s="22">
        <f ca="1">IF(N48=1,R46*D11*20/36000+R47*D11*10/36000,IF(N48=0,IF(N47=0,0,R47*D11*Q12/36000+R46*D11*20/36000+R47*D11*10/36000)))</f>
        <v>1675550.9333333333</v>
      </c>
      <c r="V47" s="22">
        <f ca="1">IF(N48=1,R46*D11*20/36000+R47*D11*10/36000,IF(N48=0,IF(N47=0,0,R47*D11*Q12/36000+R46*D11*20/36000+R47*D11*10/36000)))</f>
        <v>1675550.9333333333</v>
      </c>
      <c r="W47" s="22">
        <f t="shared" ca="1" si="26"/>
        <v>2600000</v>
      </c>
      <c r="X47" s="22">
        <f t="shared" ca="1" si="27"/>
        <v>2600000</v>
      </c>
      <c r="Y47" s="22">
        <f t="shared" ca="1" si="4"/>
        <v>28148160</v>
      </c>
      <c r="Z47" s="22">
        <f ca="1">IF(N48=1,Y46*D$11*20/36000+Y47*D$11*10/36000,IF(N48=0,IF(N47=0,0,Y47*D$11*Q$12/36000+Y46*D$11*20/36000+Y47*D$11*10/36000)))</f>
        <v>1861729.1333333333</v>
      </c>
      <c r="AA47" s="22">
        <f t="shared" ca="1" si="5"/>
        <v>1861730</v>
      </c>
      <c r="AB47" s="22">
        <f ca="1">IF(R48=0,R47*Q12,(R46*20+R47*10))</f>
        <v>773331200</v>
      </c>
      <c r="AC47" s="22">
        <f t="shared" ca="1" si="6"/>
        <v>0</v>
      </c>
      <c r="AD47" s="22">
        <f t="shared" ca="1" si="7"/>
        <v>0</v>
      </c>
      <c r="AE47" s="22">
        <f t="shared" ca="1" si="29"/>
        <v>0</v>
      </c>
      <c r="AF47" s="22">
        <f t="shared" ca="1" si="8"/>
        <v>0</v>
      </c>
      <c r="AG47" s="22">
        <f t="shared" ca="1" si="30"/>
        <v>0</v>
      </c>
      <c r="AH47" s="22">
        <f t="shared" ca="1" si="9"/>
        <v>0</v>
      </c>
      <c r="AI47" s="22">
        <f t="shared" ca="1" si="10"/>
        <v>25333260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1"/>
        <v>12</v>
      </c>
      <c r="AM47" s="69">
        <f t="shared" ca="1" si="11"/>
        <v>12</v>
      </c>
      <c r="AN47" s="4">
        <f t="shared" ca="1" si="32"/>
        <v>2025</v>
      </c>
      <c r="AO47" s="4">
        <f t="shared" ca="1" si="12"/>
        <v>2025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3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A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46042</v>
      </c>
      <c r="C48" s="401"/>
      <c r="D48" s="443">
        <f ca="1">IF(N48=0,IF(N47=1,SUM(D$25:E47)," "),IF(N48=0," ",IF(N49=1,D$25,IF(N49=0,D$10-D$25*(M$14-1)," "))))</f>
        <v>666670</v>
      </c>
      <c r="E48" s="443"/>
      <c r="F48" s="84">
        <f ca="1">IF(N48=0,IF(N47=1,SUM(F$25:F47)," "),IF(M$1=1,P48,IF(M$1=2,Q48," ")))</f>
        <v>1632220</v>
      </c>
      <c r="G48" s="84">
        <v>0</v>
      </c>
      <c r="H48" s="84">
        <f t="shared" ca="1" si="19"/>
        <v>2298890</v>
      </c>
      <c r="I48" s="84">
        <f t="shared" ca="1" si="20"/>
        <v>740740</v>
      </c>
      <c r="J48" s="84">
        <f t="shared" ca="1" si="0"/>
        <v>1813580</v>
      </c>
      <c r="K48" s="84">
        <v>0</v>
      </c>
      <c r="L48" s="84">
        <f t="shared" ca="1" si="21"/>
        <v>2554320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1632220</v>
      </c>
      <c r="Q48" s="22">
        <f t="shared" ca="1" si="3"/>
        <v>1632220</v>
      </c>
      <c r="R48" s="22">
        <f t="shared" ca="1" si="23"/>
        <v>24666590</v>
      </c>
      <c r="S48" s="22">
        <f t="shared" ca="1" si="24"/>
        <v>666670</v>
      </c>
      <c r="T48" s="22">
        <f t="shared" ca="1" si="25"/>
        <v>666670</v>
      </c>
      <c r="U48" s="22">
        <f ca="1">IF(N49=1,R47*D$11*20/36000+R48*D$11*10/36000,IF(N49=0,IF(N48=0,0,R48*D$11*Q$12/36000+R47*D$11*20/36000+R48*D$11*10/36000)))</f>
        <v>1632217.3833333333</v>
      </c>
      <c r="V48" s="22">
        <f ca="1">IF(N49=1,R47*D$11*20/36000+R48*D$11*10/36000,IF(N49=0,IF(N48=0,0,R48*D$11*Q$12/36000+R47*D$11*20/36000+R48*D$11*10/36000)))</f>
        <v>1632217.3833333333</v>
      </c>
      <c r="W48" s="22">
        <f t="shared" ca="1" si="26"/>
        <v>2600000</v>
      </c>
      <c r="X48" s="22">
        <f t="shared" ca="1" si="27"/>
        <v>2600000</v>
      </c>
      <c r="Y48" s="22">
        <f t="shared" ca="1" si="4"/>
        <v>27407420</v>
      </c>
      <c r="Z48" s="22">
        <f ca="1">IF(N49=1,Y47*D$11*20/36000+Y48*D$11*10/36000,IF(N49=0,IF(N48=0,0,Y48*D$11*Q$12/36000+Y47*D$11*20/36000+Y48*D$11*10/36000)))</f>
        <v>1813581.0333333334</v>
      </c>
      <c r="AA48" s="22">
        <f t="shared" ca="1" si="5"/>
        <v>1813580</v>
      </c>
      <c r="AB48" s="22">
        <f t="shared" ref="AB48:AB84" ca="1" si="35">IF(R49=0,R48*Q$12,(R47*20+R48*10))</f>
        <v>753331100</v>
      </c>
      <c r="AC48" s="22">
        <f t="shared" ca="1" si="6"/>
        <v>0</v>
      </c>
      <c r="AD48" s="22">
        <f t="shared" ca="1" si="7"/>
        <v>0</v>
      </c>
      <c r="AE48" s="22">
        <f t="shared" ca="1" si="29"/>
        <v>0</v>
      </c>
      <c r="AF48" s="22">
        <f t="shared" ca="1" si="8"/>
        <v>0</v>
      </c>
      <c r="AG48" s="22">
        <f t="shared" ca="1" si="30"/>
        <v>0</v>
      </c>
      <c r="AH48" s="22">
        <f t="shared" ca="1" si="9"/>
        <v>0</v>
      </c>
      <c r="AI48" s="22">
        <f t="shared" ca="1" si="10"/>
        <v>24666590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1"/>
        <v>13</v>
      </c>
      <c r="AM48" s="69">
        <f t="shared" ca="1" si="11"/>
        <v>1</v>
      </c>
      <c r="AN48" s="4">
        <f t="shared" ca="1" si="32"/>
        <v>2025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3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A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46073</v>
      </c>
      <c r="C49" s="401"/>
      <c r="D49" s="443">
        <f ca="1">IF(N49=0,IF(N48=1,SUM(D$25:E48)," "),IF(N49=0," ",IF(N50=1,D$25,IF(N50=0,D$10-D$25*(M$14-1)," "))))</f>
        <v>666670</v>
      </c>
      <c r="E49" s="443"/>
      <c r="F49" s="84">
        <f ca="1">IF(N49=0,IF(N48=1,SUM(F$25:F48)," "),IF(M$1=1,P49,IF(M$1=2,Q49," ")))</f>
        <v>1588880</v>
      </c>
      <c r="G49" s="84">
        <v>0</v>
      </c>
      <c r="H49" s="84">
        <f t="shared" ca="1" si="19"/>
        <v>2255550</v>
      </c>
      <c r="I49" s="84">
        <f t="shared" ca="1" si="20"/>
        <v>740740</v>
      </c>
      <c r="J49" s="84">
        <f t="shared" ca="1" si="0"/>
        <v>1765430</v>
      </c>
      <c r="K49" s="84">
        <v>0</v>
      </c>
      <c r="L49" s="84">
        <f t="shared" ca="1" si="21"/>
        <v>2506170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1588880</v>
      </c>
      <c r="Q49" s="22">
        <f t="shared" ca="1" si="3"/>
        <v>1588880</v>
      </c>
      <c r="R49" s="22">
        <f t="shared" ca="1" si="23"/>
        <v>23999920</v>
      </c>
      <c r="S49" s="22">
        <f t="shared" ca="1" si="24"/>
        <v>666670</v>
      </c>
      <c r="T49" s="22">
        <f t="shared" ca="1" si="25"/>
        <v>666670</v>
      </c>
      <c r="U49" s="22">
        <f ca="1">IF(N50=1,R48*D$11*20/36000+R49*D$11*10/36000,IF(N50=0,IF(N49=0,0,IF(D28&gt;20,R48*D$11*20/36000+R49*D$11*(Q$12-20)/36000,R49*D$11*Q$12/36000))))</f>
        <v>1588883.8333333333</v>
      </c>
      <c r="V49" s="22">
        <f ca="1">IF(N50=1,R48*D$11*20/36000+R49*D$11*10/36000,IF(N50=0,IF(N49=0,0,IF(D28&gt;20,R48*D$11*20/36000+R49*D$11*(Q$12-20)/36000,R49*D$11*Q$12/36000))))</f>
        <v>1588883.8333333333</v>
      </c>
      <c r="W49" s="22">
        <f t="shared" ca="1" si="26"/>
        <v>2600000</v>
      </c>
      <c r="X49" s="22">
        <f t="shared" ca="1" si="27"/>
        <v>2600000</v>
      </c>
      <c r="Y49" s="22">
        <f t="shared" ca="1" si="4"/>
        <v>26666680</v>
      </c>
      <c r="Z49" s="22">
        <f ca="1">IF(N50=1,Y48*D$11*20/36000+Y49*D$11*10/36000,IF(N50=0,IF(N49=0,0,IF(D$16&gt;20,Y48*D$11*20/36000+Y49*D$11*(Q$12-20)/36000,Y49*D$11*Q$12/36000))))</f>
        <v>1765432.9333333333</v>
      </c>
      <c r="AA49" s="22">
        <f t="shared" ca="1" si="5"/>
        <v>1765430</v>
      </c>
      <c r="AB49" s="22">
        <f t="shared" ca="1" si="35"/>
        <v>733331000</v>
      </c>
      <c r="AC49" s="22">
        <f t="shared" ca="1" si="6"/>
        <v>0</v>
      </c>
      <c r="AD49" s="22">
        <f t="shared" ca="1" si="7"/>
        <v>0</v>
      </c>
      <c r="AE49" s="22">
        <f t="shared" ca="1" si="29"/>
        <v>0</v>
      </c>
      <c r="AF49" s="22">
        <f t="shared" ca="1" si="8"/>
        <v>0</v>
      </c>
      <c r="AG49" s="22">
        <f t="shared" ca="1" si="30"/>
        <v>0</v>
      </c>
      <c r="AH49" s="22">
        <f t="shared" ca="1" si="9"/>
        <v>0</v>
      </c>
      <c r="AI49" s="22">
        <f t="shared" ca="1" si="10"/>
        <v>23999920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1"/>
        <v>2</v>
      </c>
      <c r="AM49" s="69">
        <f t="shared" ca="1" si="11"/>
        <v>2</v>
      </c>
      <c r="AN49" s="4">
        <f t="shared" ca="1" si="32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28</v>
      </c>
      <c r="AR49" s="4">
        <f t="shared" si="15"/>
        <v>20</v>
      </c>
      <c r="AS49" s="4">
        <f t="shared" ca="1" si="33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A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46101</v>
      </c>
      <c r="C50" s="401"/>
      <c r="D50" s="443">
        <f ca="1">IF(N50=0,IF(N49=1,SUM(D$25:E49)," "),IF(N50=0," ",IF(N51=1,D$25,IF(N51=0,D$10-D$25*(M$14-1)," "))))</f>
        <v>666670</v>
      </c>
      <c r="E50" s="443"/>
      <c r="F50" s="84">
        <f ca="1">IF(N50=0,IF(N49=1,SUM(F$25:F49)," "),IF(M$1=1,P50,IF(M$1=2,Q50," ")))</f>
        <v>1545550</v>
      </c>
      <c r="G50" s="84">
        <v>0</v>
      </c>
      <c r="H50" s="84">
        <f t="shared" ca="1" si="19"/>
        <v>2212220</v>
      </c>
      <c r="I50" s="84">
        <f t="shared" ca="1" si="20"/>
        <v>740740</v>
      </c>
      <c r="J50" s="84">
        <f t="shared" ca="1" si="0"/>
        <v>1717280</v>
      </c>
      <c r="K50" s="84">
        <v>0</v>
      </c>
      <c r="L50" s="84">
        <f t="shared" ca="1" si="21"/>
        <v>2458020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1545550</v>
      </c>
      <c r="Q50" s="22">
        <f t="shared" ca="1" si="3"/>
        <v>1545550</v>
      </c>
      <c r="R50" s="22">
        <f t="shared" ca="1" si="23"/>
        <v>23333250</v>
      </c>
      <c r="S50" s="22">
        <f t="shared" ca="1" si="24"/>
        <v>666670</v>
      </c>
      <c r="T50" s="22">
        <f t="shared" ca="1" si="25"/>
        <v>666670</v>
      </c>
      <c r="U50" s="22">
        <f t="shared" ref="U50:U60" ca="1" si="36">IF(N51=1,R49*D$11*20/36000+R50*D$11*10/36000,IF(N51=0,IF(N50=0,0,R50*D$11*Q$12/36000+R49*D$11*20/36000+R50*D$11*10/36000)))</f>
        <v>1545550.2833333332</v>
      </c>
      <c r="V50" s="22">
        <f t="shared" ref="V50:V60" ca="1" si="37">IF(N51=1,R49*D$11*20/36000+R50*D$11*10/36000,IF(N51=0,IF(N50=0,0,R50*D$11*Q$12/36000+R49*D$11*20/36000+R50*D$11*10/36000)))</f>
        <v>1545550.2833333332</v>
      </c>
      <c r="W50" s="22">
        <f t="shared" ca="1" si="26"/>
        <v>2600000</v>
      </c>
      <c r="X50" s="22">
        <f t="shared" ca="1" si="27"/>
        <v>2600000</v>
      </c>
      <c r="Y50" s="22">
        <f t="shared" ca="1" si="4"/>
        <v>25925940</v>
      </c>
      <c r="Z50" s="22">
        <f t="shared" ref="Z50:Z60" ca="1" si="38">IF(N51=1,Y49*D$11*20/36000+Y50*D$11*10/36000,IF(N51=0,IF(N50=0,0,Y50*D$11*Q$12/36000+Y49*D$11*20/36000+Y50*D$11*10/36000)))</f>
        <v>1717284.8333333333</v>
      </c>
      <c r="AA50" s="22">
        <f t="shared" ca="1" si="5"/>
        <v>1717280</v>
      </c>
      <c r="AB50" s="22">
        <f t="shared" ca="1" si="35"/>
        <v>713330900</v>
      </c>
      <c r="AC50" s="22">
        <f t="shared" ca="1" si="6"/>
        <v>0</v>
      </c>
      <c r="AD50" s="22">
        <f t="shared" ca="1" si="7"/>
        <v>0</v>
      </c>
      <c r="AE50" s="22">
        <f t="shared" ca="1" si="29"/>
        <v>0</v>
      </c>
      <c r="AF50" s="22">
        <f t="shared" ca="1" si="8"/>
        <v>0</v>
      </c>
      <c r="AG50" s="22">
        <f t="shared" ca="1" si="30"/>
        <v>0</v>
      </c>
      <c r="AH50" s="22">
        <f t="shared" ca="1" si="9"/>
        <v>0</v>
      </c>
      <c r="AI50" s="22">
        <f t="shared" ca="1" si="10"/>
        <v>23333250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1"/>
        <v>3</v>
      </c>
      <c r="AM50" s="69">
        <f t="shared" ca="1" si="11"/>
        <v>3</v>
      </c>
      <c r="AN50" s="4">
        <f t="shared" ca="1" si="32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3"/>
        <v>28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A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46132</v>
      </c>
      <c r="C51" s="401"/>
      <c r="D51" s="443">
        <f ca="1">IF(N51=0,IF(N50=1,SUM(D$25:E50)," "),IF(N51=0," ",IF(N52=1,D$25,IF(N52=0,D$10-D$25*(M$14-1)," "))))</f>
        <v>666670</v>
      </c>
      <c r="E51" s="443"/>
      <c r="F51" s="84">
        <f ca="1">IF(N51=0,IF(N50=1,SUM(F$25:F50)," "),IF(M$1=1,P51,IF(M$1=2,Q51," ")))</f>
        <v>1502220</v>
      </c>
      <c r="G51" s="84">
        <v>0</v>
      </c>
      <c r="H51" s="84">
        <f t="shared" ca="1" si="19"/>
        <v>2168890</v>
      </c>
      <c r="I51" s="84">
        <f t="shared" ca="1" si="20"/>
        <v>740740</v>
      </c>
      <c r="J51" s="84">
        <f t="shared" ca="1" si="0"/>
        <v>1669140</v>
      </c>
      <c r="K51" s="84">
        <v>0</v>
      </c>
      <c r="L51" s="84">
        <f t="shared" ca="1" si="21"/>
        <v>2409880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1502220</v>
      </c>
      <c r="Q51" s="22">
        <f t="shared" ca="1" si="3"/>
        <v>1502220</v>
      </c>
      <c r="R51" s="22">
        <f t="shared" ca="1" si="23"/>
        <v>22666580</v>
      </c>
      <c r="S51" s="22">
        <f t="shared" ca="1" si="24"/>
        <v>666670</v>
      </c>
      <c r="T51" s="22">
        <f t="shared" ca="1" si="25"/>
        <v>666670</v>
      </c>
      <c r="U51" s="22">
        <f t="shared" ca="1" si="36"/>
        <v>1502216.7333333334</v>
      </c>
      <c r="V51" s="22">
        <f t="shared" ca="1" si="37"/>
        <v>1502216.7333333334</v>
      </c>
      <c r="W51" s="22">
        <f t="shared" ca="1" si="26"/>
        <v>2600000</v>
      </c>
      <c r="X51" s="22">
        <f t="shared" ca="1" si="27"/>
        <v>2600000</v>
      </c>
      <c r="Y51" s="22">
        <f t="shared" ca="1" si="4"/>
        <v>25185200</v>
      </c>
      <c r="Z51" s="22">
        <f t="shared" ca="1" si="38"/>
        <v>1669136.7333333334</v>
      </c>
      <c r="AA51" s="22">
        <f t="shared" ca="1" si="5"/>
        <v>1669140</v>
      </c>
      <c r="AB51" s="22">
        <f t="shared" ca="1" si="35"/>
        <v>693330800</v>
      </c>
      <c r="AC51" s="22">
        <f t="shared" ca="1" si="6"/>
        <v>0</v>
      </c>
      <c r="AD51" s="22">
        <f t="shared" ca="1" si="7"/>
        <v>0</v>
      </c>
      <c r="AE51" s="22">
        <f t="shared" ca="1" si="29"/>
        <v>0</v>
      </c>
      <c r="AF51" s="22">
        <f t="shared" ca="1" si="8"/>
        <v>0</v>
      </c>
      <c r="AG51" s="22">
        <f t="shared" ca="1" si="30"/>
        <v>0</v>
      </c>
      <c r="AH51" s="22">
        <f t="shared" ca="1" si="9"/>
        <v>0</v>
      </c>
      <c r="AI51" s="22">
        <f t="shared" ca="1" si="10"/>
        <v>22666580</v>
      </c>
      <c r="AJ51" s="22">
        <f t="shared" ca="1" si="39"/>
        <v>0</v>
      </c>
      <c r="AK51" s="22">
        <f t="shared" ca="1" si="40"/>
        <v>0</v>
      </c>
      <c r="AL51" s="69">
        <f t="shared" ca="1" si="31"/>
        <v>4</v>
      </c>
      <c r="AM51" s="69">
        <f t="shared" ca="1" si="11"/>
        <v>4</v>
      </c>
      <c r="AN51" s="4">
        <f t="shared" ca="1" si="32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3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A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46162</v>
      </c>
      <c r="C52" s="401"/>
      <c r="D52" s="443">
        <f ca="1">IF(N52=0,IF(N51=1,SUM(D$25:E51)," "),IF(N52=0," ",IF(N53=1,D$25,IF(N53=0,D$10-D$25*(M$14-1)," "))))</f>
        <v>666670</v>
      </c>
      <c r="E52" s="443"/>
      <c r="F52" s="84">
        <f ca="1">IF(N52=0,IF(N51=1,SUM(F$25:F51)," "),IF(M$1=1,P52,IF(M$1=2,Q52," ")))</f>
        <v>1458880</v>
      </c>
      <c r="G52" s="84">
        <v>0</v>
      </c>
      <c r="H52" s="84">
        <f t="shared" ca="1" si="19"/>
        <v>2125550</v>
      </c>
      <c r="I52" s="84">
        <f t="shared" ca="1" si="20"/>
        <v>740740</v>
      </c>
      <c r="J52" s="84">
        <f t="shared" ca="1" si="0"/>
        <v>1620990</v>
      </c>
      <c r="K52" s="84">
        <v>0</v>
      </c>
      <c r="L52" s="84">
        <f t="shared" ca="1" si="21"/>
        <v>2361730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1458880</v>
      </c>
      <c r="Q52" s="22">
        <f t="shared" ca="1" si="3"/>
        <v>1458880</v>
      </c>
      <c r="R52" s="22">
        <f t="shared" ca="1" si="23"/>
        <v>21999910</v>
      </c>
      <c r="S52" s="22">
        <f t="shared" ca="1" si="24"/>
        <v>666670</v>
      </c>
      <c r="T52" s="22">
        <f t="shared" ca="1" si="25"/>
        <v>666670</v>
      </c>
      <c r="U52" s="22">
        <f t="shared" ca="1" si="36"/>
        <v>1458883.1833333333</v>
      </c>
      <c r="V52" s="22">
        <f t="shared" ca="1" si="37"/>
        <v>1458883.1833333333</v>
      </c>
      <c r="W52" s="22">
        <f t="shared" ca="1" si="26"/>
        <v>2600000</v>
      </c>
      <c r="X52" s="22">
        <f t="shared" ca="1" si="27"/>
        <v>2600000</v>
      </c>
      <c r="Y52" s="22">
        <f t="shared" ca="1" si="4"/>
        <v>24444460</v>
      </c>
      <c r="Z52" s="22">
        <f t="shared" ca="1" si="38"/>
        <v>1620988.6333333333</v>
      </c>
      <c r="AA52" s="22">
        <f t="shared" ca="1" si="5"/>
        <v>1620990</v>
      </c>
      <c r="AB52" s="22">
        <f t="shared" ca="1" si="35"/>
        <v>673330700</v>
      </c>
      <c r="AC52" s="22">
        <f t="shared" ca="1" si="6"/>
        <v>0</v>
      </c>
      <c r="AD52" s="22">
        <f t="shared" ca="1" si="7"/>
        <v>0</v>
      </c>
      <c r="AE52" s="22">
        <f t="shared" ca="1" si="29"/>
        <v>0</v>
      </c>
      <c r="AF52" s="22">
        <f t="shared" ca="1" si="8"/>
        <v>0</v>
      </c>
      <c r="AG52" s="22">
        <f t="shared" ca="1" si="30"/>
        <v>0</v>
      </c>
      <c r="AH52" s="22">
        <f t="shared" ca="1" si="9"/>
        <v>0</v>
      </c>
      <c r="AI52" s="22">
        <f t="shared" ca="1" si="10"/>
        <v>21999910</v>
      </c>
      <c r="AJ52" s="22">
        <f t="shared" ca="1" si="39"/>
        <v>0</v>
      </c>
      <c r="AK52" s="22">
        <f t="shared" ca="1" si="40"/>
        <v>0</v>
      </c>
      <c r="AL52" s="69">
        <f t="shared" ca="1" si="31"/>
        <v>5</v>
      </c>
      <c r="AM52" s="69">
        <f t="shared" ca="1" si="11"/>
        <v>5</v>
      </c>
      <c r="AN52" s="4">
        <f t="shared" ca="1" si="32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3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A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46193</v>
      </c>
      <c r="C53" s="401"/>
      <c r="D53" s="443">
        <f ca="1">IF(N53=0,IF(N52=1,SUM(D$25:E52)," "),IF(N53=0," ",IF(N54=1,D$25,IF(N54=0,D$10-D$25*(M$14-1)," "))))</f>
        <v>666670</v>
      </c>
      <c r="E53" s="443"/>
      <c r="F53" s="84">
        <f ca="1">IF(N53=0,IF(N52=1,SUM(F$25:F52)," "),IF(M$1=1,P53,IF(M$1=2,Q53," ")))</f>
        <v>1415550</v>
      </c>
      <c r="G53" s="84">
        <v>0</v>
      </c>
      <c r="H53" s="84">
        <f t="shared" ca="1" si="19"/>
        <v>2082220</v>
      </c>
      <c r="I53" s="84">
        <f t="shared" ca="1" si="20"/>
        <v>740740</v>
      </c>
      <c r="J53" s="84">
        <f t="shared" ca="1" si="0"/>
        <v>1572840</v>
      </c>
      <c r="K53" s="84">
        <v>0</v>
      </c>
      <c r="L53" s="84">
        <f t="shared" ca="1" si="21"/>
        <v>2313580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1415550</v>
      </c>
      <c r="Q53" s="22">
        <f t="shared" ca="1" si="3"/>
        <v>1415550</v>
      </c>
      <c r="R53" s="22">
        <f t="shared" ca="1" si="23"/>
        <v>21333240</v>
      </c>
      <c r="S53" s="22">
        <f t="shared" ca="1" si="24"/>
        <v>666670</v>
      </c>
      <c r="T53" s="22">
        <f t="shared" ca="1" si="25"/>
        <v>666670</v>
      </c>
      <c r="U53" s="22">
        <f t="shared" ca="1" si="36"/>
        <v>1415549.6333333333</v>
      </c>
      <c r="V53" s="22">
        <f t="shared" ca="1" si="37"/>
        <v>1415549.6333333333</v>
      </c>
      <c r="W53" s="22">
        <f t="shared" ca="1" si="26"/>
        <v>2600000</v>
      </c>
      <c r="X53" s="22">
        <f t="shared" ca="1" si="27"/>
        <v>2600000</v>
      </c>
      <c r="Y53" s="22">
        <f t="shared" ca="1" si="4"/>
        <v>23703720</v>
      </c>
      <c r="Z53" s="22">
        <f t="shared" ca="1" si="38"/>
        <v>1572840.5333333332</v>
      </c>
      <c r="AA53" s="22">
        <f t="shared" ca="1" si="5"/>
        <v>1572840</v>
      </c>
      <c r="AB53" s="22">
        <f t="shared" ca="1" si="35"/>
        <v>653330600</v>
      </c>
      <c r="AC53" s="22">
        <f t="shared" ca="1" si="6"/>
        <v>0</v>
      </c>
      <c r="AD53" s="22">
        <f t="shared" ca="1" si="7"/>
        <v>0</v>
      </c>
      <c r="AE53" s="22">
        <f t="shared" ca="1" si="29"/>
        <v>0</v>
      </c>
      <c r="AF53" s="22">
        <f t="shared" ca="1" si="8"/>
        <v>0</v>
      </c>
      <c r="AG53" s="22">
        <f t="shared" ca="1" si="30"/>
        <v>0</v>
      </c>
      <c r="AH53" s="22">
        <f t="shared" ca="1" si="9"/>
        <v>0</v>
      </c>
      <c r="AI53" s="22">
        <f t="shared" ca="1" si="10"/>
        <v>21333240</v>
      </c>
      <c r="AJ53" s="22">
        <f t="shared" ca="1" si="39"/>
        <v>0</v>
      </c>
      <c r="AK53" s="22">
        <f t="shared" ca="1" si="40"/>
        <v>0</v>
      </c>
      <c r="AL53" s="69">
        <f t="shared" ca="1" si="31"/>
        <v>6</v>
      </c>
      <c r="AM53" s="69">
        <f t="shared" ca="1" si="11"/>
        <v>6</v>
      </c>
      <c r="AN53" s="4">
        <f t="shared" ca="1" si="32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3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A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46223</v>
      </c>
      <c r="C54" s="401"/>
      <c r="D54" s="443">
        <f ca="1">IF(N54=0,IF(N53=1,SUM(D$25:E53)," "),IF(N54=0," ",IF(N55=1,D$25,IF(N55=0,D$10-D$25*(M$14-1)," "))))</f>
        <v>666670</v>
      </c>
      <c r="E54" s="443"/>
      <c r="F54" s="84">
        <f ca="1">IF(N54=0,IF(N53=1,SUM(F$25:F53)," "),IF(M$1=1,P54,IF(M$1=2,Q54," ")))</f>
        <v>1372220</v>
      </c>
      <c r="G54" s="84">
        <v>0</v>
      </c>
      <c r="H54" s="84">
        <f t="shared" ca="1" si="19"/>
        <v>2038890</v>
      </c>
      <c r="I54" s="84">
        <f t="shared" ca="1" si="20"/>
        <v>740740</v>
      </c>
      <c r="J54" s="84">
        <f t="shared" ca="1" si="0"/>
        <v>1524690</v>
      </c>
      <c r="K54" s="84">
        <v>0</v>
      </c>
      <c r="L54" s="84">
        <f t="shared" ca="1" si="21"/>
        <v>2265430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1372220</v>
      </c>
      <c r="Q54" s="22">
        <f t="shared" ca="1" si="3"/>
        <v>1372220</v>
      </c>
      <c r="R54" s="22">
        <f t="shared" ca="1" si="23"/>
        <v>20666570</v>
      </c>
      <c r="S54" s="22">
        <f t="shared" ca="1" si="24"/>
        <v>666670</v>
      </c>
      <c r="T54" s="22">
        <f t="shared" ca="1" si="25"/>
        <v>666670</v>
      </c>
      <c r="U54" s="22">
        <f t="shared" ca="1" si="36"/>
        <v>1372216.0833333335</v>
      </c>
      <c r="V54" s="22">
        <f t="shared" ca="1" si="37"/>
        <v>1372216.0833333335</v>
      </c>
      <c r="W54" s="22">
        <f t="shared" ca="1" si="26"/>
        <v>2600000</v>
      </c>
      <c r="X54" s="22">
        <f t="shared" ca="1" si="27"/>
        <v>2600000</v>
      </c>
      <c r="Y54" s="22">
        <f t="shared" ca="1" si="4"/>
        <v>22962980</v>
      </c>
      <c r="Z54" s="22">
        <f t="shared" ca="1" si="38"/>
        <v>1524692.4333333333</v>
      </c>
      <c r="AA54" s="22">
        <f t="shared" ca="1" si="5"/>
        <v>1524690</v>
      </c>
      <c r="AB54" s="22">
        <f t="shared" ca="1" si="35"/>
        <v>633330500</v>
      </c>
      <c r="AC54" s="22">
        <f t="shared" ca="1" si="6"/>
        <v>0</v>
      </c>
      <c r="AD54" s="22">
        <f t="shared" ca="1" si="7"/>
        <v>0</v>
      </c>
      <c r="AE54" s="22">
        <f t="shared" ca="1" si="29"/>
        <v>0</v>
      </c>
      <c r="AF54" s="22">
        <f t="shared" ca="1" si="8"/>
        <v>0</v>
      </c>
      <c r="AG54" s="22">
        <f t="shared" ca="1" si="30"/>
        <v>0</v>
      </c>
      <c r="AH54" s="22">
        <f t="shared" ca="1" si="9"/>
        <v>0</v>
      </c>
      <c r="AI54" s="22">
        <f t="shared" ca="1" si="10"/>
        <v>20666570</v>
      </c>
      <c r="AJ54" s="22">
        <f t="shared" ca="1" si="39"/>
        <v>0</v>
      </c>
      <c r="AK54" s="22">
        <f t="shared" ca="1" si="40"/>
        <v>0</v>
      </c>
      <c r="AL54" s="69">
        <f t="shared" ca="1" si="31"/>
        <v>7</v>
      </c>
      <c r="AM54" s="69">
        <f t="shared" ca="1" si="11"/>
        <v>7</v>
      </c>
      <c r="AN54" s="4">
        <f t="shared" ca="1" si="32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3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A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46254</v>
      </c>
      <c r="C55" s="401"/>
      <c r="D55" s="443">
        <f ca="1">IF(N55=0,IF(N54=1,SUM(D$25:E54)," "),IF(N55=0," ",IF(N56=1,D$25,IF(N56=0,D$10-D$25*(M$14-1)," "))))</f>
        <v>666670</v>
      </c>
      <c r="E55" s="443"/>
      <c r="F55" s="84">
        <f ca="1">IF(N55=0,IF(N54=1,SUM(F$25:F54)," "),IF(M$1=1,P55,IF(M$1=2,Q55," ")))</f>
        <v>1328880</v>
      </c>
      <c r="G55" s="84">
        <v>0</v>
      </c>
      <c r="H55" s="84">
        <f t="shared" ca="1" si="19"/>
        <v>1995550</v>
      </c>
      <c r="I55" s="84">
        <f t="shared" ca="1" si="20"/>
        <v>740740</v>
      </c>
      <c r="J55" s="84">
        <f t="shared" ca="1" si="0"/>
        <v>1476540</v>
      </c>
      <c r="K55" s="84">
        <v>0</v>
      </c>
      <c r="L55" s="84">
        <f t="shared" ca="1" si="21"/>
        <v>2217280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1328880</v>
      </c>
      <c r="Q55" s="22">
        <f t="shared" ca="1" si="3"/>
        <v>1328880</v>
      </c>
      <c r="R55" s="22">
        <f t="shared" ca="1" si="23"/>
        <v>19999900</v>
      </c>
      <c r="S55" s="22">
        <f t="shared" ca="1" si="24"/>
        <v>666670</v>
      </c>
      <c r="T55" s="22">
        <f t="shared" ca="1" si="25"/>
        <v>666670</v>
      </c>
      <c r="U55" s="22">
        <f t="shared" ca="1" si="36"/>
        <v>1328882.5333333334</v>
      </c>
      <c r="V55" s="22">
        <f t="shared" ca="1" si="37"/>
        <v>1328882.5333333334</v>
      </c>
      <c r="W55" s="22">
        <f t="shared" ca="1" si="26"/>
        <v>2600000</v>
      </c>
      <c r="X55" s="22">
        <f t="shared" ca="1" si="27"/>
        <v>2600000</v>
      </c>
      <c r="Y55" s="22">
        <f t="shared" ca="1" si="4"/>
        <v>22222240</v>
      </c>
      <c r="Z55" s="22">
        <f t="shared" ca="1" si="38"/>
        <v>1476544.3333333333</v>
      </c>
      <c r="AA55" s="22">
        <f t="shared" ca="1" si="5"/>
        <v>1476540</v>
      </c>
      <c r="AB55" s="22">
        <f t="shared" ca="1" si="35"/>
        <v>613330400</v>
      </c>
      <c r="AC55" s="22">
        <f t="shared" ca="1" si="6"/>
        <v>0</v>
      </c>
      <c r="AD55" s="22">
        <f t="shared" ca="1" si="7"/>
        <v>0</v>
      </c>
      <c r="AE55" s="22">
        <f t="shared" ca="1" si="29"/>
        <v>0</v>
      </c>
      <c r="AF55" s="22">
        <f t="shared" ca="1" si="8"/>
        <v>0</v>
      </c>
      <c r="AG55" s="22">
        <f t="shared" ca="1" si="30"/>
        <v>0</v>
      </c>
      <c r="AH55" s="22">
        <f t="shared" ca="1" si="9"/>
        <v>0</v>
      </c>
      <c r="AI55" s="22">
        <f t="shared" ca="1" si="10"/>
        <v>19999900</v>
      </c>
      <c r="AJ55" s="22">
        <f t="shared" ca="1" si="39"/>
        <v>0</v>
      </c>
      <c r="AK55" s="22">
        <f t="shared" ca="1" si="40"/>
        <v>0</v>
      </c>
      <c r="AL55" s="69">
        <f t="shared" ca="1" si="31"/>
        <v>8</v>
      </c>
      <c r="AM55" s="69">
        <f t="shared" ca="1" si="11"/>
        <v>8</v>
      </c>
      <c r="AN55" s="4">
        <f t="shared" ca="1" si="32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3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A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46285</v>
      </c>
      <c r="C56" s="401"/>
      <c r="D56" s="443">
        <f ca="1">IF(N56=0,IF(N55=1,SUM(D$25:E55)," "),IF(N56=0," ",IF(N57=1,D$25,IF(N57=0,D$10-D$25*(M$14-1)," "))))</f>
        <v>666670</v>
      </c>
      <c r="E56" s="443"/>
      <c r="F56" s="84">
        <f ca="1">IF(N56=0,IF(N55=1,SUM(F$25:F55)," "),IF(M$1=1,P56,IF(M$1=2,Q56," ")))</f>
        <v>1285550</v>
      </c>
      <c r="G56" s="84">
        <v>0</v>
      </c>
      <c r="H56" s="84">
        <f t="shared" ca="1" si="19"/>
        <v>1952220</v>
      </c>
      <c r="I56" s="84">
        <f t="shared" ca="1" si="20"/>
        <v>740740</v>
      </c>
      <c r="J56" s="84">
        <f t="shared" ca="1" si="0"/>
        <v>1428400</v>
      </c>
      <c r="K56" s="84">
        <v>0</v>
      </c>
      <c r="L56" s="84">
        <f t="shared" ca="1" si="21"/>
        <v>2169140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1285550</v>
      </c>
      <c r="Q56" s="22">
        <f t="shared" ca="1" si="3"/>
        <v>1285550</v>
      </c>
      <c r="R56" s="22">
        <f t="shared" ca="1" si="23"/>
        <v>19333230</v>
      </c>
      <c r="S56" s="22">
        <f t="shared" ca="1" si="24"/>
        <v>666670</v>
      </c>
      <c r="T56" s="22">
        <f t="shared" ca="1" si="25"/>
        <v>666670</v>
      </c>
      <c r="U56" s="22">
        <f t="shared" ca="1" si="36"/>
        <v>1285548.9833333334</v>
      </c>
      <c r="V56" s="22">
        <f t="shared" ca="1" si="37"/>
        <v>1285548.9833333334</v>
      </c>
      <c r="W56" s="22">
        <f t="shared" ca="1" si="26"/>
        <v>2600000</v>
      </c>
      <c r="X56" s="22">
        <f t="shared" ca="1" si="27"/>
        <v>2600000</v>
      </c>
      <c r="Y56" s="22">
        <f t="shared" ca="1" si="4"/>
        <v>21481500</v>
      </c>
      <c r="Z56" s="22">
        <f t="shared" ca="1" si="38"/>
        <v>1428396.2333333334</v>
      </c>
      <c r="AA56" s="22">
        <f t="shared" ca="1" si="5"/>
        <v>1428400</v>
      </c>
      <c r="AB56" s="22">
        <f t="shared" ca="1" si="35"/>
        <v>593330300</v>
      </c>
      <c r="AC56" s="22">
        <f t="shared" ca="1" si="6"/>
        <v>0</v>
      </c>
      <c r="AD56" s="22">
        <f t="shared" ca="1" si="7"/>
        <v>0</v>
      </c>
      <c r="AE56" s="22">
        <f t="shared" ca="1" si="29"/>
        <v>0</v>
      </c>
      <c r="AF56" s="22">
        <f t="shared" ca="1" si="8"/>
        <v>0</v>
      </c>
      <c r="AG56" s="22">
        <f t="shared" ca="1" si="30"/>
        <v>0</v>
      </c>
      <c r="AH56" s="22">
        <f t="shared" ca="1" si="9"/>
        <v>0</v>
      </c>
      <c r="AI56" s="22">
        <f t="shared" ca="1" si="10"/>
        <v>19333230</v>
      </c>
      <c r="AJ56" s="22">
        <f t="shared" ca="1" si="39"/>
        <v>0</v>
      </c>
      <c r="AK56" s="22">
        <f t="shared" ca="1" si="40"/>
        <v>0</v>
      </c>
      <c r="AL56" s="69">
        <f t="shared" ca="1" si="31"/>
        <v>9</v>
      </c>
      <c r="AM56" s="69">
        <f t="shared" ca="1" si="11"/>
        <v>9</v>
      </c>
      <c r="AN56" s="4">
        <f t="shared" ca="1" si="32"/>
        <v>2026</v>
      </c>
      <c r="AO56" s="4">
        <f t="shared" ca="1" si="12"/>
        <v>2026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3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A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46315</v>
      </c>
      <c r="C57" s="401"/>
      <c r="D57" s="443">
        <f ca="1">IF(N57=0,IF(N56=1,SUM(D$25:E56)," "),IF(N57=0," ",IF(N58=1,D$25,IF(N58=0,D$10-D$25*(M$14-1)," "))))</f>
        <v>666670</v>
      </c>
      <c r="E57" s="443"/>
      <c r="F57" s="84">
        <f ca="1">IF(N57=0,IF(N56=1,SUM(F$25:F56)," "),IF(M$1=1,P57,IF(M$1=2,Q57," ")))</f>
        <v>1242210</v>
      </c>
      <c r="G57" s="84">
        <v>0</v>
      </c>
      <c r="H57" s="84">
        <f t="shared" ca="1" si="19"/>
        <v>1908880</v>
      </c>
      <c r="I57" s="84">
        <f t="shared" ca="1" si="20"/>
        <v>740740</v>
      </c>
      <c r="J57" s="84">
        <f t="shared" ref="J57:J85" ca="1" si="41">AA57</f>
        <v>1380250</v>
      </c>
      <c r="K57" s="84">
        <v>0</v>
      </c>
      <c r="L57" s="84">
        <f t="shared" ca="1" si="21"/>
        <v>2120990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1242210</v>
      </c>
      <c r="Q57" s="22">
        <f t="shared" ref="Q57:Q85" ca="1" si="44">IF(V57&lt;&gt;0,IF(VALUE(RIGHT(ROUND(V57,0)))&lt;=5,ROUND(V57,0)-VALUE(RIGHT(ROUND(V57,0))),ROUND(V57,0)+10-VALUE(RIGHT(ROUND(V57,0)))),0)</f>
        <v>1242210</v>
      </c>
      <c r="R57" s="22">
        <f t="shared" ca="1" si="23"/>
        <v>18666560</v>
      </c>
      <c r="S57" s="22">
        <f t="shared" ca="1" si="24"/>
        <v>666670</v>
      </c>
      <c r="T57" s="22">
        <f t="shared" ca="1" si="25"/>
        <v>666670</v>
      </c>
      <c r="U57" s="22">
        <f t="shared" ca="1" si="36"/>
        <v>1242215.4333333333</v>
      </c>
      <c r="V57" s="22">
        <f t="shared" ca="1" si="37"/>
        <v>1242215.4333333333</v>
      </c>
      <c r="W57" s="22">
        <f t="shared" ca="1" si="26"/>
        <v>2600000</v>
      </c>
      <c r="X57" s="22">
        <f t="shared" ca="1" si="27"/>
        <v>2600000</v>
      </c>
      <c r="Y57" s="22">
        <f t="shared" ref="Y57:Y85" ca="1" si="45">IF(M57&lt;=(D$15+1),D$10,Y56-I56)</f>
        <v>20740760</v>
      </c>
      <c r="Z57" s="22">
        <f t="shared" ca="1" si="38"/>
        <v>1380248.1333333333</v>
      </c>
      <c r="AA57" s="22">
        <f t="shared" ref="AA57:AA85" ca="1" si="46">IF(Z57&lt;&gt;0,IF(VALUE(RIGHT(ROUND(Z57,0)))&lt;=5,ROUND(Z57,0)-VALUE(RIGHT(ROUND(Z57,0))),ROUND(Z57,0)+10-VALUE(RIGHT(ROUND(Z57,0)))),0)</f>
        <v>1380250</v>
      </c>
      <c r="AB57" s="22">
        <f t="shared" ca="1" si="35"/>
        <v>573330200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9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30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18666560</v>
      </c>
      <c r="AJ57" s="22">
        <f t="shared" ca="1" si="39"/>
        <v>0</v>
      </c>
      <c r="AK57" s="22">
        <f t="shared" ca="1" si="40"/>
        <v>0</v>
      </c>
      <c r="AL57" s="69">
        <f t="shared" ca="1" si="31"/>
        <v>10</v>
      </c>
      <c r="AM57" s="69">
        <f t="shared" ref="AM57:AM85" ca="1" si="52">IF(AL57=13,1,AL57)</f>
        <v>10</v>
      </c>
      <c r="AN57" s="4">
        <f t="shared" ca="1" si="32"/>
        <v>2026</v>
      </c>
      <c r="AO57" s="4">
        <f t="shared" ref="AO57:AO85" ca="1" si="53">IF(AM57=1,AN57+1,AN57)</f>
        <v>2026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3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A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46346</v>
      </c>
      <c r="C58" s="401"/>
      <c r="D58" s="443">
        <f ca="1">IF(N58=0,IF(N57=1,SUM(D$25:E57)," "),IF(N58=0," ",IF(N59=1,D$25,IF(N59=0,D$10-D$25*(M$14-1)," "))))</f>
        <v>666670</v>
      </c>
      <c r="E58" s="443"/>
      <c r="F58" s="84">
        <f ca="1">IF(N58=0,IF(N57=1,SUM(F$25:F57)," "),IF(M$1=1,P58,IF(M$1=2,Q58," ")))</f>
        <v>1198880</v>
      </c>
      <c r="G58" s="84">
        <v>0</v>
      </c>
      <c r="H58" s="84">
        <f t="shared" ref="H58:H86" ca="1" si="59">IF(SUM(D58:G58)=0," ",SUM(D58:G58))</f>
        <v>1865550</v>
      </c>
      <c r="I58" s="84">
        <f t="shared" ref="I58:I86" ca="1" si="60">IF(N58=1,IF(N59=1,IF(M58&lt;=D$15,T58,AV$26),D$10-AV$26*M$16+AV$26),0)</f>
        <v>740740</v>
      </c>
      <c r="J58" s="84">
        <f t="shared" ca="1" si="41"/>
        <v>1332100</v>
      </c>
      <c r="K58" s="84">
        <v>0</v>
      </c>
      <c r="L58" s="84">
        <f t="shared" ref="L58:L85" ca="1" si="61">IF(SUM(I58:K58)=0," ",SUM(I58:K58))</f>
        <v>2072840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1198880</v>
      </c>
      <c r="Q58" s="22">
        <f t="shared" ca="1" si="44"/>
        <v>1198880</v>
      </c>
      <c r="R58" s="22">
        <f t="shared" ref="R58:R85" ca="1" si="62">IF(N58=0,0,R57-D57)</f>
        <v>17999890</v>
      </c>
      <c r="S58" s="22">
        <f t="shared" ref="S58:S85" ca="1" si="63">IF(M58&lt;=D$15,D$10/(D$14-M57),D58)</f>
        <v>666670</v>
      </c>
      <c r="T58" s="22">
        <f t="shared" ref="T58:T85" ca="1" si="64">IF(S58&lt;&gt;0,IF(VALUE(RIGHT(ROUND(S58,0)))&lt;=5,ROUND(S58,0)-VALUE(RIGHT(ROUND(S58,0))),ROUND(S58,0)+10-VALUE(RIGHT(ROUND(S58,0)))),0)</f>
        <v>666670</v>
      </c>
      <c r="U58" s="22">
        <f t="shared" ca="1" si="36"/>
        <v>1198881.8833333333</v>
      </c>
      <c r="V58" s="22">
        <f t="shared" ca="1" si="37"/>
        <v>1198881.8833333333</v>
      </c>
      <c r="W58" s="22">
        <f t="shared" ref="W58:W84" ca="1" si="65">IF(N59=1,$D$10*$D$11*20/36000+$D$10*$D$11*10/36000,IF(N59=0,IF(N58=0,0,$D$10*$D$11*$Q$12/36000+$D$10*$D$11*20/36000+$D$10*$D$11*10/36000)))</f>
        <v>2600000</v>
      </c>
      <c r="X58" s="22">
        <f t="shared" ref="X58:X85" ca="1" si="66">IF(W58&lt;&gt;0,IF(VALUE(RIGHT(ROUND(W58,0)))&lt;=5,ROUND(W58,0)-VALUE(RIGHT(ROUND(W58,0))),ROUND(W58,0)+10-VALUE(RIGHT(ROUND(W58,0)))),0)</f>
        <v>2600000</v>
      </c>
      <c r="Y58" s="22">
        <f t="shared" ca="1" si="45"/>
        <v>20000020</v>
      </c>
      <c r="Z58" s="22">
        <f t="shared" ca="1" si="38"/>
        <v>1332100.0333333334</v>
      </c>
      <c r="AA58" s="22">
        <f t="shared" ca="1" si="46"/>
        <v>1332100</v>
      </c>
      <c r="AB58" s="22">
        <f t="shared" ca="1" si="35"/>
        <v>553330100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17999890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11</v>
      </c>
      <c r="AM58" s="69">
        <f t="shared" ca="1" si="52"/>
        <v>11</v>
      </c>
      <c r="AN58" s="4">
        <f t="shared" ref="AN58:AN85" ca="1" si="70">IF(N58=0,0,YEAR(B57))</f>
        <v>2026</v>
      </c>
      <c r="AO58" s="4">
        <f t="shared" ca="1" si="53"/>
        <v>2026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A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46376</v>
      </c>
      <c r="C59" s="401"/>
      <c r="D59" s="443">
        <f ca="1">IF(N59=0,IF(N58=1,SUM(D$25:E58)," "),IF(N59=0," ",IF(N60=1,D$25,IF(N60=0,D$10-D$25*(M$14-1)," "))))</f>
        <v>666670</v>
      </c>
      <c r="E59" s="443"/>
      <c r="F59" s="84">
        <f ca="1">IF(N59=0,IF(N58=1,SUM(F$25:F58)," "),IF(M$1=1,P59,IF(M$1=2,Q59," ")))</f>
        <v>1155550</v>
      </c>
      <c r="G59" s="84">
        <v>0</v>
      </c>
      <c r="H59" s="84">
        <f t="shared" ca="1" si="59"/>
        <v>1822220</v>
      </c>
      <c r="I59" s="84">
        <f t="shared" ca="1" si="60"/>
        <v>740740</v>
      </c>
      <c r="J59" s="84">
        <f t="shared" ca="1" si="41"/>
        <v>1283950</v>
      </c>
      <c r="K59" s="84">
        <v>0</v>
      </c>
      <c r="L59" s="84">
        <f t="shared" ca="1" si="61"/>
        <v>2024690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1155550</v>
      </c>
      <c r="Q59" s="22">
        <f t="shared" ca="1" si="44"/>
        <v>1155550</v>
      </c>
      <c r="R59" s="22">
        <f t="shared" ca="1" si="62"/>
        <v>17333220</v>
      </c>
      <c r="S59" s="22">
        <f t="shared" ca="1" si="63"/>
        <v>666670</v>
      </c>
      <c r="T59" s="22">
        <f t="shared" ca="1" si="64"/>
        <v>666670</v>
      </c>
      <c r="U59" s="22">
        <f t="shared" ca="1" si="36"/>
        <v>1155548.3333333333</v>
      </c>
      <c r="V59" s="22">
        <f t="shared" ca="1" si="37"/>
        <v>1155548.3333333333</v>
      </c>
      <c r="W59" s="22">
        <f t="shared" ca="1" si="65"/>
        <v>2600000</v>
      </c>
      <c r="X59" s="22">
        <f t="shared" ca="1" si="66"/>
        <v>2600000</v>
      </c>
      <c r="Y59" s="22">
        <f t="shared" ca="1" si="45"/>
        <v>19259280</v>
      </c>
      <c r="Z59" s="22">
        <f t="shared" ca="1" si="38"/>
        <v>1283951.9333333333</v>
      </c>
      <c r="AA59" s="22">
        <f t="shared" ca="1" si="46"/>
        <v>1283950</v>
      </c>
      <c r="AB59" s="22">
        <f t="shared" ca="1" si="35"/>
        <v>533330000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17333220</v>
      </c>
      <c r="AJ59" s="22">
        <f t="shared" ca="1" si="39"/>
        <v>0</v>
      </c>
      <c r="AK59" s="22">
        <f t="shared" ca="1" si="40"/>
        <v>0</v>
      </c>
      <c r="AL59" s="69">
        <f t="shared" ca="1" si="69"/>
        <v>12</v>
      </c>
      <c r="AM59" s="69">
        <f t="shared" ca="1" si="52"/>
        <v>12</v>
      </c>
      <c r="AN59" s="4">
        <f t="shared" ca="1" si="70"/>
        <v>2026</v>
      </c>
      <c r="AO59" s="4">
        <f t="shared" ca="1" si="53"/>
        <v>2026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A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46407</v>
      </c>
      <c r="C60" s="401"/>
      <c r="D60" s="443">
        <f ca="1">IF(N60=0,IF(N59=1,SUM(D$25:E59)," "),IF(N60=0," ",IF(N61=1,D$25,IF(N61=0,D$10-D$25*(M$14-1)," "))))</f>
        <v>666670</v>
      </c>
      <c r="E60" s="443"/>
      <c r="F60" s="84">
        <f ca="1">IF(N60=0,IF(N59=1,SUM(F$25:F59)," "),IF(M$1=1,P60,IF(M$1=2,Q60," ")))</f>
        <v>1112210</v>
      </c>
      <c r="G60" s="84">
        <v>0</v>
      </c>
      <c r="H60" s="84">
        <f t="shared" ca="1" si="59"/>
        <v>1778880</v>
      </c>
      <c r="I60" s="84">
        <f t="shared" ca="1" si="60"/>
        <v>740740</v>
      </c>
      <c r="J60" s="84">
        <f t="shared" ca="1" si="41"/>
        <v>1235800</v>
      </c>
      <c r="K60" s="84">
        <v>0</v>
      </c>
      <c r="L60" s="84">
        <f t="shared" ca="1" si="61"/>
        <v>1976540</v>
      </c>
      <c r="M60" s="4">
        <v>36</v>
      </c>
      <c r="N60" s="4">
        <f t="shared" ca="1" si="34"/>
        <v>1</v>
      </c>
      <c r="O60" s="4">
        <f t="shared" ca="1" si="42"/>
        <v>20</v>
      </c>
      <c r="P60" s="22">
        <f t="shared" ca="1" si="43"/>
        <v>1112210</v>
      </c>
      <c r="Q60" s="22">
        <f t="shared" ca="1" si="44"/>
        <v>1112210</v>
      </c>
      <c r="R60" s="22">
        <f t="shared" ca="1" si="62"/>
        <v>16666550</v>
      </c>
      <c r="S60" s="22">
        <f t="shared" ca="1" si="63"/>
        <v>666670</v>
      </c>
      <c r="T60" s="22">
        <f t="shared" ca="1" si="64"/>
        <v>666670</v>
      </c>
      <c r="U60" s="22">
        <f t="shared" ca="1" si="36"/>
        <v>1112214.7833333332</v>
      </c>
      <c r="V60" s="22">
        <f t="shared" ca="1" si="37"/>
        <v>1112214.7833333332</v>
      </c>
      <c r="W60" s="22">
        <f t="shared" ca="1" si="65"/>
        <v>2600000</v>
      </c>
      <c r="X60" s="22">
        <f t="shared" ca="1" si="66"/>
        <v>2600000</v>
      </c>
      <c r="Y60" s="22">
        <f t="shared" ca="1" si="45"/>
        <v>18518540</v>
      </c>
      <c r="Z60" s="22">
        <f t="shared" ca="1" si="38"/>
        <v>1235803.8333333335</v>
      </c>
      <c r="AA60" s="22">
        <f t="shared" ca="1" si="46"/>
        <v>1235800</v>
      </c>
      <c r="AB60" s="22">
        <f t="shared" ca="1" si="35"/>
        <v>513329900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16666550</v>
      </c>
      <c r="AJ60" s="22">
        <f t="shared" ca="1" si="39"/>
        <v>0</v>
      </c>
      <c r="AK60" s="22">
        <f t="shared" ca="1" si="40"/>
        <v>0</v>
      </c>
      <c r="AL60" s="69">
        <f t="shared" ca="1" si="69"/>
        <v>13</v>
      </c>
      <c r="AM60" s="69">
        <f t="shared" ca="1" si="52"/>
        <v>1</v>
      </c>
      <c r="AN60" s="4">
        <f t="shared" ca="1" si="70"/>
        <v>2026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A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8"/>
        <v>46438</v>
      </c>
      <c r="C61" s="401"/>
      <c r="D61" s="443">
        <f ca="1">IF(N61=0,IF(N60=1,SUM(D$25:E60)," "),IF(N61=0," ",IF(N62=1,D$25,IF(N62=0,D$10-D$25*(M$14-1)," "))))</f>
        <v>666670</v>
      </c>
      <c r="E61" s="443"/>
      <c r="F61" s="84">
        <f ca="1">IF(N61=0,IF(N60=1,SUM(F$25:F60)," "),IF(M$1=1,P61,IF(M$1=2,Q61," ")))</f>
        <v>1068880</v>
      </c>
      <c r="G61" s="84">
        <v>0</v>
      </c>
      <c r="H61" s="84">
        <f t="shared" ca="1" si="59"/>
        <v>1735550</v>
      </c>
      <c r="I61" s="84">
        <f t="shared" ca="1" si="60"/>
        <v>740740</v>
      </c>
      <c r="J61" s="84">
        <f t="shared" ca="1" si="41"/>
        <v>1187660</v>
      </c>
      <c r="K61" s="84">
        <v>0</v>
      </c>
      <c r="L61" s="84">
        <f t="shared" ca="1" si="61"/>
        <v>1928400</v>
      </c>
      <c r="M61" s="4">
        <v>37</v>
      </c>
      <c r="N61" s="4">
        <f t="shared" ca="1" si="34"/>
        <v>1</v>
      </c>
      <c r="O61" s="4">
        <f t="shared" ca="1" si="42"/>
        <v>20</v>
      </c>
      <c r="P61" s="22">
        <f t="shared" ca="1" si="43"/>
        <v>1068880</v>
      </c>
      <c r="Q61" s="22">
        <f t="shared" ca="1" si="44"/>
        <v>1068880</v>
      </c>
      <c r="R61" s="22">
        <f t="shared" ca="1" si="62"/>
        <v>15999880</v>
      </c>
      <c r="S61" s="22">
        <f t="shared" ca="1" si="63"/>
        <v>666670</v>
      </c>
      <c r="T61" s="22">
        <f t="shared" ca="1" si="64"/>
        <v>666670</v>
      </c>
      <c r="U61" s="22">
        <f ca="1">IF(N62=1,R60*D$11*20/36000+R61*D$11*10/36000,IF(N62=0,IF(N61=0,0,IF(D40&gt;20,R60*D$11*20/36000+R61*D$11*(Q$12-20)/36000,R61*D$11*Q$12/36000))))</f>
        <v>1068881.2333333334</v>
      </c>
      <c r="V61" s="22">
        <f ca="1">IF(N62=1,R60*D$11*20/36000+R61*D$11*10/36000,IF(N62=0,IF(N61=0,0,IF(D40&gt;20,R60*D$11*20/36000+R61*D$11*(Q$12-20)/36000,R61*D$11*Q$12/36000))))</f>
        <v>1068881.2333333334</v>
      </c>
      <c r="W61" s="22">
        <f t="shared" ca="1" si="65"/>
        <v>2600000</v>
      </c>
      <c r="X61" s="22">
        <f t="shared" ca="1" si="66"/>
        <v>2600000</v>
      </c>
      <c r="Y61" s="22">
        <f t="shared" ca="1" si="45"/>
        <v>17777800</v>
      </c>
      <c r="Z61" s="22">
        <f ca="1">IF(N62=1,Y60*D$11*20/36000+Y61*D$11*10/36000,IF(N62=0,IF(N61=0,0,IF(D$16&gt;20,Y60*D$11*20/36000+Y61*D$11*(Q$12-20)/36000,Y61*D$11*Q$12/36000))))</f>
        <v>1187655.7333333334</v>
      </c>
      <c r="AA61" s="22">
        <f t="shared" ca="1" si="46"/>
        <v>1187660</v>
      </c>
      <c r="AB61" s="22">
        <f t="shared" ca="1" si="35"/>
        <v>493329800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15999880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2</v>
      </c>
      <c r="AM61" s="69">
        <f t="shared" ca="1" si="52"/>
        <v>2</v>
      </c>
      <c r="AN61" s="4">
        <f t="shared" ca="1" si="70"/>
        <v>2027</v>
      </c>
      <c r="AO61" s="4">
        <f t="shared" ca="1" si="53"/>
        <v>2027</v>
      </c>
      <c r="AP61" s="4">
        <f t="shared" ca="1" si="54"/>
        <v>0</v>
      </c>
      <c r="AQ61" s="4">
        <f t="shared" ca="1" si="55"/>
        <v>28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1</v>
      </c>
      <c r="AZ61" s="19"/>
      <c r="BA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8"/>
        <v>46466</v>
      </c>
      <c r="C62" s="401"/>
      <c r="D62" s="443">
        <f ca="1">IF(N62=0,IF(N61=1,SUM(D$25:E61)," "),IF(N62=0," ",IF(N63=1,D$25,IF(N63=0,D$10-D$25*(M$14-1)," "))))</f>
        <v>666670</v>
      </c>
      <c r="E62" s="443"/>
      <c r="F62" s="84">
        <f ca="1">IF(N62=0,IF(N61=1,SUM(F$25:F61)," "),IF(M$1=1,P62,IF(M$1=2,Q62," ")))</f>
        <v>1025550</v>
      </c>
      <c r="G62" s="84">
        <v>0</v>
      </c>
      <c r="H62" s="84">
        <f t="shared" ca="1" si="59"/>
        <v>1692220</v>
      </c>
      <c r="I62" s="84">
        <f t="shared" ca="1" si="60"/>
        <v>740740</v>
      </c>
      <c r="J62" s="84">
        <f t="shared" ca="1" si="41"/>
        <v>1139510</v>
      </c>
      <c r="K62" s="84">
        <v>0</v>
      </c>
      <c r="L62" s="84">
        <f t="shared" ca="1" si="61"/>
        <v>1880250</v>
      </c>
      <c r="M62" s="4">
        <v>38</v>
      </c>
      <c r="N62" s="4">
        <f t="shared" ca="1" si="34"/>
        <v>1</v>
      </c>
      <c r="O62" s="4">
        <f t="shared" ca="1" si="42"/>
        <v>20</v>
      </c>
      <c r="P62" s="22">
        <f t="shared" ca="1" si="43"/>
        <v>1025550</v>
      </c>
      <c r="Q62" s="22">
        <f t="shared" ca="1" si="44"/>
        <v>1025550</v>
      </c>
      <c r="R62" s="22">
        <f t="shared" ca="1" si="62"/>
        <v>15333210</v>
      </c>
      <c r="S62" s="22">
        <f t="shared" ca="1" si="63"/>
        <v>666670</v>
      </c>
      <c r="T62" s="22">
        <f t="shared" ca="1" si="64"/>
        <v>666670</v>
      </c>
      <c r="U62" s="22">
        <f t="shared" ref="U62:U72" ca="1" si="72">IF(N63=1,R61*D$11*20/36000+R62*D$11*10/36000,IF(N63=0,IF(N62=0,0,R62*D$11*Q$12/36000+R61*D$11*20/36000+R62*D$11*10/36000)))</f>
        <v>1025547.6833333333</v>
      </c>
      <c r="V62" s="22">
        <f t="shared" ref="V62:V72" ca="1" si="73">IF(N63=1,R61*D$11*20/36000+R62*D$11*10/36000,IF(N63=0,IF(N62=0,0,R62*D$11*Q$12/36000+R61*D$11*20/36000+R62*D$11*10/36000)))</f>
        <v>1025547.6833333333</v>
      </c>
      <c r="W62" s="22">
        <f t="shared" ca="1" si="65"/>
        <v>2600000</v>
      </c>
      <c r="X62" s="22">
        <f t="shared" ca="1" si="66"/>
        <v>2600000</v>
      </c>
      <c r="Y62" s="22">
        <f t="shared" ca="1" si="45"/>
        <v>17037060</v>
      </c>
      <c r="Z62" s="22">
        <f t="shared" ref="Z62:Z72" ca="1" si="74">IF(N63=1,Y61*D$11*20/36000+Y62*D$11*10/36000,IF(N63=0,IF(N62=0,0,Y62*D$11*Q$12/36000+Y61*D$11*20/36000+Y62*D$11*10/36000)))</f>
        <v>1139507.6333333333</v>
      </c>
      <c r="AA62" s="22">
        <f t="shared" ca="1" si="46"/>
        <v>1139510</v>
      </c>
      <c r="AB62" s="22">
        <f t="shared" ca="1" si="35"/>
        <v>473329700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15333210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3</v>
      </c>
      <c r="AM62" s="69">
        <f t="shared" ca="1" si="52"/>
        <v>3</v>
      </c>
      <c r="AN62" s="4">
        <f t="shared" ca="1" si="70"/>
        <v>2027</v>
      </c>
      <c r="AO62" s="4">
        <f t="shared" ca="1" si="53"/>
        <v>2027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28</v>
      </c>
      <c r="AT62" s="19"/>
      <c r="AU62" s="19"/>
      <c r="AV62" s="19"/>
      <c r="AW62" s="19"/>
      <c r="AX62" s="19"/>
      <c r="AY62" s="4">
        <f t="shared" ca="1" si="57"/>
        <v>1</v>
      </c>
      <c r="AZ62" s="19"/>
      <c r="BA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8"/>
        <v>46497</v>
      </c>
      <c r="C63" s="401"/>
      <c r="D63" s="443">
        <f ca="1">IF(N63=0,IF(N62=1,SUM(D$25:E62)," "),IF(N63=0," ",IF(N64=1,D$25,IF(N64=0,D$10-D$25*(M$14-1)," "))))</f>
        <v>666670</v>
      </c>
      <c r="E63" s="443"/>
      <c r="F63" s="84">
        <f ca="1">IF(N63=0,IF(N62=1,SUM(F$25:F62)," "),IF(M$1=1,P63,IF(M$1=2,Q63," ")))</f>
        <v>982210</v>
      </c>
      <c r="G63" s="84">
        <v>0</v>
      </c>
      <c r="H63" s="84">
        <f t="shared" ca="1" si="59"/>
        <v>1648880</v>
      </c>
      <c r="I63" s="84">
        <f t="shared" ca="1" si="60"/>
        <v>740740</v>
      </c>
      <c r="J63" s="84">
        <f t="shared" ca="1" si="41"/>
        <v>1091360</v>
      </c>
      <c r="K63" s="84">
        <v>0</v>
      </c>
      <c r="L63" s="84">
        <f t="shared" ca="1" si="61"/>
        <v>1832100</v>
      </c>
      <c r="M63" s="4">
        <v>39</v>
      </c>
      <c r="N63" s="4">
        <f t="shared" ca="1" si="34"/>
        <v>1</v>
      </c>
      <c r="O63" s="4">
        <f t="shared" ca="1" si="42"/>
        <v>20</v>
      </c>
      <c r="P63" s="22">
        <f t="shared" ca="1" si="43"/>
        <v>982210</v>
      </c>
      <c r="Q63" s="22">
        <f t="shared" ca="1" si="44"/>
        <v>982210</v>
      </c>
      <c r="R63" s="22">
        <f t="shared" ca="1" si="62"/>
        <v>14666540</v>
      </c>
      <c r="S63" s="22">
        <f t="shared" ca="1" si="63"/>
        <v>666670</v>
      </c>
      <c r="T63" s="22">
        <f t="shared" ca="1" si="64"/>
        <v>666670</v>
      </c>
      <c r="U63" s="22">
        <f t="shared" ca="1" si="72"/>
        <v>982214.1333333333</v>
      </c>
      <c r="V63" s="22">
        <f t="shared" ca="1" si="73"/>
        <v>982214.1333333333</v>
      </c>
      <c r="W63" s="22">
        <f t="shared" ca="1" si="65"/>
        <v>2600000</v>
      </c>
      <c r="X63" s="22">
        <f t="shared" ca="1" si="66"/>
        <v>2600000</v>
      </c>
      <c r="Y63" s="22">
        <f t="shared" ca="1" si="45"/>
        <v>16296320</v>
      </c>
      <c r="Z63" s="22">
        <f t="shared" ca="1" si="74"/>
        <v>1091359.5333333332</v>
      </c>
      <c r="AA63" s="22">
        <f t="shared" ca="1" si="46"/>
        <v>1091360</v>
      </c>
      <c r="AB63" s="22">
        <f t="shared" ca="1" si="35"/>
        <v>453329600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14666540</v>
      </c>
      <c r="AJ63" s="22">
        <f t="shared" ca="1" si="75"/>
        <v>0</v>
      </c>
      <c r="AK63" s="22">
        <f t="shared" ca="1" si="76"/>
        <v>0</v>
      </c>
      <c r="AL63" s="69">
        <f t="shared" ca="1" si="69"/>
        <v>4</v>
      </c>
      <c r="AM63" s="69">
        <f t="shared" ca="1" si="52"/>
        <v>4</v>
      </c>
      <c r="AN63" s="4">
        <f t="shared" ca="1" si="70"/>
        <v>2027</v>
      </c>
      <c r="AO63" s="4">
        <f t="shared" ca="1" si="53"/>
        <v>2027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1</v>
      </c>
      <c r="AZ63" s="19"/>
      <c r="BA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8"/>
        <v>46527</v>
      </c>
      <c r="C64" s="401"/>
      <c r="D64" s="443">
        <f ca="1">IF(N64=0,IF(N63=1,SUM(D$25:E63)," "),IF(N64=0," ",IF(N65=1,D$25,IF(N65=0,D$10-D$25*(M$14-1)," "))))</f>
        <v>666670</v>
      </c>
      <c r="E64" s="443"/>
      <c r="F64" s="84">
        <f ca="1">IF(N64=0,IF(N63=1,SUM(F$25:F63)," "),IF(M$1=1,P64,IF(M$1=2,Q64," ")))</f>
        <v>938880</v>
      </c>
      <c r="G64" s="84">
        <v>0</v>
      </c>
      <c r="H64" s="84">
        <f t="shared" ca="1" si="59"/>
        <v>1605550</v>
      </c>
      <c r="I64" s="84">
        <f t="shared" ca="1" si="60"/>
        <v>740740</v>
      </c>
      <c r="J64" s="84">
        <f t="shared" ca="1" si="41"/>
        <v>1043210</v>
      </c>
      <c r="K64" s="84">
        <v>0</v>
      </c>
      <c r="L64" s="84">
        <f t="shared" ca="1" si="61"/>
        <v>1783950</v>
      </c>
      <c r="M64" s="4">
        <v>40</v>
      </c>
      <c r="N64" s="4">
        <f t="shared" ca="1" si="34"/>
        <v>1</v>
      </c>
      <c r="O64" s="4">
        <f t="shared" ca="1" si="42"/>
        <v>20</v>
      </c>
      <c r="P64" s="22">
        <f t="shared" ca="1" si="43"/>
        <v>938880</v>
      </c>
      <c r="Q64" s="22">
        <f t="shared" ca="1" si="44"/>
        <v>938880</v>
      </c>
      <c r="R64" s="22">
        <f t="shared" ca="1" si="62"/>
        <v>13999870</v>
      </c>
      <c r="S64" s="22">
        <f t="shared" ca="1" si="63"/>
        <v>666670</v>
      </c>
      <c r="T64" s="22">
        <f t="shared" ca="1" si="64"/>
        <v>666670</v>
      </c>
      <c r="U64" s="22">
        <f t="shared" ca="1" si="72"/>
        <v>938880.58333333326</v>
      </c>
      <c r="V64" s="22">
        <f t="shared" ca="1" si="73"/>
        <v>938880.58333333326</v>
      </c>
      <c r="W64" s="22">
        <f t="shared" ca="1" si="65"/>
        <v>2600000</v>
      </c>
      <c r="X64" s="22">
        <f t="shared" ca="1" si="66"/>
        <v>2600000</v>
      </c>
      <c r="Y64" s="22">
        <f t="shared" ca="1" si="45"/>
        <v>15555580</v>
      </c>
      <c r="Z64" s="22">
        <f t="shared" ca="1" si="74"/>
        <v>1043211.4333333333</v>
      </c>
      <c r="AA64" s="22">
        <f t="shared" ca="1" si="46"/>
        <v>1043210</v>
      </c>
      <c r="AB64" s="22">
        <f t="shared" ca="1" si="35"/>
        <v>433329500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13999870</v>
      </c>
      <c r="AJ64" s="22">
        <f t="shared" ca="1" si="75"/>
        <v>0</v>
      </c>
      <c r="AK64" s="22">
        <f t="shared" ca="1" si="76"/>
        <v>0</v>
      </c>
      <c r="AL64" s="69">
        <f t="shared" ca="1" si="69"/>
        <v>5</v>
      </c>
      <c r="AM64" s="69">
        <f t="shared" ca="1" si="52"/>
        <v>5</v>
      </c>
      <c r="AN64" s="4">
        <f t="shared" ca="1" si="70"/>
        <v>2027</v>
      </c>
      <c r="AO64" s="4">
        <f t="shared" ca="1" si="53"/>
        <v>2027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1</v>
      </c>
      <c r="AZ64" s="19"/>
      <c r="BA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8"/>
        <v>46558</v>
      </c>
      <c r="C65" s="401"/>
      <c r="D65" s="443">
        <f ca="1">IF(N65=0,IF(N64=1,SUM(D$25:E64)," "),IF(N65=0," ",IF(N66=1,D$25,IF(N66=0,D$10-D$25*(M$14-1)," "))))</f>
        <v>666670</v>
      </c>
      <c r="E65" s="443"/>
      <c r="F65" s="84">
        <f ca="1">IF(N65=0,IF(N64=1,SUM(F$25:F64)," "),IF(M$1=1,P65,IF(M$1=2,Q65," ")))</f>
        <v>895550</v>
      </c>
      <c r="G65" s="84">
        <v>0</v>
      </c>
      <c r="H65" s="84">
        <f t="shared" ca="1" si="59"/>
        <v>1562220</v>
      </c>
      <c r="I65" s="84">
        <f t="shared" ca="1" si="60"/>
        <v>740740</v>
      </c>
      <c r="J65" s="84">
        <f t="shared" ca="1" si="41"/>
        <v>995060</v>
      </c>
      <c r="K65" s="84">
        <v>0</v>
      </c>
      <c r="L65" s="84">
        <f t="shared" ca="1" si="61"/>
        <v>1735800</v>
      </c>
      <c r="M65" s="4">
        <v>41</v>
      </c>
      <c r="N65" s="4">
        <f t="shared" ca="1" si="34"/>
        <v>1</v>
      </c>
      <c r="O65" s="4">
        <f t="shared" ca="1" si="42"/>
        <v>20</v>
      </c>
      <c r="P65" s="22">
        <f t="shared" ca="1" si="43"/>
        <v>895550</v>
      </c>
      <c r="Q65" s="22">
        <f t="shared" ca="1" si="44"/>
        <v>895550</v>
      </c>
      <c r="R65" s="22">
        <f t="shared" ca="1" si="62"/>
        <v>13333200</v>
      </c>
      <c r="S65" s="22">
        <f t="shared" ca="1" si="63"/>
        <v>666670</v>
      </c>
      <c r="T65" s="22">
        <f t="shared" ca="1" si="64"/>
        <v>666670</v>
      </c>
      <c r="U65" s="22">
        <f t="shared" ca="1" si="72"/>
        <v>895547.03333333333</v>
      </c>
      <c r="V65" s="22">
        <f t="shared" ca="1" si="73"/>
        <v>895547.03333333333</v>
      </c>
      <c r="W65" s="22">
        <f t="shared" ca="1" si="65"/>
        <v>2600000</v>
      </c>
      <c r="X65" s="22">
        <f t="shared" ca="1" si="66"/>
        <v>2600000</v>
      </c>
      <c r="Y65" s="22">
        <f t="shared" ca="1" si="45"/>
        <v>14814840</v>
      </c>
      <c r="Z65" s="22">
        <f t="shared" ca="1" si="74"/>
        <v>995063.33333333326</v>
      </c>
      <c r="AA65" s="22">
        <f t="shared" ca="1" si="46"/>
        <v>995060</v>
      </c>
      <c r="AB65" s="22">
        <f t="shared" ca="1" si="35"/>
        <v>413329400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13333200</v>
      </c>
      <c r="AJ65" s="22">
        <f t="shared" ca="1" si="75"/>
        <v>0</v>
      </c>
      <c r="AK65" s="22">
        <f t="shared" ca="1" si="76"/>
        <v>0</v>
      </c>
      <c r="AL65" s="69">
        <f t="shared" ca="1" si="69"/>
        <v>6</v>
      </c>
      <c r="AM65" s="69">
        <f t="shared" ca="1" si="52"/>
        <v>6</v>
      </c>
      <c r="AN65" s="4">
        <f t="shared" ca="1" si="70"/>
        <v>2027</v>
      </c>
      <c r="AO65" s="4">
        <f t="shared" ca="1" si="53"/>
        <v>2027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1</v>
      </c>
      <c r="AZ65" s="19"/>
      <c r="BA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8"/>
        <v>46588</v>
      </c>
      <c r="C66" s="401"/>
      <c r="D66" s="443">
        <f ca="1">IF(N66=0,IF(N65=1,SUM(D$25:E65)," "),IF(N66=0," ",IF(N67=1,D$25,IF(N67=0,D$10-D$25*(M$14-1)," "))))</f>
        <v>666670</v>
      </c>
      <c r="E66" s="443"/>
      <c r="F66" s="84">
        <f ca="1">IF(N66=0,IF(N65=1,SUM(F$25:F65)," "),IF(M$1=1,P66,IF(M$1=2,Q66," ")))</f>
        <v>852210</v>
      </c>
      <c r="G66" s="84">
        <v>0</v>
      </c>
      <c r="H66" s="84">
        <f t="shared" ca="1" si="59"/>
        <v>1518880</v>
      </c>
      <c r="I66" s="84">
        <f t="shared" ca="1" si="60"/>
        <v>740740</v>
      </c>
      <c r="J66" s="84">
        <f t="shared" ca="1" si="41"/>
        <v>946910</v>
      </c>
      <c r="K66" s="84">
        <v>0</v>
      </c>
      <c r="L66" s="84">
        <f t="shared" ca="1" si="61"/>
        <v>1687650</v>
      </c>
      <c r="M66" s="4">
        <v>42</v>
      </c>
      <c r="N66" s="4">
        <f t="shared" ca="1" si="34"/>
        <v>1</v>
      </c>
      <c r="O66" s="4">
        <f t="shared" ca="1" si="42"/>
        <v>20</v>
      </c>
      <c r="P66" s="22">
        <f t="shared" ca="1" si="43"/>
        <v>852210</v>
      </c>
      <c r="Q66" s="22">
        <f t="shared" ca="1" si="44"/>
        <v>852210</v>
      </c>
      <c r="R66" s="22">
        <f t="shared" ca="1" si="62"/>
        <v>12666530</v>
      </c>
      <c r="S66" s="22">
        <f t="shared" ca="1" si="63"/>
        <v>666670</v>
      </c>
      <c r="T66" s="22">
        <f t="shared" ca="1" si="64"/>
        <v>666670</v>
      </c>
      <c r="U66" s="22">
        <f t="shared" ca="1" si="72"/>
        <v>852213.4833333334</v>
      </c>
      <c r="V66" s="22">
        <f t="shared" ca="1" si="73"/>
        <v>852213.4833333334</v>
      </c>
      <c r="W66" s="22">
        <f t="shared" ca="1" si="65"/>
        <v>2600000</v>
      </c>
      <c r="X66" s="22">
        <f t="shared" ca="1" si="66"/>
        <v>2600000</v>
      </c>
      <c r="Y66" s="22">
        <f t="shared" ca="1" si="45"/>
        <v>14074100</v>
      </c>
      <c r="Z66" s="22">
        <f t="shared" ca="1" si="74"/>
        <v>946915.2333333334</v>
      </c>
      <c r="AA66" s="22">
        <f t="shared" ca="1" si="46"/>
        <v>946910</v>
      </c>
      <c r="AB66" s="22">
        <f t="shared" ca="1" si="35"/>
        <v>393329300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12666530</v>
      </c>
      <c r="AJ66" s="22">
        <f t="shared" ca="1" si="75"/>
        <v>0</v>
      </c>
      <c r="AK66" s="22">
        <f t="shared" ca="1" si="76"/>
        <v>0</v>
      </c>
      <c r="AL66" s="69">
        <f t="shared" ca="1" si="69"/>
        <v>7</v>
      </c>
      <c r="AM66" s="69">
        <f t="shared" ca="1" si="52"/>
        <v>7</v>
      </c>
      <c r="AN66" s="4">
        <f t="shared" ca="1" si="70"/>
        <v>2027</v>
      </c>
      <c r="AO66" s="4">
        <f t="shared" ca="1" si="53"/>
        <v>2027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1</v>
      </c>
      <c r="AZ66" s="19"/>
      <c r="BA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8"/>
        <v>46619</v>
      </c>
      <c r="C67" s="401"/>
      <c r="D67" s="443">
        <f ca="1">IF(N67=0,IF(N66=1,SUM(D$25:E66)," "),IF(N67=0," ",IF(N68=1,D$25,IF(N68=0,D$10-D$25*(M$14-1)," "))))</f>
        <v>666670</v>
      </c>
      <c r="E67" s="443"/>
      <c r="F67" s="84">
        <f ca="1">IF(N67=0,IF(N66=1,SUM(F$25:F66)," "),IF(M$1=1,P67,IF(M$1=2,Q67," ")))</f>
        <v>808880</v>
      </c>
      <c r="G67" s="84">
        <v>0</v>
      </c>
      <c r="H67" s="84">
        <f t="shared" ca="1" si="59"/>
        <v>1475550</v>
      </c>
      <c r="I67" s="84">
        <f t="shared" ca="1" si="60"/>
        <v>740740</v>
      </c>
      <c r="J67" s="84">
        <f t="shared" ca="1" si="41"/>
        <v>898770</v>
      </c>
      <c r="K67" s="84">
        <v>0</v>
      </c>
      <c r="L67" s="84">
        <f t="shared" ca="1" si="61"/>
        <v>1639510</v>
      </c>
      <c r="M67" s="4">
        <v>43</v>
      </c>
      <c r="N67" s="4">
        <f t="shared" ca="1" si="34"/>
        <v>1</v>
      </c>
      <c r="O67" s="4">
        <f t="shared" ca="1" si="42"/>
        <v>20</v>
      </c>
      <c r="P67" s="22">
        <f t="shared" ca="1" si="43"/>
        <v>808880</v>
      </c>
      <c r="Q67" s="22">
        <f t="shared" ca="1" si="44"/>
        <v>808880</v>
      </c>
      <c r="R67" s="22">
        <f t="shared" ca="1" si="62"/>
        <v>11999860</v>
      </c>
      <c r="S67" s="22">
        <f t="shared" ca="1" si="63"/>
        <v>666670</v>
      </c>
      <c r="T67" s="22">
        <f t="shared" ca="1" si="64"/>
        <v>666670</v>
      </c>
      <c r="U67" s="22">
        <f t="shared" ca="1" si="72"/>
        <v>808879.93333333335</v>
      </c>
      <c r="V67" s="22">
        <f t="shared" ca="1" si="73"/>
        <v>808879.93333333335</v>
      </c>
      <c r="W67" s="22">
        <f t="shared" ca="1" si="65"/>
        <v>2600000</v>
      </c>
      <c r="X67" s="22">
        <f t="shared" ca="1" si="66"/>
        <v>2600000</v>
      </c>
      <c r="Y67" s="22">
        <f t="shared" ca="1" si="45"/>
        <v>13333360</v>
      </c>
      <c r="Z67" s="22">
        <f t="shared" ca="1" si="74"/>
        <v>898767.1333333333</v>
      </c>
      <c r="AA67" s="22">
        <f t="shared" ca="1" si="46"/>
        <v>898770</v>
      </c>
      <c r="AB67" s="22">
        <f t="shared" ca="1" si="35"/>
        <v>373329200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11999860</v>
      </c>
      <c r="AJ67" s="22">
        <f t="shared" ca="1" si="75"/>
        <v>0</v>
      </c>
      <c r="AK67" s="22">
        <f t="shared" ca="1" si="76"/>
        <v>0</v>
      </c>
      <c r="AL67" s="69">
        <f t="shared" ca="1" si="69"/>
        <v>8</v>
      </c>
      <c r="AM67" s="69">
        <f t="shared" ca="1" si="52"/>
        <v>8</v>
      </c>
      <c r="AN67" s="4">
        <f t="shared" ca="1" si="70"/>
        <v>2027</v>
      </c>
      <c r="AO67" s="4">
        <f t="shared" ca="1" si="53"/>
        <v>2027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1</v>
      </c>
      <c r="AZ67" s="19"/>
      <c r="BA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8"/>
        <v>46650</v>
      </c>
      <c r="C68" s="401"/>
      <c r="D68" s="443">
        <f ca="1">IF(N68=0,IF(N67=1,SUM(D$25:E67)," "),IF(N68=0," ",IF(N69=1,D$25,IF(N69=0,D$10-D$25*(M$14-1)," "))))</f>
        <v>666670</v>
      </c>
      <c r="E68" s="443"/>
      <c r="F68" s="84">
        <f ca="1">IF(N68=0,IF(N67=1,SUM(F$25:F67)," "),IF(M$1=1,P68,IF(M$1=2,Q68," ")))</f>
        <v>765550</v>
      </c>
      <c r="G68" s="84">
        <v>0</v>
      </c>
      <c r="H68" s="84">
        <f t="shared" ca="1" si="59"/>
        <v>1432220</v>
      </c>
      <c r="I68" s="84">
        <f t="shared" ca="1" si="60"/>
        <v>740740</v>
      </c>
      <c r="J68" s="84">
        <f t="shared" ca="1" si="41"/>
        <v>850620</v>
      </c>
      <c r="K68" s="84">
        <v>0</v>
      </c>
      <c r="L68" s="84">
        <f t="shared" ca="1" si="61"/>
        <v>1591360</v>
      </c>
      <c r="M68" s="4">
        <v>44</v>
      </c>
      <c r="N68" s="4">
        <f t="shared" ca="1" si="34"/>
        <v>1</v>
      </c>
      <c r="O68" s="4">
        <f t="shared" ca="1" si="42"/>
        <v>20</v>
      </c>
      <c r="P68" s="22">
        <f t="shared" ca="1" si="43"/>
        <v>765550</v>
      </c>
      <c r="Q68" s="22">
        <f t="shared" ca="1" si="44"/>
        <v>765550</v>
      </c>
      <c r="R68" s="22">
        <f t="shared" ca="1" si="62"/>
        <v>11333190</v>
      </c>
      <c r="S68" s="22">
        <f t="shared" ca="1" si="63"/>
        <v>666670</v>
      </c>
      <c r="T68" s="22">
        <f t="shared" ca="1" si="64"/>
        <v>666670</v>
      </c>
      <c r="U68" s="22">
        <f t="shared" ca="1" si="72"/>
        <v>765546.3833333333</v>
      </c>
      <c r="V68" s="22">
        <f t="shared" ca="1" si="73"/>
        <v>765546.3833333333</v>
      </c>
      <c r="W68" s="22">
        <f t="shared" ca="1" si="65"/>
        <v>2600000</v>
      </c>
      <c r="X68" s="22">
        <f t="shared" ca="1" si="66"/>
        <v>2600000</v>
      </c>
      <c r="Y68" s="22">
        <f t="shared" ca="1" si="45"/>
        <v>12592620</v>
      </c>
      <c r="Z68" s="22">
        <f t="shared" ca="1" si="74"/>
        <v>850619.03333333333</v>
      </c>
      <c r="AA68" s="22">
        <f t="shared" ca="1" si="46"/>
        <v>850620</v>
      </c>
      <c r="AB68" s="22">
        <f t="shared" ca="1" si="35"/>
        <v>353329100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11333190</v>
      </c>
      <c r="AJ68" s="22">
        <f t="shared" ca="1" si="75"/>
        <v>0</v>
      </c>
      <c r="AK68" s="22">
        <f t="shared" ca="1" si="76"/>
        <v>0</v>
      </c>
      <c r="AL68" s="69">
        <f t="shared" ca="1" si="69"/>
        <v>9</v>
      </c>
      <c r="AM68" s="69">
        <f t="shared" ca="1" si="52"/>
        <v>9</v>
      </c>
      <c r="AN68" s="4">
        <f t="shared" ca="1" si="70"/>
        <v>2027</v>
      </c>
      <c r="AO68" s="4">
        <f t="shared" ca="1" si="53"/>
        <v>2027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1</v>
      </c>
      <c r="AZ68" s="19"/>
      <c r="BA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8"/>
        <v>46680</v>
      </c>
      <c r="C69" s="401"/>
      <c r="D69" s="443">
        <f ca="1">IF(N69=0,IF(N68=1,SUM(D$25:E68)," "),IF(N69=0," ",IF(N70=1,D$25,IF(N70=0,D$10-D$25*(M$14-1)," "))))</f>
        <v>666670</v>
      </c>
      <c r="E69" s="443"/>
      <c r="F69" s="84">
        <f ca="1">IF(N69=0,IF(N68=1,SUM(F$25:F68)," "),IF(M$1=1,P69,IF(M$1=2,Q69," ")))</f>
        <v>722210</v>
      </c>
      <c r="G69" s="84">
        <v>0</v>
      </c>
      <c r="H69" s="84">
        <f t="shared" ca="1" si="59"/>
        <v>1388880</v>
      </c>
      <c r="I69" s="84">
        <f t="shared" ca="1" si="60"/>
        <v>740740</v>
      </c>
      <c r="J69" s="84">
        <f t="shared" ca="1" si="41"/>
        <v>802470</v>
      </c>
      <c r="K69" s="84">
        <v>0</v>
      </c>
      <c r="L69" s="84">
        <f t="shared" ca="1" si="61"/>
        <v>1543210</v>
      </c>
      <c r="M69" s="4">
        <v>45</v>
      </c>
      <c r="N69" s="4">
        <f t="shared" ca="1" si="34"/>
        <v>1</v>
      </c>
      <c r="O69" s="4">
        <f t="shared" ca="1" si="42"/>
        <v>20</v>
      </c>
      <c r="P69" s="22">
        <f t="shared" ca="1" si="43"/>
        <v>722210</v>
      </c>
      <c r="Q69" s="22">
        <f t="shared" ca="1" si="44"/>
        <v>722210</v>
      </c>
      <c r="R69" s="22">
        <f t="shared" ca="1" si="62"/>
        <v>10666520</v>
      </c>
      <c r="S69" s="22">
        <f t="shared" ca="1" si="63"/>
        <v>666670</v>
      </c>
      <c r="T69" s="22">
        <f t="shared" ca="1" si="64"/>
        <v>666670</v>
      </c>
      <c r="U69" s="22">
        <f t="shared" ca="1" si="72"/>
        <v>722212.83333333337</v>
      </c>
      <c r="V69" s="22">
        <f t="shared" ca="1" si="73"/>
        <v>722212.83333333337</v>
      </c>
      <c r="W69" s="22">
        <f t="shared" ca="1" si="65"/>
        <v>2600000</v>
      </c>
      <c r="X69" s="22">
        <f t="shared" ca="1" si="66"/>
        <v>2600000</v>
      </c>
      <c r="Y69" s="22">
        <f t="shared" ca="1" si="45"/>
        <v>11851880</v>
      </c>
      <c r="Z69" s="22">
        <f t="shared" ca="1" si="74"/>
        <v>802470.93333333335</v>
      </c>
      <c r="AA69" s="22">
        <f t="shared" ca="1" si="46"/>
        <v>802470</v>
      </c>
      <c r="AB69" s="22">
        <f t="shared" ca="1" si="35"/>
        <v>333329000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10666520</v>
      </c>
      <c r="AJ69" s="22">
        <f t="shared" ca="1" si="75"/>
        <v>0</v>
      </c>
      <c r="AK69" s="22">
        <f t="shared" ca="1" si="76"/>
        <v>0</v>
      </c>
      <c r="AL69" s="69">
        <f t="shared" ca="1" si="69"/>
        <v>10</v>
      </c>
      <c r="AM69" s="69">
        <f t="shared" ca="1" si="52"/>
        <v>10</v>
      </c>
      <c r="AN69" s="4">
        <f t="shared" ca="1" si="70"/>
        <v>2027</v>
      </c>
      <c r="AO69" s="4">
        <f t="shared" ca="1" si="53"/>
        <v>2027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1</v>
      </c>
      <c r="AZ69" s="19"/>
      <c r="BA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8"/>
        <v>46711</v>
      </c>
      <c r="C70" s="401"/>
      <c r="D70" s="443">
        <f ca="1">IF(N70=0,IF(N69=1,SUM(D$25:E69)," "),IF(N70=0," ",IF(N71=1,D$25,IF(N71=0,D$10-D$25*(M$14-1)," "))))</f>
        <v>666670</v>
      </c>
      <c r="E70" s="443"/>
      <c r="F70" s="84">
        <f ca="1">IF(N70=0,IF(N69=1,SUM(F$25:F69)," "),IF(M$1=1,P70,IF(M$1=2,Q70," ")))</f>
        <v>678880</v>
      </c>
      <c r="G70" s="84">
        <v>0</v>
      </c>
      <c r="H70" s="84">
        <f t="shared" ca="1" si="59"/>
        <v>1345550</v>
      </c>
      <c r="I70" s="84">
        <f t="shared" ca="1" si="60"/>
        <v>740740</v>
      </c>
      <c r="J70" s="84">
        <f t="shared" ca="1" si="41"/>
        <v>754320</v>
      </c>
      <c r="K70" s="84">
        <v>0</v>
      </c>
      <c r="L70" s="84">
        <f t="shared" ca="1" si="61"/>
        <v>1495060</v>
      </c>
      <c r="M70" s="4">
        <v>46</v>
      </c>
      <c r="N70" s="4">
        <f t="shared" ca="1" si="34"/>
        <v>1</v>
      </c>
      <c r="O70" s="4">
        <f t="shared" ca="1" si="42"/>
        <v>20</v>
      </c>
      <c r="P70" s="22">
        <f t="shared" ca="1" si="43"/>
        <v>678880</v>
      </c>
      <c r="Q70" s="22">
        <f t="shared" ca="1" si="44"/>
        <v>678880</v>
      </c>
      <c r="R70" s="22">
        <f t="shared" ca="1" si="62"/>
        <v>9999850</v>
      </c>
      <c r="S70" s="22">
        <f t="shared" ca="1" si="63"/>
        <v>666670</v>
      </c>
      <c r="T70" s="22">
        <f t="shared" ca="1" si="64"/>
        <v>666670</v>
      </c>
      <c r="U70" s="22">
        <f t="shared" ca="1" si="72"/>
        <v>678879.28333333333</v>
      </c>
      <c r="V70" s="22">
        <f t="shared" ca="1" si="73"/>
        <v>678879.28333333333</v>
      </c>
      <c r="W70" s="22">
        <f t="shared" ca="1" si="65"/>
        <v>2600000</v>
      </c>
      <c r="X70" s="22">
        <f t="shared" ca="1" si="66"/>
        <v>2600000</v>
      </c>
      <c r="Y70" s="22">
        <f t="shared" ca="1" si="45"/>
        <v>11111140</v>
      </c>
      <c r="Z70" s="22">
        <f t="shared" ca="1" si="74"/>
        <v>754322.83333333337</v>
      </c>
      <c r="AA70" s="22">
        <f t="shared" ca="1" si="46"/>
        <v>754320</v>
      </c>
      <c r="AB70" s="22">
        <f t="shared" ca="1" si="35"/>
        <v>313328900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9999850</v>
      </c>
      <c r="AJ70" s="22">
        <f t="shared" ca="1" si="75"/>
        <v>0</v>
      </c>
      <c r="AK70" s="22">
        <f t="shared" ca="1" si="76"/>
        <v>0</v>
      </c>
      <c r="AL70" s="69">
        <f t="shared" ca="1" si="69"/>
        <v>11</v>
      </c>
      <c r="AM70" s="69">
        <f t="shared" ca="1" si="52"/>
        <v>11</v>
      </c>
      <c r="AN70" s="4">
        <f t="shared" ca="1" si="70"/>
        <v>2027</v>
      </c>
      <c r="AO70" s="4">
        <f t="shared" ca="1" si="53"/>
        <v>2027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19"/>
      <c r="AU70" s="19"/>
      <c r="AV70" s="19"/>
      <c r="AW70" s="19"/>
      <c r="AX70" s="19"/>
      <c r="AY70" s="4">
        <f t="shared" ca="1" si="57"/>
        <v>1</v>
      </c>
      <c r="AZ70" s="19"/>
      <c r="BA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8"/>
        <v>46741</v>
      </c>
      <c r="C71" s="401"/>
      <c r="D71" s="443">
        <f ca="1">IF(N71=0,IF(N70=1,SUM(D$25:E70)," "),IF(N71=0," ",IF(N72=1,D$25,IF(N72=0,D$10-D$25*(M$14-1)," "))))</f>
        <v>666670</v>
      </c>
      <c r="E71" s="443"/>
      <c r="F71" s="84">
        <f ca="1">IF(N71=0,IF(N70=1,SUM(F$25:F70)," "),IF(M$1=1,P71,IF(M$1=2,Q71," ")))</f>
        <v>635550</v>
      </c>
      <c r="G71" s="84">
        <v>0</v>
      </c>
      <c r="H71" s="84">
        <f t="shared" ca="1" si="59"/>
        <v>1302220</v>
      </c>
      <c r="I71" s="84">
        <f t="shared" ca="1" si="60"/>
        <v>740740</v>
      </c>
      <c r="J71" s="84">
        <f t="shared" ca="1" si="41"/>
        <v>706170</v>
      </c>
      <c r="K71" s="84">
        <v>0</v>
      </c>
      <c r="L71" s="84">
        <f t="shared" ca="1" si="61"/>
        <v>1446910</v>
      </c>
      <c r="M71" s="4">
        <v>47</v>
      </c>
      <c r="N71" s="4">
        <f t="shared" ca="1" si="34"/>
        <v>1</v>
      </c>
      <c r="O71" s="4">
        <f t="shared" ca="1" si="42"/>
        <v>20</v>
      </c>
      <c r="P71" s="22">
        <f t="shared" ca="1" si="43"/>
        <v>635550</v>
      </c>
      <c r="Q71" s="22">
        <f t="shared" ca="1" si="44"/>
        <v>635550</v>
      </c>
      <c r="R71" s="22">
        <f t="shared" ca="1" si="62"/>
        <v>9333180</v>
      </c>
      <c r="S71" s="22">
        <f t="shared" ca="1" si="63"/>
        <v>666670</v>
      </c>
      <c r="T71" s="22">
        <f t="shared" ca="1" si="64"/>
        <v>666670</v>
      </c>
      <c r="U71" s="22">
        <f t="shared" ca="1" si="72"/>
        <v>635545.73333333328</v>
      </c>
      <c r="V71" s="22">
        <f t="shared" ca="1" si="73"/>
        <v>635545.73333333328</v>
      </c>
      <c r="W71" s="22">
        <f t="shared" ca="1" si="65"/>
        <v>2600000</v>
      </c>
      <c r="X71" s="22">
        <f t="shared" ca="1" si="66"/>
        <v>2600000</v>
      </c>
      <c r="Y71" s="22">
        <f t="shared" ca="1" si="45"/>
        <v>10370400</v>
      </c>
      <c r="Z71" s="22">
        <f t="shared" ca="1" si="74"/>
        <v>706174.7333333334</v>
      </c>
      <c r="AA71" s="22">
        <f t="shared" ca="1" si="46"/>
        <v>706170</v>
      </c>
      <c r="AB71" s="22">
        <f t="shared" ca="1" si="35"/>
        <v>293328800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9333180</v>
      </c>
      <c r="AJ71" s="22">
        <f t="shared" ca="1" si="75"/>
        <v>0</v>
      </c>
      <c r="AK71" s="22">
        <f t="shared" ca="1" si="76"/>
        <v>0</v>
      </c>
      <c r="AL71" s="69">
        <f t="shared" ca="1" si="69"/>
        <v>12</v>
      </c>
      <c r="AM71" s="69">
        <f t="shared" ca="1" si="52"/>
        <v>12</v>
      </c>
      <c r="AN71" s="4">
        <f t="shared" ca="1" si="70"/>
        <v>2027</v>
      </c>
      <c r="AO71" s="4">
        <f t="shared" ca="1" si="53"/>
        <v>2027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1</v>
      </c>
      <c r="AZ71" s="19"/>
      <c r="BA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8"/>
        <v>46772</v>
      </c>
      <c r="C72" s="401"/>
      <c r="D72" s="443">
        <f ca="1">IF(N72=0,IF(N71=1,SUM(D$25:E71)," "),IF(N72=0," ",IF(N73=1,D$25,IF(N73=0,D$10-D$25*(M$14-1)," "))))</f>
        <v>666670</v>
      </c>
      <c r="E72" s="443"/>
      <c r="F72" s="84">
        <f ca="1">IF(N72=0,IF(N71=1,SUM(F$25:F71)," "),IF(M$1=1,P72,IF(M$1=2,Q72," ")))</f>
        <v>592210</v>
      </c>
      <c r="G72" s="84">
        <v>0</v>
      </c>
      <c r="H72" s="84">
        <f t="shared" ca="1" si="59"/>
        <v>1258880</v>
      </c>
      <c r="I72" s="84">
        <f t="shared" ca="1" si="60"/>
        <v>740740</v>
      </c>
      <c r="J72" s="84">
        <f t="shared" ca="1" si="41"/>
        <v>658030</v>
      </c>
      <c r="K72" s="84">
        <v>0</v>
      </c>
      <c r="L72" s="84">
        <f t="shared" ca="1" si="61"/>
        <v>1398770</v>
      </c>
      <c r="M72" s="4">
        <v>48</v>
      </c>
      <c r="N72" s="4">
        <f t="shared" ca="1" si="34"/>
        <v>1</v>
      </c>
      <c r="O72" s="4">
        <f t="shared" ca="1" si="42"/>
        <v>20</v>
      </c>
      <c r="P72" s="22">
        <f t="shared" ca="1" si="43"/>
        <v>592210</v>
      </c>
      <c r="Q72" s="22">
        <f t="shared" ca="1" si="44"/>
        <v>592210</v>
      </c>
      <c r="R72" s="22">
        <f t="shared" ca="1" si="62"/>
        <v>8666510</v>
      </c>
      <c r="S72" s="22">
        <f t="shared" ca="1" si="63"/>
        <v>666670</v>
      </c>
      <c r="T72" s="22">
        <f t="shared" ca="1" si="64"/>
        <v>666670</v>
      </c>
      <c r="U72" s="22">
        <f t="shared" ca="1" si="72"/>
        <v>592212.18333333335</v>
      </c>
      <c r="V72" s="22">
        <f t="shared" ca="1" si="73"/>
        <v>592212.18333333335</v>
      </c>
      <c r="W72" s="22">
        <f t="shared" ca="1" si="65"/>
        <v>2600000</v>
      </c>
      <c r="X72" s="22">
        <f t="shared" ca="1" si="66"/>
        <v>2600000</v>
      </c>
      <c r="Y72" s="22">
        <f t="shared" ca="1" si="45"/>
        <v>9629660</v>
      </c>
      <c r="Z72" s="22">
        <f t="shared" ca="1" si="74"/>
        <v>658026.6333333333</v>
      </c>
      <c r="AA72" s="22">
        <f t="shared" ca="1" si="46"/>
        <v>658030</v>
      </c>
      <c r="AB72" s="22">
        <f t="shared" ca="1" si="35"/>
        <v>273328700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8666510</v>
      </c>
      <c r="AJ72" s="22">
        <f t="shared" ca="1" si="75"/>
        <v>0</v>
      </c>
      <c r="AK72" s="22">
        <f t="shared" ca="1" si="76"/>
        <v>0</v>
      </c>
      <c r="AL72" s="69">
        <f t="shared" ca="1" si="69"/>
        <v>13</v>
      </c>
      <c r="AM72" s="69">
        <f t="shared" ca="1" si="52"/>
        <v>1</v>
      </c>
      <c r="AN72" s="4">
        <f t="shared" ca="1" si="70"/>
        <v>2027</v>
      </c>
      <c r="AO72" s="4">
        <f t="shared" ca="1" si="53"/>
        <v>2028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1</v>
      </c>
      <c r="AZ72" s="19"/>
      <c r="BA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ca="1" si="58"/>
        <v>46803</v>
      </c>
      <c r="C73" s="401"/>
      <c r="D73" s="443">
        <f ca="1">IF(N73=0,IF(N72=1,SUM(D$25:E72)," "),IF(N73=0," ",IF(N74=1,D$25,IF(N74=0,D$10-D$25*(M$14-1)," "))))</f>
        <v>666670</v>
      </c>
      <c r="E73" s="443"/>
      <c r="F73" s="84">
        <f ca="1">IF(N73=0,IF(N72=1,SUM(F$25:F72)," "),IF(M$1=1,P73,IF(M$1=2,Q73," ")))</f>
        <v>548880</v>
      </c>
      <c r="G73" s="84">
        <v>0</v>
      </c>
      <c r="H73" s="84">
        <f t="shared" ca="1" si="59"/>
        <v>1215550</v>
      </c>
      <c r="I73" s="84">
        <f t="shared" ca="1" si="60"/>
        <v>740740</v>
      </c>
      <c r="J73" s="84">
        <f t="shared" ca="1" si="41"/>
        <v>609880</v>
      </c>
      <c r="K73" s="84">
        <v>0</v>
      </c>
      <c r="L73" s="84">
        <f t="shared" ca="1" si="61"/>
        <v>1350620</v>
      </c>
      <c r="M73" s="4">
        <v>49</v>
      </c>
      <c r="N73" s="4">
        <f t="shared" ca="1" si="34"/>
        <v>1</v>
      </c>
      <c r="O73" s="4">
        <f t="shared" ca="1" si="42"/>
        <v>20</v>
      </c>
      <c r="P73" s="22">
        <f t="shared" ca="1" si="43"/>
        <v>548880</v>
      </c>
      <c r="Q73" s="22">
        <f t="shared" ca="1" si="44"/>
        <v>548880</v>
      </c>
      <c r="R73" s="22">
        <f t="shared" ca="1" si="62"/>
        <v>7999840</v>
      </c>
      <c r="S73" s="22">
        <f t="shared" ca="1" si="63"/>
        <v>666670</v>
      </c>
      <c r="T73" s="22">
        <f t="shared" ca="1" si="64"/>
        <v>666670</v>
      </c>
      <c r="U73" s="22">
        <f ca="1">IF(N74=1,R72*D$11*20/36000+R73*D$11*10/36000,IF(N74=0,IF(N73=0,0,IF(D52&gt;20,R72*D$11*20/36000+R73*D$11*(Q$12-20)/36000,R73*D$11*Q$12/36000))))</f>
        <v>548878.6333333333</v>
      </c>
      <c r="V73" s="22">
        <f ca="1">IF(N74=1,R72*D$11*20/36000+R73*D$11*10/36000,IF(N74=0,IF(N73=0,0,IF(D52&gt;20,R72*D$11*20/36000+R73*D$11*(Q$12-20)/36000,R73*D$11*Q$12/36000))))</f>
        <v>548878.6333333333</v>
      </c>
      <c r="W73" s="22">
        <f t="shared" ca="1" si="65"/>
        <v>2600000</v>
      </c>
      <c r="X73" s="22">
        <f t="shared" ca="1" si="66"/>
        <v>2600000</v>
      </c>
      <c r="Y73" s="22">
        <f t="shared" ca="1" si="45"/>
        <v>8888920</v>
      </c>
      <c r="Z73" s="22">
        <f ca="1">IF(N74=1,Y72*D$11*20/36000+Y73*D$11*10/36000,IF(N74=0,IF(N73=0,0,IF(D$16&gt;20,Y72*D$11*20/36000+Y73*D$11*(Q$12-20)/36000,Y73*D$11*Q$12/36000))))</f>
        <v>609878.53333333333</v>
      </c>
      <c r="AA73" s="22">
        <f t="shared" ca="1" si="46"/>
        <v>609880</v>
      </c>
      <c r="AB73" s="22">
        <f t="shared" ca="1" si="35"/>
        <v>253328600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7999840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2</v>
      </c>
      <c r="AM73" s="69">
        <f t="shared" ca="1" si="52"/>
        <v>2</v>
      </c>
      <c r="AN73" s="4">
        <f t="shared" ca="1" si="70"/>
        <v>2028</v>
      </c>
      <c r="AO73" s="4">
        <f t="shared" ca="1" si="53"/>
        <v>2028</v>
      </c>
      <c r="AP73" s="4">
        <f t="shared" ca="1" si="54"/>
        <v>1</v>
      </c>
      <c r="AQ73" s="4">
        <f t="shared" ca="1" si="55"/>
        <v>29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1</v>
      </c>
      <c r="AZ73" s="19"/>
      <c r="BA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ca="1" si="58"/>
        <v>46832</v>
      </c>
      <c r="C74" s="401"/>
      <c r="D74" s="443">
        <f ca="1">IF(N74=0,IF(N73=1,SUM(D$25:E73)," "),IF(N74=0," ",IF(N75=1,D$25,IF(N75=0,D$10-D$25*(M$14-1)," "))))</f>
        <v>666670</v>
      </c>
      <c r="E74" s="443"/>
      <c r="F74" s="84">
        <f ca="1">IF(N74=0,IF(N73=1,SUM(F$25:F73)," "),IF(M$1=1,P74,IF(M$1=2,Q74," ")))</f>
        <v>505540</v>
      </c>
      <c r="G74" s="84">
        <v>0</v>
      </c>
      <c r="H74" s="84">
        <f t="shared" ca="1" si="59"/>
        <v>1172210</v>
      </c>
      <c r="I74" s="84">
        <f t="shared" ca="1" si="60"/>
        <v>740740</v>
      </c>
      <c r="J74" s="84">
        <f t="shared" ca="1" si="41"/>
        <v>561730</v>
      </c>
      <c r="K74" s="84">
        <v>0</v>
      </c>
      <c r="L74" s="84">
        <f t="shared" ca="1" si="61"/>
        <v>1302470</v>
      </c>
      <c r="M74" s="4">
        <v>50</v>
      </c>
      <c r="N74" s="4">
        <f t="shared" ca="1" si="34"/>
        <v>1</v>
      </c>
      <c r="O74" s="4">
        <f t="shared" ca="1" si="42"/>
        <v>20</v>
      </c>
      <c r="P74" s="22">
        <f t="shared" ca="1" si="43"/>
        <v>505540</v>
      </c>
      <c r="Q74" s="22">
        <f t="shared" ca="1" si="44"/>
        <v>505540</v>
      </c>
      <c r="R74" s="22">
        <f t="shared" ca="1" si="62"/>
        <v>7333170</v>
      </c>
      <c r="S74" s="22">
        <f t="shared" ca="1" si="63"/>
        <v>666670</v>
      </c>
      <c r="T74" s="22">
        <f t="shared" ca="1" si="64"/>
        <v>666670</v>
      </c>
      <c r="U74" s="22">
        <f t="shared" ref="U74:U84" ca="1" si="77">IF(N75=1,R73*D$11*20/36000+R74*D$11*10/36000,IF(N75=0,IF(N74=0,0,R74*D$11*Q$12/36000+R73*D$11*20/36000+R74*D$11*10/36000)))</f>
        <v>505545.08333333337</v>
      </c>
      <c r="V74" s="22">
        <f t="shared" ref="V74:V84" ca="1" si="78">IF(N75=1,R73*D$11*20/36000+R74*D$11*10/36000,IF(N75=0,IF(N74=0,0,R74*D$11*Q$12/36000+R73*D$11*20/36000+R74*D$11*10/36000)))</f>
        <v>505545.08333333337</v>
      </c>
      <c r="W74" s="22">
        <f t="shared" ca="1" si="65"/>
        <v>2600000</v>
      </c>
      <c r="X74" s="22">
        <f t="shared" ca="1" si="66"/>
        <v>2600000</v>
      </c>
      <c r="Y74" s="22">
        <f t="shared" ca="1" si="45"/>
        <v>8148180</v>
      </c>
      <c r="Z74" s="22">
        <f t="shared" ref="Z74:Z84" ca="1" si="79">IF(N75=1,Y73*D$11*20/36000+Y74*D$11*10/36000,IF(N75=0,IF(N74=0,0,Y74*D$11*Q$12/36000+Y73*D$11*20/36000+Y74*D$11*10/36000)))</f>
        <v>561730.43333333335</v>
      </c>
      <c r="AA74" s="22">
        <f t="shared" ca="1" si="46"/>
        <v>561730</v>
      </c>
      <c r="AB74" s="22">
        <f t="shared" ca="1" si="35"/>
        <v>233328500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7333170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3</v>
      </c>
      <c r="AM74" s="69">
        <f t="shared" ca="1" si="52"/>
        <v>3</v>
      </c>
      <c r="AN74" s="4">
        <f t="shared" ca="1" si="70"/>
        <v>2028</v>
      </c>
      <c r="AO74" s="4">
        <f t="shared" ca="1" si="53"/>
        <v>2028</v>
      </c>
      <c r="AP74" s="4">
        <f t="shared" ca="1" si="54"/>
        <v>1</v>
      </c>
      <c r="AQ74" s="4">
        <f t="shared" ca="1" si="55"/>
        <v>30</v>
      </c>
      <c r="AR74" s="4">
        <f t="shared" si="56"/>
        <v>20</v>
      </c>
      <c r="AS74" s="4">
        <f t="shared" ca="1" si="71"/>
        <v>29</v>
      </c>
      <c r="AT74" s="19"/>
      <c r="AU74" s="19"/>
      <c r="AV74" s="19"/>
      <c r="AW74" s="19"/>
      <c r="AX74" s="19"/>
      <c r="AY74" s="4">
        <f t="shared" ca="1" si="57"/>
        <v>1</v>
      </c>
      <c r="AZ74" s="19"/>
      <c r="BA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ca="1" si="58"/>
        <v>46863</v>
      </c>
      <c r="C75" s="401"/>
      <c r="D75" s="443">
        <f ca="1">IF(N75=0,IF(N74=1,SUM(D$25:E74)," "),IF(N75=0," ",IF(N76=1,D$25,IF(N76=0,D$10-D$25*(M$14-1)," "))))</f>
        <v>666670</v>
      </c>
      <c r="E75" s="443"/>
      <c r="F75" s="84">
        <f ca="1">IF(N75=0,IF(N74=1,SUM(F$25:F74)," "),IF(M$1=1,P75,IF(M$1=2,Q75," ")))</f>
        <v>462210</v>
      </c>
      <c r="G75" s="84">
        <v>0</v>
      </c>
      <c r="H75" s="84">
        <f t="shared" ca="1" si="59"/>
        <v>1128880</v>
      </c>
      <c r="I75" s="84">
        <f t="shared" ca="1" si="60"/>
        <v>740740</v>
      </c>
      <c r="J75" s="84">
        <f t="shared" ca="1" si="41"/>
        <v>513580</v>
      </c>
      <c r="K75" s="84">
        <v>0</v>
      </c>
      <c r="L75" s="84">
        <f t="shared" ca="1" si="61"/>
        <v>1254320</v>
      </c>
      <c r="M75" s="4">
        <v>51</v>
      </c>
      <c r="N75" s="4">
        <f t="shared" ca="1" si="34"/>
        <v>1</v>
      </c>
      <c r="O75" s="4">
        <f t="shared" ca="1" si="42"/>
        <v>20</v>
      </c>
      <c r="P75" s="22">
        <f t="shared" ca="1" si="43"/>
        <v>462210</v>
      </c>
      <c r="Q75" s="22">
        <f t="shared" ca="1" si="44"/>
        <v>462210</v>
      </c>
      <c r="R75" s="22">
        <f t="shared" ca="1" si="62"/>
        <v>6666500</v>
      </c>
      <c r="S75" s="22">
        <f t="shared" ca="1" si="63"/>
        <v>666670</v>
      </c>
      <c r="T75" s="22">
        <f t="shared" ca="1" si="64"/>
        <v>666670</v>
      </c>
      <c r="U75" s="22">
        <f t="shared" ca="1" si="77"/>
        <v>462211.53333333333</v>
      </c>
      <c r="V75" s="22">
        <f t="shared" ca="1" si="78"/>
        <v>462211.53333333333</v>
      </c>
      <c r="W75" s="22">
        <f t="shared" ca="1" si="65"/>
        <v>2600000</v>
      </c>
      <c r="X75" s="22">
        <f t="shared" ca="1" si="66"/>
        <v>2600000</v>
      </c>
      <c r="Y75" s="22">
        <f t="shared" ca="1" si="45"/>
        <v>7407440</v>
      </c>
      <c r="Z75" s="22">
        <f t="shared" ca="1" si="79"/>
        <v>513582.33333333331</v>
      </c>
      <c r="AA75" s="22">
        <f t="shared" ca="1" si="46"/>
        <v>513580</v>
      </c>
      <c r="AB75" s="22">
        <f t="shared" ca="1" si="35"/>
        <v>213328400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6666500</v>
      </c>
      <c r="AJ75" s="22">
        <f t="shared" ca="1" si="80"/>
        <v>0</v>
      </c>
      <c r="AK75" s="22">
        <f t="shared" ca="1" si="81"/>
        <v>0</v>
      </c>
      <c r="AL75" s="69">
        <f t="shared" ca="1" si="69"/>
        <v>4</v>
      </c>
      <c r="AM75" s="69">
        <f t="shared" ca="1" si="52"/>
        <v>4</v>
      </c>
      <c r="AN75" s="4">
        <f t="shared" ca="1" si="70"/>
        <v>2028</v>
      </c>
      <c r="AO75" s="4">
        <f t="shared" ca="1" si="53"/>
        <v>2028</v>
      </c>
      <c r="AP75" s="4">
        <f t="shared" ca="1" si="54"/>
        <v>1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1</v>
      </c>
      <c r="AZ75" s="19"/>
      <c r="BA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ca="1" si="58"/>
        <v>46893</v>
      </c>
      <c r="C76" s="401"/>
      <c r="D76" s="443">
        <f ca="1">IF(N76=0,IF(N75=1,SUM(D$25:E75)," "),IF(N76=0," ",IF(N77=1,D$25,IF(N77=0,D$10-D$25*(M$14-1)," "))))</f>
        <v>666670</v>
      </c>
      <c r="E76" s="443"/>
      <c r="F76" s="84">
        <f ca="1">IF(N76=0,IF(N75=1,SUM(F$25:F75)," "),IF(M$1=1,P76,IF(M$1=2,Q76," ")))</f>
        <v>418880</v>
      </c>
      <c r="G76" s="84">
        <v>0</v>
      </c>
      <c r="H76" s="84">
        <f t="shared" ca="1" si="59"/>
        <v>1085550</v>
      </c>
      <c r="I76" s="84">
        <f t="shared" ca="1" si="60"/>
        <v>740740</v>
      </c>
      <c r="J76" s="84">
        <f t="shared" ca="1" si="41"/>
        <v>465430</v>
      </c>
      <c r="K76" s="84">
        <v>0</v>
      </c>
      <c r="L76" s="84">
        <f t="shared" ca="1" si="61"/>
        <v>1206170</v>
      </c>
      <c r="M76" s="4">
        <v>52</v>
      </c>
      <c r="N76" s="4">
        <f t="shared" ca="1" si="34"/>
        <v>1</v>
      </c>
      <c r="O76" s="4">
        <f t="shared" ca="1" si="42"/>
        <v>20</v>
      </c>
      <c r="P76" s="22">
        <f t="shared" ca="1" si="43"/>
        <v>418880</v>
      </c>
      <c r="Q76" s="22">
        <f t="shared" ca="1" si="44"/>
        <v>418880</v>
      </c>
      <c r="R76" s="22">
        <f t="shared" ca="1" si="62"/>
        <v>5999830</v>
      </c>
      <c r="S76" s="22">
        <f t="shared" ca="1" si="63"/>
        <v>666670</v>
      </c>
      <c r="T76" s="22">
        <f t="shared" ca="1" si="64"/>
        <v>666670</v>
      </c>
      <c r="U76" s="22">
        <f t="shared" ca="1" si="77"/>
        <v>418877.98333333334</v>
      </c>
      <c r="V76" s="22">
        <f t="shared" ca="1" si="78"/>
        <v>418877.98333333334</v>
      </c>
      <c r="W76" s="22">
        <f t="shared" ca="1" si="65"/>
        <v>2600000</v>
      </c>
      <c r="X76" s="22">
        <f t="shared" ca="1" si="66"/>
        <v>2600000</v>
      </c>
      <c r="Y76" s="22">
        <f t="shared" ca="1" si="45"/>
        <v>6666700</v>
      </c>
      <c r="Z76" s="22">
        <f t="shared" ca="1" si="79"/>
        <v>465434.23333333328</v>
      </c>
      <c r="AA76" s="22">
        <f t="shared" ca="1" si="46"/>
        <v>465430</v>
      </c>
      <c r="AB76" s="22">
        <f t="shared" ca="1" si="35"/>
        <v>193328300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5999830</v>
      </c>
      <c r="AJ76" s="22">
        <f t="shared" ca="1" si="80"/>
        <v>0</v>
      </c>
      <c r="AK76" s="22">
        <f t="shared" ca="1" si="81"/>
        <v>0</v>
      </c>
      <c r="AL76" s="69">
        <f t="shared" ca="1" si="69"/>
        <v>5</v>
      </c>
      <c r="AM76" s="69">
        <f t="shared" ca="1" si="52"/>
        <v>5</v>
      </c>
      <c r="AN76" s="4">
        <f t="shared" ca="1" si="70"/>
        <v>2028</v>
      </c>
      <c r="AO76" s="4">
        <f t="shared" ca="1" si="53"/>
        <v>2028</v>
      </c>
      <c r="AP76" s="4">
        <f t="shared" ca="1" si="54"/>
        <v>1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1</v>
      </c>
      <c r="AZ76" s="19"/>
      <c r="BA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ca="1" si="58"/>
        <v>46924</v>
      </c>
      <c r="C77" s="401"/>
      <c r="D77" s="443">
        <f ca="1">IF(N77=0,IF(N76=1,SUM(D$25:E76)," "),IF(N77=0," ",IF(N78=1,D$25,IF(N78=0,D$10-D$25*(M$14-1)," "))))</f>
        <v>666670</v>
      </c>
      <c r="E77" s="443"/>
      <c r="F77" s="84">
        <f ca="1">IF(N77=0,IF(N76=1,SUM(F$25:F76)," "),IF(M$1=1,P77,IF(M$1=2,Q77," ")))</f>
        <v>375540</v>
      </c>
      <c r="G77" s="84">
        <v>0</v>
      </c>
      <c r="H77" s="84">
        <f t="shared" ca="1" si="59"/>
        <v>1042210</v>
      </c>
      <c r="I77" s="84">
        <f t="shared" ca="1" si="60"/>
        <v>740740</v>
      </c>
      <c r="J77" s="84">
        <f t="shared" ca="1" si="41"/>
        <v>417290</v>
      </c>
      <c r="K77" s="84">
        <v>0</v>
      </c>
      <c r="L77" s="84">
        <f t="shared" ca="1" si="61"/>
        <v>1158030</v>
      </c>
      <c r="M77" s="4">
        <v>53</v>
      </c>
      <c r="N77" s="4">
        <f t="shared" ca="1" si="34"/>
        <v>1</v>
      </c>
      <c r="O77" s="4">
        <f t="shared" ca="1" si="42"/>
        <v>20</v>
      </c>
      <c r="P77" s="22">
        <f t="shared" ca="1" si="43"/>
        <v>375540</v>
      </c>
      <c r="Q77" s="22">
        <f t="shared" ca="1" si="44"/>
        <v>375540</v>
      </c>
      <c r="R77" s="22">
        <f t="shared" ca="1" si="62"/>
        <v>5333160</v>
      </c>
      <c r="S77" s="22">
        <f t="shared" ca="1" si="63"/>
        <v>666670</v>
      </c>
      <c r="T77" s="22">
        <f t="shared" ca="1" si="64"/>
        <v>666670</v>
      </c>
      <c r="U77" s="22">
        <f t="shared" ca="1" si="77"/>
        <v>375544.43333333335</v>
      </c>
      <c r="V77" s="22">
        <f t="shared" ca="1" si="78"/>
        <v>375544.43333333335</v>
      </c>
      <c r="W77" s="22">
        <f t="shared" ca="1" si="65"/>
        <v>2600000</v>
      </c>
      <c r="X77" s="22">
        <f t="shared" ca="1" si="66"/>
        <v>2600000</v>
      </c>
      <c r="Y77" s="22">
        <f t="shared" ca="1" si="45"/>
        <v>5925960</v>
      </c>
      <c r="Z77" s="22">
        <f t="shared" ca="1" si="79"/>
        <v>417286.1333333333</v>
      </c>
      <c r="AA77" s="22">
        <f t="shared" ca="1" si="46"/>
        <v>417290</v>
      </c>
      <c r="AB77" s="22">
        <f t="shared" ca="1" si="35"/>
        <v>173328200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5333160</v>
      </c>
      <c r="AJ77" s="22">
        <f t="shared" ca="1" si="80"/>
        <v>0</v>
      </c>
      <c r="AK77" s="22">
        <f t="shared" ca="1" si="81"/>
        <v>0</v>
      </c>
      <c r="AL77" s="69">
        <f t="shared" ca="1" si="69"/>
        <v>6</v>
      </c>
      <c r="AM77" s="69">
        <f t="shared" ca="1" si="52"/>
        <v>6</v>
      </c>
      <c r="AN77" s="4">
        <f t="shared" ca="1" si="70"/>
        <v>2028</v>
      </c>
      <c r="AO77" s="4">
        <f t="shared" ca="1" si="53"/>
        <v>2028</v>
      </c>
      <c r="AP77" s="4">
        <f t="shared" ca="1" si="54"/>
        <v>1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1</v>
      </c>
      <c r="AZ77" s="19"/>
      <c r="BA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ca="1" si="58"/>
        <v>46954</v>
      </c>
      <c r="C78" s="401"/>
      <c r="D78" s="443">
        <f ca="1">IF(N78=0,IF(N77=1,SUM(D$25:E77)," "),IF(N78=0," ",IF(N79=1,D$25,IF(N79=0,D$10-D$25*(M$14-1)," "))))</f>
        <v>666670</v>
      </c>
      <c r="E78" s="443"/>
      <c r="F78" s="84">
        <f ca="1">IF(N78=0,IF(N77=1,SUM(F$25:F77)," "),IF(M$1=1,P78,IF(M$1=2,Q78," ")))</f>
        <v>332210</v>
      </c>
      <c r="G78" s="84">
        <v>0</v>
      </c>
      <c r="H78" s="84">
        <f t="shared" ca="1" si="59"/>
        <v>998880</v>
      </c>
      <c r="I78" s="84">
        <f t="shared" ca="1" si="60"/>
        <v>740740</v>
      </c>
      <c r="J78" s="84">
        <f t="shared" ca="1" si="41"/>
        <v>369140</v>
      </c>
      <c r="K78" s="84">
        <v>0</v>
      </c>
      <c r="L78" s="84">
        <f t="shared" ca="1" si="61"/>
        <v>1109880</v>
      </c>
      <c r="M78" s="4">
        <v>54</v>
      </c>
      <c r="N78" s="4">
        <f t="shared" ca="1" si="34"/>
        <v>1</v>
      </c>
      <c r="O78" s="4">
        <f t="shared" ca="1" si="42"/>
        <v>20</v>
      </c>
      <c r="P78" s="22">
        <f t="shared" ca="1" si="43"/>
        <v>332210</v>
      </c>
      <c r="Q78" s="22">
        <f t="shared" ca="1" si="44"/>
        <v>332210</v>
      </c>
      <c r="R78" s="22">
        <f t="shared" ca="1" si="62"/>
        <v>4666490</v>
      </c>
      <c r="S78" s="22">
        <f t="shared" ca="1" si="63"/>
        <v>666670</v>
      </c>
      <c r="T78" s="22">
        <f t="shared" ca="1" si="64"/>
        <v>666670</v>
      </c>
      <c r="U78" s="22">
        <f t="shared" ca="1" si="77"/>
        <v>332210.88333333336</v>
      </c>
      <c r="V78" s="22">
        <f t="shared" ca="1" si="78"/>
        <v>332210.88333333336</v>
      </c>
      <c r="W78" s="22">
        <f t="shared" ca="1" si="65"/>
        <v>2600000</v>
      </c>
      <c r="X78" s="22">
        <f t="shared" ca="1" si="66"/>
        <v>2600000</v>
      </c>
      <c r="Y78" s="22">
        <f t="shared" ca="1" si="45"/>
        <v>5185220</v>
      </c>
      <c r="Z78" s="22">
        <f t="shared" ca="1" si="79"/>
        <v>369138.03333333333</v>
      </c>
      <c r="AA78" s="22">
        <f t="shared" ca="1" si="46"/>
        <v>369140</v>
      </c>
      <c r="AB78" s="22">
        <f t="shared" ca="1" si="35"/>
        <v>153328100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4666490</v>
      </c>
      <c r="AJ78" s="22">
        <f t="shared" ca="1" si="80"/>
        <v>0</v>
      </c>
      <c r="AK78" s="22">
        <f t="shared" ca="1" si="81"/>
        <v>0</v>
      </c>
      <c r="AL78" s="69">
        <f t="shared" ca="1" si="69"/>
        <v>7</v>
      </c>
      <c r="AM78" s="69">
        <f t="shared" ca="1" si="52"/>
        <v>7</v>
      </c>
      <c r="AN78" s="4">
        <f t="shared" ca="1" si="70"/>
        <v>2028</v>
      </c>
      <c r="AO78" s="4">
        <f t="shared" ca="1" si="53"/>
        <v>2028</v>
      </c>
      <c r="AP78" s="4">
        <f t="shared" ca="1" si="54"/>
        <v>1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1</v>
      </c>
      <c r="AZ78" s="19"/>
      <c r="BA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ca="1" si="58"/>
        <v>46985</v>
      </c>
      <c r="C79" s="401"/>
      <c r="D79" s="443">
        <f ca="1">IF(N79=0,IF(N78=1,SUM(D$25:E78)," "),IF(N79=0," ",IF(N80=1,D$25,IF(N80=0,D$10-D$25*(M$14-1)," "))))</f>
        <v>666670</v>
      </c>
      <c r="E79" s="443"/>
      <c r="F79" s="84">
        <f ca="1">IF(N79=0,IF(N78=1,SUM(F$25:F78)," "),IF(M$1=1,P79,IF(M$1=2,Q79," ")))</f>
        <v>288880</v>
      </c>
      <c r="G79" s="84">
        <v>0</v>
      </c>
      <c r="H79" s="84">
        <f t="shared" ca="1" si="59"/>
        <v>955550</v>
      </c>
      <c r="I79" s="84">
        <f t="shared" ca="1" si="60"/>
        <v>740740</v>
      </c>
      <c r="J79" s="84">
        <f t="shared" ca="1" si="41"/>
        <v>320990</v>
      </c>
      <c r="K79" s="84">
        <v>0</v>
      </c>
      <c r="L79" s="84">
        <f t="shared" ca="1" si="61"/>
        <v>1061730</v>
      </c>
      <c r="M79" s="4">
        <v>55</v>
      </c>
      <c r="N79" s="4">
        <f t="shared" ca="1" si="34"/>
        <v>1</v>
      </c>
      <c r="O79" s="4">
        <f t="shared" ca="1" si="42"/>
        <v>20</v>
      </c>
      <c r="P79" s="22">
        <f t="shared" ca="1" si="43"/>
        <v>288880</v>
      </c>
      <c r="Q79" s="22">
        <f t="shared" ca="1" si="44"/>
        <v>288880</v>
      </c>
      <c r="R79" s="22">
        <f t="shared" ca="1" si="62"/>
        <v>3999820</v>
      </c>
      <c r="S79" s="22">
        <f t="shared" ca="1" si="63"/>
        <v>666670</v>
      </c>
      <c r="T79" s="22">
        <f t="shared" ca="1" si="64"/>
        <v>666670</v>
      </c>
      <c r="U79" s="22">
        <f t="shared" ca="1" si="77"/>
        <v>288877.33333333337</v>
      </c>
      <c r="V79" s="22">
        <f t="shared" ca="1" si="78"/>
        <v>288877.33333333337</v>
      </c>
      <c r="W79" s="22">
        <f t="shared" ca="1" si="65"/>
        <v>2600000</v>
      </c>
      <c r="X79" s="22">
        <f t="shared" ca="1" si="66"/>
        <v>2600000</v>
      </c>
      <c r="Y79" s="22">
        <f t="shared" ca="1" si="45"/>
        <v>4444480</v>
      </c>
      <c r="Z79" s="22">
        <f t="shared" ca="1" si="79"/>
        <v>320989.93333333335</v>
      </c>
      <c r="AA79" s="22">
        <f t="shared" ca="1" si="46"/>
        <v>320990</v>
      </c>
      <c r="AB79" s="22">
        <f t="shared" ca="1" si="35"/>
        <v>133328000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3999820</v>
      </c>
      <c r="AJ79" s="22">
        <f t="shared" ca="1" si="80"/>
        <v>0</v>
      </c>
      <c r="AK79" s="22">
        <f t="shared" ca="1" si="81"/>
        <v>0</v>
      </c>
      <c r="AL79" s="69">
        <f t="shared" ca="1" si="69"/>
        <v>8</v>
      </c>
      <c r="AM79" s="69">
        <f t="shared" ca="1" si="52"/>
        <v>8</v>
      </c>
      <c r="AN79" s="4">
        <f t="shared" ca="1" si="70"/>
        <v>2028</v>
      </c>
      <c r="AO79" s="4">
        <f t="shared" ca="1" si="53"/>
        <v>2028</v>
      </c>
      <c r="AP79" s="4">
        <f t="shared" ca="1" si="54"/>
        <v>1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1</v>
      </c>
      <c r="AZ79" s="19"/>
      <c r="BA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ca="1" si="58"/>
        <v>47016</v>
      </c>
      <c r="C80" s="401"/>
      <c r="D80" s="443">
        <f ca="1">IF(N80=0,IF(N79=1,SUM(D$25:E79)," "),IF(N80=0," ",IF(N81=1,D$25,IF(N81=0,D$10-D$25*(M$14-1)," "))))</f>
        <v>666670</v>
      </c>
      <c r="E80" s="443"/>
      <c r="F80" s="84">
        <f ca="1">IF(N80=0,IF(N79=1,SUM(F$25:F79)," "),IF(M$1=1,P80,IF(M$1=2,Q80," ")))</f>
        <v>245540</v>
      </c>
      <c r="G80" s="84">
        <v>0</v>
      </c>
      <c r="H80" s="84">
        <f t="shared" ca="1" si="59"/>
        <v>912210</v>
      </c>
      <c r="I80" s="84">
        <f t="shared" ca="1" si="60"/>
        <v>740740</v>
      </c>
      <c r="J80" s="84">
        <f t="shared" ca="1" si="41"/>
        <v>272840</v>
      </c>
      <c r="K80" s="84">
        <v>0</v>
      </c>
      <c r="L80" s="84">
        <f t="shared" ca="1" si="61"/>
        <v>1013580</v>
      </c>
      <c r="M80" s="4">
        <v>56</v>
      </c>
      <c r="N80" s="4">
        <f t="shared" ca="1" si="34"/>
        <v>1</v>
      </c>
      <c r="O80" s="4">
        <f t="shared" ca="1" si="42"/>
        <v>20</v>
      </c>
      <c r="P80" s="22">
        <f t="shared" ca="1" si="43"/>
        <v>245540</v>
      </c>
      <c r="Q80" s="22">
        <f t="shared" ca="1" si="44"/>
        <v>245540</v>
      </c>
      <c r="R80" s="22">
        <f t="shared" ca="1" si="62"/>
        <v>3333150</v>
      </c>
      <c r="S80" s="22">
        <f t="shared" ca="1" si="63"/>
        <v>666670</v>
      </c>
      <c r="T80" s="22">
        <f t="shared" ca="1" si="64"/>
        <v>666670</v>
      </c>
      <c r="U80" s="22">
        <f t="shared" ca="1" si="77"/>
        <v>245543.78333333333</v>
      </c>
      <c r="V80" s="22">
        <f t="shared" ca="1" si="78"/>
        <v>245543.78333333333</v>
      </c>
      <c r="W80" s="22">
        <f t="shared" ca="1" si="65"/>
        <v>2600000</v>
      </c>
      <c r="X80" s="22">
        <f t="shared" ca="1" si="66"/>
        <v>2600000</v>
      </c>
      <c r="Y80" s="22">
        <f t="shared" ca="1" si="45"/>
        <v>3703740</v>
      </c>
      <c r="Z80" s="22">
        <f t="shared" ca="1" si="79"/>
        <v>272841.83333333331</v>
      </c>
      <c r="AA80" s="22">
        <f t="shared" ca="1" si="46"/>
        <v>272840</v>
      </c>
      <c r="AB80" s="22">
        <f t="shared" ca="1" si="35"/>
        <v>113327900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3333150</v>
      </c>
      <c r="AJ80" s="22">
        <f t="shared" ca="1" si="80"/>
        <v>0</v>
      </c>
      <c r="AK80" s="22">
        <f t="shared" ca="1" si="81"/>
        <v>0</v>
      </c>
      <c r="AL80" s="69">
        <f t="shared" ca="1" si="69"/>
        <v>9</v>
      </c>
      <c r="AM80" s="69">
        <f t="shared" ca="1" si="52"/>
        <v>9</v>
      </c>
      <c r="AN80" s="4">
        <f t="shared" ca="1" si="70"/>
        <v>2028</v>
      </c>
      <c r="AO80" s="4">
        <f t="shared" ca="1" si="53"/>
        <v>2028</v>
      </c>
      <c r="AP80" s="4">
        <f t="shared" ca="1" si="54"/>
        <v>1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1</v>
      </c>
      <c r="AZ80" s="19"/>
      <c r="BA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ca="1" si="58"/>
        <v>47046</v>
      </c>
      <c r="C81" s="401"/>
      <c r="D81" s="443">
        <f ca="1">IF(N81=0,IF(N80=1,SUM(D$25:E80)," "),IF(N81=0," ",IF(N82=1,D$25,IF(N82=0,D$10-D$25*(M$14-1)," "))))</f>
        <v>666670</v>
      </c>
      <c r="E81" s="443"/>
      <c r="F81" s="84">
        <f ca="1">IF(N81=0,IF(N80=1,SUM(F$25:F80)," "),IF(M$1=1,P81,IF(M$1=2,Q81," ")))</f>
        <v>202210</v>
      </c>
      <c r="G81" s="84">
        <v>0</v>
      </c>
      <c r="H81" s="84">
        <f t="shared" ca="1" si="59"/>
        <v>868880</v>
      </c>
      <c r="I81" s="84">
        <f t="shared" ca="1" si="60"/>
        <v>740740</v>
      </c>
      <c r="J81" s="84">
        <f t="shared" ca="1" si="41"/>
        <v>224690</v>
      </c>
      <c r="K81" s="84">
        <v>0</v>
      </c>
      <c r="L81" s="84">
        <f t="shared" ca="1" si="61"/>
        <v>965430</v>
      </c>
      <c r="M81" s="4">
        <v>57</v>
      </c>
      <c r="N81" s="4">
        <f t="shared" ca="1" si="34"/>
        <v>1</v>
      </c>
      <c r="O81" s="4">
        <f t="shared" ca="1" si="42"/>
        <v>20</v>
      </c>
      <c r="P81" s="22">
        <f t="shared" ca="1" si="43"/>
        <v>202210</v>
      </c>
      <c r="Q81" s="22">
        <f t="shared" ca="1" si="44"/>
        <v>202210</v>
      </c>
      <c r="R81" s="22">
        <f t="shared" ca="1" si="62"/>
        <v>2666480</v>
      </c>
      <c r="S81" s="22">
        <f t="shared" ca="1" si="63"/>
        <v>666670</v>
      </c>
      <c r="T81" s="22">
        <f t="shared" ca="1" si="64"/>
        <v>666670</v>
      </c>
      <c r="U81" s="22">
        <f t="shared" ca="1" si="77"/>
        <v>202210.23333333334</v>
      </c>
      <c r="V81" s="22">
        <f t="shared" ca="1" si="78"/>
        <v>202210.23333333334</v>
      </c>
      <c r="W81" s="22">
        <f t="shared" ca="1" si="65"/>
        <v>2600000</v>
      </c>
      <c r="X81" s="22">
        <f t="shared" ca="1" si="66"/>
        <v>2600000</v>
      </c>
      <c r="Y81" s="22">
        <f t="shared" ca="1" si="45"/>
        <v>2963000</v>
      </c>
      <c r="Z81" s="22">
        <f t="shared" ca="1" si="79"/>
        <v>224693.73333333334</v>
      </c>
      <c r="AA81" s="22">
        <f t="shared" ca="1" si="46"/>
        <v>224690</v>
      </c>
      <c r="AB81" s="22">
        <f t="shared" ca="1" si="35"/>
        <v>93327800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2666480</v>
      </c>
      <c r="AJ81" s="22">
        <f t="shared" ca="1" si="80"/>
        <v>0</v>
      </c>
      <c r="AK81" s="22">
        <f t="shared" ca="1" si="81"/>
        <v>0</v>
      </c>
      <c r="AL81" s="69">
        <f t="shared" ca="1" si="69"/>
        <v>10</v>
      </c>
      <c r="AM81" s="69">
        <f t="shared" ca="1" si="52"/>
        <v>10</v>
      </c>
      <c r="AN81" s="4">
        <f t="shared" ca="1" si="70"/>
        <v>2028</v>
      </c>
      <c r="AO81" s="4">
        <f t="shared" ca="1" si="53"/>
        <v>2028</v>
      </c>
      <c r="AP81" s="4">
        <f t="shared" ca="1" si="54"/>
        <v>1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1</v>
      </c>
      <c r="AZ81" s="19"/>
      <c r="BA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ca="1" si="58"/>
        <v>47077</v>
      </c>
      <c r="C82" s="401"/>
      <c r="D82" s="443">
        <f ca="1">IF(N82=0,IF(N81=1,SUM(D$25:E81)," "),IF(N82=0," ",IF(N83=1,D$25,IF(N83=0,D$10-D$25*(M$14-1)," "))))</f>
        <v>666670</v>
      </c>
      <c r="E82" s="443"/>
      <c r="F82" s="84">
        <f ca="1">IF(N82=0,IF(N81=1,SUM(F$25:F81)," "),IF(M$1=1,P82,IF(M$1=2,Q82," ")))</f>
        <v>158880</v>
      </c>
      <c r="G82" s="84">
        <v>0</v>
      </c>
      <c r="H82" s="84">
        <f t="shared" ca="1" si="59"/>
        <v>825550</v>
      </c>
      <c r="I82" s="84">
        <f t="shared" ca="1" si="60"/>
        <v>740740</v>
      </c>
      <c r="J82" s="84">
        <f t="shared" ca="1" si="41"/>
        <v>176550</v>
      </c>
      <c r="K82" s="84">
        <v>0</v>
      </c>
      <c r="L82" s="84">
        <f t="shared" ca="1" si="61"/>
        <v>917290</v>
      </c>
      <c r="M82" s="4">
        <v>58</v>
      </c>
      <c r="N82" s="4">
        <f t="shared" ca="1" si="34"/>
        <v>1</v>
      </c>
      <c r="O82" s="4">
        <f t="shared" ca="1" si="42"/>
        <v>20</v>
      </c>
      <c r="P82" s="22">
        <f t="shared" ca="1" si="43"/>
        <v>158880</v>
      </c>
      <c r="Q82" s="22">
        <f t="shared" ca="1" si="44"/>
        <v>158880</v>
      </c>
      <c r="R82" s="22">
        <f t="shared" ca="1" si="62"/>
        <v>1999810</v>
      </c>
      <c r="S82" s="22">
        <f t="shared" ca="1" si="63"/>
        <v>666670</v>
      </c>
      <c r="T82" s="22">
        <f t="shared" ca="1" si="64"/>
        <v>666670</v>
      </c>
      <c r="U82" s="22">
        <f t="shared" ca="1" si="77"/>
        <v>158876.68333333332</v>
      </c>
      <c r="V82" s="22">
        <f t="shared" ca="1" si="78"/>
        <v>158876.68333333332</v>
      </c>
      <c r="W82" s="22">
        <f t="shared" ca="1" si="65"/>
        <v>2600000</v>
      </c>
      <c r="X82" s="22">
        <f t="shared" ca="1" si="66"/>
        <v>2600000</v>
      </c>
      <c r="Y82" s="22">
        <f t="shared" ca="1" si="45"/>
        <v>2222260</v>
      </c>
      <c r="Z82" s="22">
        <f t="shared" ca="1" si="79"/>
        <v>176545.63333333333</v>
      </c>
      <c r="AA82" s="22">
        <f t="shared" ca="1" si="46"/>
        <v>176550</v>
      </c>
      <c r="AB82" s="22">
        <f t="shared" ca="1" si="35"/>
        <v>73327700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1999810</v>
      </c>
      <c r="AJ82" s="22">
        <f t="shared" ca="1" si="80"/>
        <v>0</v>
      </c>
      <c r="AK82" s="22">
        <f t="shared" ca="1" si="81"/>
        <v>0</v>
      </c>
      <c r="AL82" s="69">
        <f t="shared" ca="1" si="69"/>
        <v>11</v>
      </c>
      <c r="AM82" s="69">
        <f t="shared" ca="1" si="52"/>
        <v>11</v>
      </c>
      <c r="AN82" s="4">
        <f t="shared" ca="1" si="70"/>
        <v>2028</v>
      </c>
      <c r="AO82" s="4">
        <f t="shared" ca="1" si="53"/>
        <v>2028</v>
      </c>
      <c r="AP82" s="4">
        <f t="shared" ca="1" si="54"/>
        <v>1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19"/>
      <c r="AU82" s="19"/>
      <c r="AV82" s="19"/>
      <c r="AW82" s="19"/>
      <c r="AX82" s="19"/>
      <c r="AY82" s="4">
        <f t="shared" ca="1" si="57"/>
        <v>1</v>
      </c>
      <c r="AZ82" s="19"/>
      <c r="BA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ca="1" si="58"/>
        <v>47107</v>
      </c>
      <c r="C83" s="401"/>
      <c r="D83" s="443">
        <f ca="1">IF(N83=0,IF(N82=1,SUM(D$25:E82)," "),IF(N83=0," ",IF(N84=1,D$25,IF(N84=0,D$10-D$25*(M$14-1)," "))))</f>
        <v>666670</v>
      </c>
      <c r="E83" s="443"/>
      <c r="F83" s="84">
        <f ca="1">IF(N83=0,IF(N82=1,SUM(F$25:F82)," "),IF(M$1=1,P83,IF(M$1=2,Q83," ")))</f>
        <v>115540</v>
      </c>
      <c r="G83" s="84">
        <v>0</v>
      </c>
      <c r="H83" s="84">
        <f t="shared" ca="1" si="59"/>
        <v>782210</v>
      </c>
      <c r="I83" s="84">
        <f t="shared" ca="1" si="60"/>
        <v>740740</v>
      </c>
      <c r="J83" s="84">
        <f t="shared" ca="1" si="41"/>
        <v>128400</v>
      </c>
      <c r="K83" s="84">
        <v>0</v>
      </c>
      <c r="L83" s="84">
        <f t="shared" ca="1" si="61"/>
        <v>869140</v>
      </c>
      <c r="M83" s="4">
        <v>59</v>
      </c>
      <c r="N83" s="4">
        <f t="shared" ca="1" si="34"/>
        <v>1</v>
      </c>
      <c r="O83" s="4">
        <f t="shared" ca="1" si="42"/>
        <v>20</v>
      </c>
      <c r="P83" s="22">
        <f t="shared" ca="1" si="43"/>
        <v>115540</v>
      </c>
      <c r="Q83" s="22">
        <f t="shared" ca="1" si="44"/>
        <v>115540</v>
      </c>
      <c r="R83" s="22">
        <f t="shared" ca="1" si="62"/>
        <v>1333140</v>
      </c>
      <c r="S83" s="22">
        <f t="shared" ca="1" si="63"/>
        <v>666670</v>
      </c>
      <c r="T83" s="22">
        <f t="shared" ca="1" si="64"/>
        <v>666670</v>
      </c>
      <c r="U83" s="22">
        <f t="shared" ca="1" si="77"/>
        <v>115543.13333333333</v>
      </c>
      <c r="V83" s="22">
        <f t="shared" ca="1" si="78"/>
        <v>115543.13333333333</v>
      </c>
      <c r="W83" s="22">
        <f t="shared" ca="1" si="65"/>
        <v>2600000</v>
      </c>
      <c r="X83" s="22">
        <f t="shared" ca="1" si="66"/>
        <v>2600000</v>
      </c>
      <c r="Y83" s="22">
        <f t="shared" ca="1" si="45"/>
        <v>1481520</v>
      </c>
      <c r="Z83" s="22">
        <f t="shared" ca="1" si="79"/>
        <v>128397.53333333333</v>
      </c>
      <c r="AA83" s="22">
        <f t="shared" ca="1" si="46"/>
        <v>128400</v>
      </c>
      <c r="AB83" s="22">
        <f t="shared" ca="1" si="35"/>
        <v>53327600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1333140</v>
      </c>
      <c r="AJ83" s="22">
        <f t="shared" ca="1" si="80"/>
        <v>0</v>
      </c>
      <c r="AK83" s="22">
        <f t="shared" ca="1" si="81"/>
        <v>0</v>
      </c>
      <c r="AL83" s="69">
        <f t="shared" ca="1" si="69"/>
        <v>12</v>
      </c>
      <c r="AM83" s="69">
        <f t="shared" ca="1" si="52"/>
        <v>12</v>
      </c>
      <c r="AN83" s="4">
        <f t="shared" ca="1" si="70"/>
        <v>2028</v>
      </c>
      <c r="AO83" s="4">
        <f t="shared" ca="1" si="53"/>
        <v>2028</v>
      </c>
      <c r="AP83" s="4">
        <f t="shared" ca="1" si="54"/>
        <v>1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1</v>
      </c>
      <c r="AZ83" s="19"/>
      <c r="BA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ca="1" si="58"/>
        <v>47120</v>
      </c>
      <c r="C84" s="401"/>
      <c r="D84" s="443">
        <f ca="1">IF(N84=0,IF(N83=1,SUM(D$25:E83)," "),IF(N84=0," ",IF(N85=1,D$25,IF(N85=0,D$10-D$25*(M$14-1)," "))))</f>
        <v>666470</v>
      </c>
      <c r="E84" s="443"/>
      <c r="F84" s="84">
        <f ca="1">IF(N84=0,IF(N83=1,SUM(F$25:F83)," "),IF(M$1=1,P84,IF(M$1=2,Q84," ")))</f>
        <v>75100</v>
      </c>
      <c r="G84" s="84">
        <v>0</v>
      </c>
      <c r="H84" s="84">
        <f t="shared" ca="1" si="59"/>
        <v>741570</v>
      </c>
      <c r="I84" s="84">
        <f t="shared" ca="1" si="60"/>
        <v>740780</v>
      </c>
      <c r="J84" s="84">
        <f t="shared" ca="1" si="41"/>
        <v>83460</v>
      </c>
      <c r="K84" s="84">
        <v>0</v>
      </c>
      <c r="L84" s="84">
        <f t="shared" ca="1" si="61"/>
        <v>824240</v>
      </c>
      <c r="M84" s="4">
        <v>60</v>
      </c>
      <c r="N84" s="4">
        <f t="shared" ca="1" si="34"/>
        <v>1</v>
      </c>
      <c r="O84" s="4">
        <f t="shared" ca="1" si="42"/>
        <v>2</v>
      </c>
      <c r="P84" s="22">
        <f t="shared" ca="1" si="43"/>
        <v>75100</v>
      </c>
      <c r="Q84" s="22">
        <f t="shared" ca="1" si="44"/>
        <v>75100</v>
      </c>
      <c r="R84" s="22">
        <f t="shared" ca="1" si="62"/>
        <v>666470</v>
      </c>
      <c r="S84" s="22">
        <f t="shared" ca="1" si="63"/>
        <v>666470</v>
      </c>
      <c r="T84" s="22">
        <f t="shared" ca="1" si="64"/>
        <v>666470</v>
      </c>
      <c r="U84" s="22">
        <f t="shared" ca="1" si="77"/>
        <v>75097.62</v>
      </c>
      <c r="V84" s="22">
        <f t="shared" ca="1" si="78"/>
        <v>75097.62</v>
      </c>
      <c r="W84" s="22">
        <f t="shared" ca="1" si="65"/>
        <v>2773333.333333333</v>
      </c>
      <c r="X84" s="22">
        <f t="shared" ca="1" si="66"/>
        <v>2773330</v>
      </c>
      <c r="Y84" s="22">
        <f t="shared" ca="1" si="45"/>
        <v>740780</v>
      </c>
      <c r="Z84" s="22">
        <f t="shared" ca="1" si="79"/>
        <v>83459.48</v>
      </c>
      <c r="AA84" s="22">
        <f t="shared" ca="1" si="46"/>
        <v>83460</v>
      </c>
      <c r="AB84" s="22">
        <f t="shared" ca="1" si="35"/>
        <v>1332940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666470</v>
      </c>
      <c r="AJ84" s="22">
        <f t="shared" ca="1" si="80"/>
        <v>0</v>
      </c>
      <c r="AK84" s="22">
        <f t="shared" ca="1" si="81"/>
        <v>0</v>
      </c>
      <c r="AL84" s="69">
        <f t="shared" ca="1" si="69"/>
        <v>13</v>
      </c>
      <c r="AM84" s="69">
        <f t="shared" ca="1" si="52"/>
        <v>1</v>
      </c>
      <c r="AN84" s="4">
        <f t="shared" ca="1" si="70"/>
        <v>2028</v>
      </c>
      <c r="AO84" s="4">
        <f t="shared" ca="1" si="53"/>
        <v>2029</v>
      </c>
      <c r="AP84" s="4">
        <f t="shared" ca="1" si="54"/>
        <v>1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1</v>
      </c>
      <c r="AZ84" s="19"/>
      <c r="BA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>ИТОГО</v>
      </c>
      <c r="C85" s="401"/>
      <c r="D85" s="443">
        <f ca="1">IF(N85=0,IF(N84=1,SUM(D$25:E84)," "),IF(N85=0," ",IF(N86=1,D$25,IF(N86=0,D$10-D$25*(M$14-1)," "))))</f>
        <v>40000000</v>
      </c>
      <c r="E85" s="443"/>
      <c r="F85" s="84">
        <f ca="1">IF(N85=0,IF(N84=1,SUM(F$25:F84)," "),IF(M$1=1,P85,IF(M$1=2,Q85," ")))</f>
        <v>80746920</v>
      </c>
      <c r="G85" s="84">
        <v>0</v>
      </c>
      <c r="H85" s="84">
        <f t="shared" ca="1" si="59"/>
        <v>120746920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>
        <f t="shared" ca="1" si="63"/>
        <v>40000000</v>
      </c>
      <c r="T85" s="22">
        <f t="shared" ca="1" si="64"/>
        <v>40000000</v>
      </c>
      <c r="U85" s="22">
        <f ca="1">IF(N86=1,R84*D$11*20/36000+R85*D$11*10/36000,IF(N86=0,IF(N85=0,0,IF(D64&gt;20,R84*D$11*20/36000+R85*D$11*(Q$12-20)/36000,R85*D$11*Q$12/36000))))</f>
        <v>0</v>
      </c>
      <c r="V85" s="22">
        <f ca="1">IF(N86=1,R84*D$11*20/36000+R85*D$11*10/36000,IF(N86=0,IF(N85=0,0,IF(D64&gt;20,R84*D$11*20/36000+R85*D$11*(Q$12-20)/36000,R85*D$11*Q$12/36000))))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IF(N86=1,Y84*G$12*20/36000+Y85*G$12*10/36000,IF(N86=0,IF(N85=0,0,Y85*G$12*Q$12/36000)))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A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84">
        <f t="shared" si="60"/>
        <v>0</v>
      </c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80746920</v>
      </c>
      <c r="Q86" s="71">
        <f ca="1">SUM(Q25:Q85)</f>
        <v>80746920</v>
      </c>
      <c r="R86" s="71">
        <f ca="1">SUM(R25:R85)</f>
        <v>1219994100</v>
      </c>
      <c r="S86" s="71"/>
      <c r="T86" s="71"/>
      <c r="U86" s="71">
        <f ca="1">SUM(U25:U85)</f>
        <v>80746957.50333336</v>
      </c>
      <c r="V86" s="71">
        <f ca="1">SUM(V25:V85)</f>
        <v>80746957.50333336</v>
      </c>
      <c r="W86" s="71">
        <f ca="1">SUM(W25:W85)</f>
        <v>155913333.33333334</v>
      </c>
      <c r="X86" s="71">
        <f ca="1">SUM(X25:X85)</f>
        <v>155913330</v>
      </c>
      <c r="Y86" s="71"/>
      <c r="Z86" s="71"/>
      <c r="AA86" s="71"/>
      <c r="AB86" s="71">
        <f ca="1">SUM(AB25:AB85)</f>
        <v>37234499040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1219994100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B86" s="43"/>
      <c r="BC86" s="43"/>
      <c r="BD86" s="43"/>
    </row>
    <row r="87" spans="1:141" ht="88.5" hidden="1" customHeight="1">
      <c r="A87" s="28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7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24"/>
      <c r="BC92" s="24"/>
      <c r="BD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24"/>
      <c r="BC93" s="24"/>
      <c r="BD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24"/>
      <c r="BC94" s="24"/>
      <c r="BD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24"/>
      <c r="BC95" s="24"/>
      <c r="BD95" s="24"/>
    </row>
    <row r="96" spans="1:141" s="34" customFormat="1" ht="25.5" hidden="1" customHeight="1">
      <c r="A96" s="32">
        <f t="shared" ref="A96:A103" si="82">IF(LEFT(B96,1)="I",1,0)</f>
        <v>1</v>
      </c>
      <c r="B96" s="46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469"/>
      <c r="D96" s="469"/>
      <c r="E96" s="469"/>
      <c r="F96" s="469"/>
      <c r="G96" s="469"/>
      <c r="H96" s="469"/>
      <c r="I96" s="469"/>
      <c r="J96" s="469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B96" s="122"/>
      <c r="BC96" s="122"/>
      <c r="BD96" s="122"/>
    </row>
    <row r="97" spans="1:56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B97" s="122"/>
      <c r="BC97" s="122"/>
      <c r="BD97" s="122"/>
    </row>
    <row r="98" spans="1:56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B98" s="122"/>
      <c r="BC98" s="122"/>
      <c r="BD98" s="122"/>
    </row>
    <row r="99" spans="1:56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B99" s="122"/>
      <c r="BC99" s="122"/>
      <c r="BD99" s="122"/>
    </row>
    <row r="100" spans="1:56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B100" s="122"/>
      <c r="BC100" s="122"/>
      <c r="BD100" s="122"/>
    </row>
    <row r="101" spans="1:56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B101" s="122"/>
      <c r="BC101" s="122"/>
      <c r="BD101" s="122"/>
    </row>
    <row r="102" spans="1:56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B102" s="122"/>
      <c r="BC102" s="122"/>
      <c r="BD102" s="122"/>
    </row>
    <row r="103" spans="1:56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B103" s="122"/>
      <c r="BC103" s="122"/>
      <c r="BD103" s="122"/>
    </row>
    <row r="104" spans="1:56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B104" s="122"/>
      <c r="BC104" s="122"/>
      <c r="BD104" s="122"/>
    </row>
    <row r="105" spans="1:56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B105" s="122"/>
      <c r="BC105" s="122"/>
      <c r="BD105" s="122"/>
    </row>
    <row r="106" spans="1:56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B106" s="122"/>
      <c r="BC106" s="122"/>
      <c r="BD106" s="122"/>
    </row>
    <row r="107" spans="1:56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B107" s="122"/>
      <c r="BC107" s="122"/>
      <c r="BD107" s="122"/>
    </row>
    <row r="108" spans="1:56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B108" s="122"/>
      <c r="BC108" s="122"/>
      <c r="BD108" s="122"/>
    </row>
    <row r="109" spans="1:56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B109" s="122"/>
      <c r="BC109" s="122"/>
      <c r="BD109" s="122"/>
    </row>
    <row r="110" spans="1:56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B110" s="122"/>
      <c r="BC110" s="122"/>
      <c r="BD110" s="122"/>
    </row>
    <row r="111" spans="1:56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B111" s="122"/>
      <c r="BC111" s="122"/>
      <c r="BD111" s="122"/>
    </row>
    <row r="112" spans="1:56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B112" s="122"/>
      <c r="BC112" s="122"/>
      <c r="BD112" s="122"/>
    </row>
    <row r="113" spans="1:56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B113" s="122"/>
      <c r="BC113" s="122"/>
      <c r="BD113" s="122"/>
    </row>
    <row r="114" spans="1:56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B114" s="122"/>
      <c r="BC114" s="122"/>
      <c r="BD114" s="122"/>
    </row>
    <row r="115" spans="1:56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B115" s="122"/>
      <c r="BC115" s="122"/>
      <c r="BD115" s="122"/>
    </row>
    <row r="116" spans="1:56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B116" s="122"/>
      <c r="BC116" s="122"/>
      <c r="BD116" s="122"/>
    </row>
    <row r="117" spans="1:56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B117" s="122"/>
      <c r="BC117" s="122"/>
      <c r="BD117" s="122"/>
    </row>
    <row r="118" spans="1:56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B118" s="122"/>
      <c r="BC118" s="122"/>
      <c r="BD118" s="122"/>
    </row>
    <row r="119" spans="1:56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B119" s="122"/>
      <c r="BC119" s="122"/>
      <c r="BD119" s="122"/>
    </row>
    <row r="120" spans="1:56" s="34" customFormat="1" ht="37.5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B120" s="122"/>
      <c r="BC120" s="122"/>
      <c r="BD120" s="122"/>
    </row>
    <row r="121" spans="1:56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B121" s="122"/>
      <c r="BC121" s="122"/>
      <c r="BD121" s="122"/>
    </row>
    <row r="122" spans="1:56" s="34" customFormat="1" ht="36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B122" s="122"/>
      <c r="BC122" s="122"/>
      <c r="BD122" s="122"/>
    </row>
    <row r="123" spans="1:56" s="34" customFormat="1" ht="56.2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B123" s="122"/>
      <c r="BC123" s="122"/>
      <c r="BD123" s="122"/>
    </row>
    <row r="124" spans="1:56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B124" s="122"/>
      <c r="BC124" s="122"/>
      <c r="BD124" s="122"/>
    </row>
    <row r="125" spans="1:56" s="34" customFormat="1" ht="54" customHeight="1">
      <c r="A125" s="32"/>
      <c r="B125" s="456" t="s">
        <v>200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B125" s="122"/>
      <c r="BC125" s="122"/>
      <c r="BD125" s="122"/>
    </row>
    <row r="126" spans="1:56" s="34" customFormat="1" ht="46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B126" s="122"/>
      <c r="BC126" s="122"/>
      <c r="BD126" s="122"/>
    </row>
    <row r="127" spans="1:56" s="34" customFormat="1" ht="32.2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B127" s="122"/>
      <c r="BC127" s="122"/>
      <c r="BD127" s="122"/>
    </row>
    <row r="128" spans="1:56" s="34" customFormat="1" ht="38.2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B128" s="122"/>
      <c r="BC128" s="122"/>
      <c r="BD128" s="122"/>
    </row>
    <row r="129" spans="1:56" s="34" customFormat="1" ht="30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B129" s="122"/>
      <c r="BC129" s="122"/>
      <c r="BD129" s="122"/>
    </row>
    <row r="130" spans="1:56" s="34" customFormat="1" ht="38.25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B130" s="122"/>
      <c r="BC130" s="122"/>
      <c r="BD130" s="122"/>
    </row>
    <row r="131" spans="1:56" s="34" customFormat="1" ht="39.7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B131" s="122"/>
      <c r="BC131" s="122"/>
      <c r="BD131" s="122"/>
    </row>
    <row r="132" spans="1:56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B132" s="122"/>
      <c r="BC132" s="122"/>
      <c r="BD132" s="122"/>
    </row>
    <row r="133" spans="1:56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B133" s="122"/>
      <c r="BC133" s="122"/>
      <c r="BD133" s="122"/>
    </row>
    <row r="134" spans="1:56" s="34" customFormat="1" ht="18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B134" s="122"/>
      <c r="BC134" s="122"/>
      <c r="BD134" s="122"/>
    </row>
    <row r="135" spans="1:56" s="34" customFormat="1" ht="30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B135" s="122"/>
      <c r="BC135" s="122"/>
      <c r="BD135" s="122"/>
    </row>
    <row r="136" spans="1:56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B136" s="122"/>
      <c r="BC136" s="122"/>
      <c r="BD136" s="122"/>
    </row>
    <row r="137" spans="1:56" s="34" customFormat="1" ht="48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B137" s="122"/>
      <c r="BC137" s="122"/>
      <c r="BD137" s="122"/>
    </row>
    <row r="138" spans="1:56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B138" s="122"/>
      <c r="BC138" s="122"/>
      <c r="BD138" s="122"/>
    </row>
    <row r="139" spans="1:56" s="34" customFormat="1" ht="11.2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B139" s="122"/>
      <c r="BC139" s="122"/>
      <c r="BD139" s="122"/>
    </row>
    <row r="140" spans="1:56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B140" s="122"/>
      <c r="BC140" s="122"/>
      <c r="BD140" s="122"/>
    </row>
    <row r="141" spans="1:56" s="34" customFormat="1" ht="1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B141" s="122"/>
      <c r="BC141" s="122"/>
      <c r="BD141" s="122"/>
    </row>
    <row r="142" spans="1:56" s="34" customFormat="1" ht="32.2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B142" s="122"/>
      <c r="BC142" s="122"/>
      <c r="BD142" s="122"/>
    </row>
    <row r="143" spans="1:56" s="34" customFormat="1" ht="35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B143" s="122"/>
      <c r="BC143" s="122"/>
      <c r="BD143" s="122"/>
    </row>
    <row r="144" spans="1:56" s="34" customFormat="1" ht="39.7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B144" s="122"/>
      <c r="BC144" s="122"/>
      <c r="BD144" s="122"/>
    </row>
    <row r="145" spans="1:56" s="34" customFormat="1" ht="52.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B145" s="122"/>
      <c r="BC145" s="122"/>
      <c r="BD145" s="122"/>
    </row>
    <row r="146" spans="1:56" s="34" customFormat="1" ht="27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B146" s="122"/>
      <c r="BC146" s="122"/>
      <c r="BD146" s="122"/>
    </row>
    <row r="147" spans="1:56" s="34" customFormat="1" ht="80.2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B147" s="122"/>
      <c r="BC147" s="122"/>
      <c r="BD147" s="122"/>
    </row>
    <row r="148" spans="1:56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B148" s="122"/>
      <c r="BC148" s="122"/>
      <c r="BD148" s="122"/>
    </row>
    <row r="149" spans="1:56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6" ht="16.5" thickBot="1">
      <c r="A150" s="2"/>
      <c r="B150" s="465">
        <f ca="1">IF(A150=0,TODAY(),A150)</f>
        <v>45294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I146:L146"/>
    <mergeCell ref="I144:L144"/>
    <mergeCell ref="B139:L139"/>
    <mergeCell ref="B140:L140"/>
    <mergeCell ref="B144:H144"/>
    <mergeCell ref="B141:L141"/>
    <mergeCell ref="I137:L137"/>
    <mergeCell ref="B150:C150"/>
    <mergeCell ref="D150:F150"/>
    <mergeCell ref="G150:H150"/>
    <mergeCell ref="B149:L149"/>
    <mergeCell ref="B147:L147"/>
    <mergeCell ref="I143:L143"/>
    <mergeCell ref="B145:H145"/>
    <mergeCell ref="B146:H146"/>
    <mergeCell ref="I145:L145"/>
    <mergeCell ref="B148:L148"/>
    <mergeCell ref="B136:H136"/>
    <mergeCell ref="I136:L136"/>
    <mergeCell ref="B137:H137"/>
    <mergeCell ref="I142:L142"/>
    <mergeCell ref="B143:H143"/>
    <mergeCell ref="B116:K116"/>
    <mergeCell ref="B117:K117"/>
    <mergeCell ref="B119:K119"/>
    <mergeCell ref="B121:L121"/>
    <mergeCell ref="B127:L127"/>
    <mergeCell ref="B135:H135"/>
    <mergeCell ref="I135:L135"/>
    <mergeCell ref="B133:L133"/>
    <mergeCell ref="B142:H142"/>
    <mergeCell ref="B130:L130"/>
    <mergeCell ref="B128:L128"/>
    <mergeCell ref="B134:L134"/>
    <mergeCell ref="B118:K118"/>
    <mergeCell ref="B138:H138"/>
    <mergeCell ref="I138:L138"/>
    <mergeCell ref="B131:L131"/>
    <mergeCell ref="B132:L132"/>
    <mergeCell ref="D82:E82"/>
    <mergeCell ref="B99:K99"/>
    <mergeCell ref="B97:K97"/>
    <mergeCell ref="B129:L129"/>
    <mergeCell ref="B125:L125"/>
    <mergeCell ref="B126:L126"/>
    <mergeCell ref="B124:L124"/>
    <mergeCell ref="B120:L120"/>
    <mergeCell ref="B122:L122"/>
    <mergeCell ref="B123:L123"/>
    <mergeCell ref="B110:K110"/>
    <mergeCell ref="B114:K114"/>
    <mergeCell ref="B106:K106"/>
    <mergeCell ref="B111:K111"/>
    <mergeCell ref="B112:K112"/>
    <mergeCell ref="B113:K113"/>
    <mergeCell ref="B107:K107"/>
    <mergeCell ref="B115:K115"/>
    <mergeCell ref="B109:K109"/>
    <mergeCell ref="B100:K100"/>
    <mergeCell ref="P94:Q94"/>
    <mergeCell ref="B85:C85"/>
    <mergeCell ref="D85:E85"/>
    <mergeCell ref="B89:H89"/>
    <mergeCell ref="B87:K87"/>
    <mergeCell ref="N94:O94"/>
    <mergeCell ref="B93:K93"/>
    <mergeCell ref="B92:J92"/>
    <mergeCell ref="B96:J96"/>
    <mergeCell ref="B73:C73"/>
    <mergeCell ref="B74:C74"/>
    <mergeCell ref="D75:E75"/>
    <mergeCell ref="B76:C76"/>
    <mergeCell ref="D76:E76"/>
    <mergeCell ref="B108:K108"/>
    <mergeCell ref="B81:C81"/>
    <mergeCell ref="D81:E81"/>
    <mergeCell ref="B83:C83"/>
    <mergeCell ref="B101:K101"/>
    <mergeCell ref="B98:K98"/>
    <mergeCell ref="B103:K103"/>
    <mergeCell ref="B104:K104"/>
    <mergeCell ref="B102:K102"/>
    <mergeCell ref="B105:K105"/>
    <mergeCell ref="B86:C86"/>
    <mergeCell ref="D86:E86"/>
    <mergeCell ref="B75:C75"/>
    <mergeCell ref="B77:C77"/>
    <mergeCell ref="D77:E77"/>
    <mergeCell ref="D84:E84"/>
    <mergeCell ref="D83:E83"/>
    <mergeCell ref="B84:C84"/>
    <mergeCell ref="B82:C82"/>
    <mergeCell ref="B63:C63"/>
    <mergeCell ref="D63:E63"/>
    <mergeCell ref="B57:C57"/>
    <mergeCell ref="D57:E57"/>
    <mergeCell ref="B62:C62"/>
    <mergeCell ref="D62:E62"/>
    <mergeCell ref="B59:C59"/>
    <mergeCell ref="D59:E59"/>
    <mergeCell ref="B80:C80"/>
    <mergeCell ref="D80:E80"/>
    <mergeCell ref="B69:C69"/>
    <mergeCell ref="D69:E69"/>
    <mergeCell ref="B72:C72"/>
    <mergeCell ref="D72:E72"/>
    <mergeCell ref="B70:C70"/>
    <mergeCell ref="D70:E70"/>
    <mergeCell ref="B71:C71"/>
    <mergeCell ref="D71:E71"/>
    <mergeCell ref="D79:E79"/>
    <mergeCell ref="D73:E73"/>
    <mergeCell ref="B78:C78"/>
    <mergeCell ref="D78:E78"/>
    <mergeCell ref="B79:C79"/>
    <mergeCell ref="D74:E74"/>
    <mergeCell ref="D67:E67"/>
    <mergeCell ref="B68:C68"/>
    <mergeCell ref="D68:E68"/>
    <mergeCell ref="B66:C66"/>
    <mergeCell ref="D66:E66"/>
    <mergeCell ref="B67:C67"/>
    <mergeCell ref="B65:C65"/>
    <mergeCell ref="D65:E65"/>
    <mergeCell ref="B64:C64"/>
    <mergeCell ref="D64:E64"/>
    <mergeCell ref="B60:C60"/>
    <mergeCell ref="D60:E60"/>
    <mergeCell ref="B61:C61"/>
    <mergeCell ref="D61:E61"/>
    <mergeCell ref="D46:E46"/>
    <mergeCell ref="B47:C47"/>
    <mergeCell ref="D47:E47"/>
    <mergeCell ref="B54:C54"/>
    <mergeCell ref="D54:E54"/>
    <mergeCell ref="B52:C52"/>
    <mergeCell ref="D52:E52"/>
    <mergeCell ref="B53:C53"/>
    <mergeCell ref="D53:E53"/>
    <mergeCell ref="B55:C55"/>
    <mergeCell ref="D55:E55"/>
    <mergeCell ref="B56:C56"/>
    <mergeCell ref="D56:E56"/>
    <mergeCell ref="B58:C58"/>
    <mergeCell ref="D58:E58"/>
    <mergeCell ref="B42:C42"/>
    <mergeCell ref="D42:E42"/>
    <mergeCell ref="B40:C40"/>
    <mergeCell ref="D40:E40"/>
    <mergeCell ref="D38:E38"/>
    <mergeCell ref="B39:C39"/>
    <mergeCell ref="D41:E41"/>
    <mergeCell ref="D39:E39"/>
    <mergeCell ref="B51:C51"/>
    <mergeCell ref="D51:E51"/>
    <mergeCell ref="B49:C49"/>
    <mergeCell ref="D49:E49"/>
    <mergeCell ref="B50:C50"/>
    <mergeCell ref="D50:E50"/>
    <mergeCell ref="B48:C48"/>
    <mergeCell ref="D48:E48"/>
    <mergeCell ref="D44:E44"/>
    <mergeCell ref="B45:C45"/>
    <mergeCell ref="D45:E45"/>
    <mergeCell ref="B43:C43"/>
    <mergeCell ref="D43:E43"/>
    <mergeCell ref="B41:C41"/>
    <mergeCell ref="B44:C44"/>
    <mergeCell ref="B46:C46"/>
    <mergeCell ref="B23:C24"/>
    <mergeCell ref="B28:C28"/>
    <mergeCell ref="D29:E29"/>
    <mergeCell ref="D28:E28"/>
    <mergeCell ref="D22:E22"/>
    <mergeCell ref="B8:C8"/>
    <mergeCell ref="B10:C10"/>
    <mergeCell ref="D10:E10"/>
    <mergeCell ref="D12:E12"/>
    <mergeCell ref="B11:C11"/>
    <mergeCell ref="D11:E11"/>
    <mergeCell ref="D18:F18"/>
    <mergeCell ref="D25:E25"/>
    <mergeCell ref="D26:E26"/>
    <mergeCell ref="B27:C27"/>
    <mergeCell ref="N1:Q1"/>
    <mergeCell ref="M12:P12"/>
    <mergeCell ref="M11:P11"/>
    <mergeCell ref="D13:F13"/>
    <mergeCell ref="D8:F8"/>
    <mergeCell ref="B5:I5"/>
    <mergeCell ref="B7:C7"/>
    <mergeCell ref="D7:F7"/>
    <mergeCell ref="B13:C13"/>
    <mergeCell ref="B12:C12"/>
    <mergeCell ref="I23:L23"/>
    <mergeCell ref="B33:C33"/>
    <mergeCell ref="B32:C32"/>
    <mergeCell ref="D32:E32"/>
    <mergeCell ref="D30:E30"/>
    <mergeCell ref="F1:H4"/>
    <mergeCell ref="D24:E24"/>
    <mergeCell ref="D20:F20"/>
    <mergeCell ref="D21:F21"/>
    <mergeCell ref="D17:F17"/>
    <mergeCell ref="D19:F19"/>
    <mergeCell ref="D16:E16"/>
    <mergeCell ref="D15:E15"/>
    <mergeCell ref="D14:E14"/>
    <mergeCell ref="D23:H23"/>
    <mergeCell ref="B15:C15"/>
    <mergeCell ref="B14:C14"/>
    <mergeCell ref="B17:C17"/>
    <mergeCell ref="B31:C31"/>
    <mergeCell ref="B16:C16"/>
    <mergeCell ref="B29:C29"/>
    <mergeCell ref="B25:C25"/>
    <mergeCell ref="B30:C30"/>
    <mergeCell ref="B18:C18"/>
    <mergeCell ref="B37:C37"/>
    <mergeCell ref="D37:E37"/>
    <mergeCell ref="B38:C38"/>
    <mergeCell ref="D31:E31"/>
    <mergeCell ref="D27:E27"/>
    <mergeCell ref="B26:C26"/>
    <mergeCell ref="B34:C34"/>
    <mergeCell ref="D34:E34"/>
    <mergeCell ref="B35:C35"/>
    <mergeCell ref="D35:E35"/>
    <mergeCell ref="B36:C36"/>
    <mergeCell ref="D36:E36"/>
    <mergeCell ref="D33:E33"/>
  </mergeCells>
  <phoneticPr fontId="22" type="noConversion"/>
  <conditionalFormatting sqref="A11 A14:A15">
    <cfRule type="cellIs" dxfId="366" priority="34" stopIfTrue="1" operator="greaterThan">
      <formula>61</formula>
    </cfRule>
    <cfRule type="expression" dxfId="365" priority="35" stopIfTrue="1">
      <formula>$A$24</formula>
    </cfRule>
  </conditionalFormatting>
  <conditionalFormatting sqref="B26:C85 D48:H85">
    <cfRule type="expression" dxfId="364" priority="1" stopIfTrue="1">
      <formula>$N26</formula>
    </cfRule>
  </conditionalFormatting>
  <conditionalFormatting sqref="B18:F18">
    <cfRule type="expression" dxfId="363" priority="26" stopIfTrue="1">
      <formula>$M$8</formula>
    </cfRule>
  </conditionalFormatting>
  <conditionalFormatting sqref="B25:H25">
    <cfRule type="expression" dxfId="362" priority="7" stopIfTrue="1">
      <formula>$N$25</formula>
    </cfRule>
  </conditionalFormatting>
  <conditionalFormatting sqref="B96:I119">
    <cfRule type="expression" dxfId="361" priority="4" stopIfTrue="1">
      <formula>A96</formula>
    </cfRule>
  </conditionalFormatting>
  <conditionalFormatting sqref="D12:E12">
    <cfRule type="expression" dxfId="360" priority="33" stopIfTrue="1">
      <formula>$A$24</formula>
    </cfRule>
  </conditionalFormatting>
  <conditionalFormatting sqref="D26:H26">
    <cfRule type="expression" dxfId="359" priority="8" stopIfTrue="1">
      <formula>$N$26</formula>
    </cfRule>
  </conditionalFormatting>
  <conditionalFormatting sqref="D27:H27">
    <cfRule type="expression" dxfId="358" priority="9" stopIfTrue="1">
      <formula>$N$27</formula>
    </cfRule>
  </conditionalFormatting>
  <conditionalFormatting sqref="D28:H28">
    <cfRule type="expression" dxfId="357" priority="10" stopIfTrue="1">
      <formula>$N$28</formula>
    </cfRule>
  </conditionalFormatting>
  <conditionalFormatting sqref="D29:H29">
    <cfRule type="expression" dxfId="356" priority="11" stopIfTrue="1">
      <formula>$N$29</formula>
    </cfRule>
  </conditionalFormatting>
  <conditionalFormatting sqref="D30:H30">
    <cfRule type="expression" dxfId="355" priority="12" stopIfTrue="1">
      <formula>$N$30</formula>
    </cfRule>
  </conditionalFormatting>
  <conditionalFormatting sqref="D31:H31">
    <cfRule type="expression" dxfId="354" priority="13" stopIfTrue="1">
      <formula>$N$31</formula>
    </cfRule>
  </conditionalFormatting>
  <conditionalFormatting sqref="D32:H32">
    <cfRule type="expression" dxfId="353" priority="14" stopIfTrue="1">
      <formula>$N$32</formula>
    </cfRule>
  </conditionalFormatting>
  <conditionalFormatting sqref="D33:H33">
    <cfRule type="expression" dxfId="352" priority="15" stopIfTrue="1">
      <formula>$N$33</formula>
    </cfRule>
  </conditionalFormatting>
  <conditionalFormatting sqref="D34:H34">
    <cfRule type="expression" dxfId="351" priority="16" stopIfTrue="1">
      <formula>$N$34</formula>
    </cfRule>
  </conditionalFormatting>
  <conditionalFormatting sqref="D35:H35">
    <cfRule type="expression" dxfId="350" priority="17" stopIfTrue="1">
      <formula>$N$35</formula>
    </cfRule>
  </conditionalFormatting>
  <conditionalFormatting sqref="D36:H36">
    <cfRule type="expression" dxfId="349" priority="18" stopIfTrue="1">
      <formula>$N$36</formula>
    </cfRule>
  </conditionalFormatting>
  <conditionalFormatting sqref="D37:H37">
    <cfRule type="expression" dxfId="348" priority="19" stopIfTrue="1">
      <formula>$N$37</formula>
    </cfRule>
  </conditionalFormatting>
  <conditionalFormatting sqref="D38:H38">
    <cfRule type="expression" dxfId="347" priority="20" stopIfTrue="1">
      <formula>$N$38</formula>
    </cfRule>
  </conditionalFormatting>
  <conditionalFormatting sqref="D39:H39">
    <cfRule type="expression" dxfId="346" priority="21" stopIfTrue="1">
      <formula>$N$39</formula>
    </cfRule>
  </conditionalFormatting>
  <conditionalFormatting sqref="D40:H40">
    <cfRule type="expression" dxfId="345" priority="22" stopIfTrue="1">
      <formula>$N$40</formula>
    </cfRule>
  </conditionalFormatting>
  <conditionalFormatting sqref="D41:H41">
    <cfRule type="expression" dxfId="344" priority="23" stopIfTrue="1">
      <formula>$N$41</formula>
    </cfRule>
  </conditionalFormatting>
  <conditionalFormatting sqref="D42:H42">
    <cfRule type="expression" dxfId="343" priority="24" stopIfTrue="1">
      <formula>$N$42</formula>
    </cfRule>
  </conditionalFormatting>
  <conditionalFormatting sqref="D43:H43">
    <cfRule type="expression" dxfId="342" priority="28" stopIfTrue="1">
      <formula>$N$43</formula>
    </cfRule>
  </conditionalFormatting>
  <conditionalFormatting sqref="D44:H44">
    <cfRule type="expression" dxfId="341" priority="29" stopIfTrue="1">
      <formula>$N$44</formula>
    </cfRule>
  </conditionalFormatting>
  <conditionalFormatting sqref="D45:H45">
    <cfRule type="expression" dxfId="340" priority="30" stopIfTrue="1">
      <formula>$N$45</formula>
    </cfRule>
  </conditionalFormatting>
  <conditionalFormatting sqref="D46:H46">
    <cfRule type="expression" dxfId="339" priority="31" stopIfTrue="1">
      <formula>$N$46</formula>
    </cfRule>
  </conditionalFormatting>
  <conditionalFormatting sqref="D47:H47">
    <cfRule type="expression" dxfId="338" priority="32" stopIfTrue="1">
      <formula>$N$47</formula>
    </cfRule>
  </conditionalFormatting>
  <conditionalFormatting sqref="F10 D11:E11">
    <cfRule type="expression" dxfId="337" priority="25" stopIfTrue="1">
      <formula>$M$5</formula>
    </cfRule>
  </conditionalFormatting>
  <conditionalFormatting sqref="G10:L10">
    <cfRule type="expression" dxfId="336" priority="27" stopIfTrue="1">
      <formula>$A$1</formula>
    </cfRule>
  </conditionalFormatting>
  <conditionalFormatting sqref="I24:K24">
    <cfRule type="expression" dxfId="335" priority="39" stopIfTrue="1">
      <formula>$D$15</formula>
    </cfRule>
  </conditionalFormatting>
  <conditionalFormatting sqref="I23:L23 L24">
    <cfRule type="expression" dxfId="334" priority="38" stopIfTrue="1">
      <formula>$D$15</formula>
    </cfRule>
  </conditionalFormatting>
  <conditionalFormatting sqref="I25:L85 I86">
    <cfRule type="expression" dxfId="333" priority="6" stopIfTrue="1">
      <formula>$AY25</formula>
    </cfRule>
  </conditionalFormatting>
  <conditionalFormatting sqref="J96:J119">
    <cfRule type="expression" dxfId="332" priority="5" stopIfTrue="1">
      <formula>H96</formula>
    </cfRule>
  </conditionalFormatting>
  <conditionalFormatting sqref="K96:K119">
    <cfRule type="expression" dxfId="331" priority="3" stopIfTrue="1">
      <formula>H96</formula>
    </cfRule>
  </conditionalFormatting>
  <conditionalFormatting sqref="L96:L119">
    <cfRule type="expression" dxfId="330" priority="2" stopIfTrue="1">
      <formula>H96</formula>
    </cfRule>
  </conditionalFormatting>
  <dataValidations count="2">
    <dataValidation type="list" allowBlank="1" showInputMessage="1" showErrorMessage="1" sqref="D14:E14" xr:uid="{00000000-0002-0000-0B00-000000000000}">
      <formula1>$X$10:$X$15</formula1>
    </dataValidation>
    <dataValidation type="list" allowBlank="1" showInputMessage="1" showErrorMessage="1" sqref="D15:E15" xr:uid="{00000000-0002-0000-0B00-000001000000}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28515625" style="21" customWidth="1"/>
    <col min="9" max="10" width="16.5703125" style="21" customWidth="1"/>
    <col min="11" max="11" width="16.5703125" style="21" hidden="1" customWidth="1"/>
    <col min="12" max="12" width="23" style="21" customWidth="1"/>
    <col min="13" max="15" width="9.28515625" style="4" bestFit="1" customWidth="1"/>
    <col min="16" max="16" width="11.85546875" style="4" bestFit="1" customWidth="1"/>
    <col min="17" max="17" width="11.5703125" style="4" customWidth="1"/>
    <col min="18" max="18" width="12" style="4" customWidth="1"/>
    <col min="19" max="21" width="13.5703125" style="4" customWidth="1"/>
    <col min="22" max="22" width="14.140625" style="4" customWidth="1"/>
    <col min="23" max="24" width="10.28515625" style="4" customWidth="1"/>
    <col min="25" max="25" width="14" style="4" customWidth="1"/>
    <col min="26" max="27" width="12.140625" style="4" customWidth="1"/>
    <col min="28" max="28" width="16.28515625" style="4" customWidth="1"/>
    <col min="29" max="29" width="12.42578125" style="4" customWidth="1"/>
    <col min="30" max="34" width="12.28515625" style="4" customWidth="1"/>
    <col min="35" max="35" width="13.85546875" style="4" customWidth="1"/>
    <col min="36" max="36" width="12.140625" style="4" customWidth="1"/>
    <col min="37" max="37" width="12" style="4" customWidth="1"/>
    <col min="38" max="45" width="9.140625" style="4"/>
    <col min="46" max="50" width="9.140625" style="19"/>
    <col min="51" max="51" width="9.140625" style="4"/>
    <col min="52" max="53" width="9.140625" style="19"/>
    <col min="54" max="56" width="9.140625" style="24"/>
    <col min="57" max="58" width="9.140625" style="19"/>
    <col min="59" max="141" width="9.140625" style="20"/>
    <col min="142" max="16384" width="9.140625" style="21"/>
  </cols>
  <sheetData>
    <row r="1" spans="1:26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6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6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6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6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26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6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6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6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Y9" s="4">
        <v>0</v>
      </c>
    </row>
    <row r="10" spans="1:26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40000000</v>
      </c>
      <c r="E10" s="450"/>
      <c r="F10" s="11" t="s">
        <v>189</v>
      </c>
      <c r="G10" s="12" t="s">
        <v>7</v>
      </c>
      <c r="H10" s="13">
        <f ca="1">F22+G22+A92+D10</f>
        <v>120746920</v>
      </c>
      <c r="I10" s="40"/>
      <c r="J10" s="40"/>
      <c r="K10" s="40"/>
      <c r="L10" s="40"/>
      <c r="X10" s="4">
        <v>12</v>
      </c>
      <c r="Y10" s="4">
        <v>1</v>
      </c>
    </row>
    <row r="11" spans="1:26" ht="15" customHeight="1">
      <c r="A11" s="17">
        <v>23.5</v>
      </c>
      <c r="B11" s="408" t="s">
        <v>8</v>
      </c>
      <c r="C11" s="409"/>
      <c r="D11" s="413">
        <f>IF(D14=12,68,78)</f>
        <v>78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">
        <f ca="1">IF(DAY(D16)=31,31,30)</f>
        <v>30</v>
      </c>
      <c r="X11" s="4">
        <v>18</v>
      </c>
      <c r="Y11" s="4">
        <v>3</v>
      </c>
      <c r="Z11" s="4">
        <f>IF(D14=12,IF(D15&lt;&gt;3,IF(D15&lt;&gt;6,1,0),0),0)</f>
        <v>0</v>
      </c>
    </row>
    <row r="12" spans="1:26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2</v>
      </c>
      <c r="X12" s="4">
        <v>24</v>
      </c>
      <c r="Y12" s="4">
        <v>6</v>
      </c>
    </row>
    <row r="13" spans="1:26" ht="26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X13" s="4">
        <v>36</v>
      </c>
      <c r="Y13" s="4">
        <v>12</v>
      </c>
    </row>
    <row r="14" spans="1:26" ht="15" customHeight="1">
      <c r="A14" s="17">
        <f ca="1">IF(DAY(D16)&lt;=21,D14,D14+1)</f>
        <v>60</v>
      </c>
      <c r="B14" s="408" t="s">
        <v>13</v>
      </c>
      <c r="C14" s="409"/>
      <c r="D14" s="413">
        <v>60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60</v>
      </c>
      <c r="X14" s="4">
        <v>48</v>
      </c>
    </row>
    <row r="15" spans="1:26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X15" s="4">
        <v>60</v>
      </c>
    </row>
    <row r="16" spans="1:26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54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idden="1">
      <c r="A22" s="4"/>
      <c r="B22" s="4"/>
      <c r="C22" s="4"/>
      <c r="D22" s="404">
        <f ca="1">SUM(D25:E85)</f>
        <v>80000000</v>
      </c>
      <c r="E22" s="272"/>
      <c r="F22" s="22">
        <f ca="1">SUM(F25:F86)/2</f>
        <v>80746920</v>
      </c>
      <c r="G22" s="22">
        <v>0</v>
      </c>
      <c r="H22" s="22">
        <f ca="1">SUM(H25:H72)</f>
        <v>109017670</v>
      </c>
      <c r="I22" s="22"/>
      <c r="J22" s="22"/>
      <c r="K22" s="22"/>
      <c r="L22" s="22"/>
    </row>
    <row r="23" spans="1:141" ht="18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8.25" customHeight="1">
      <c r="A24" s="4">
        <f ca="1"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рублей",IF(AW25&lt;=5,ROUND(AU25,0)-AW25,ROUND(AU25,0)+AX25)," ")))</f>
        <v>666670</v>
      </c>
      <c r="E25" s="443"/>
      <c r="F25" s="84">
        <f ca="1">IF(M1=1,P25,IF(M1=2,Q25," "))</f>
        <v>2340000</v>
      </c>
      <c r="G25" s="84">
        <v>0</v>
      </c>
      <c r="H25" s="84">
        <f ca="1">SUM(D25:G25)+A87</f>
        <v>3006670</v>
      </c>
      <c r="I25" s="84">
        <f ca="1">T25</f>
        <v>666670</v>
      </c>
      <c r="J25" s="84">
        <f t="shared" ref="J25:J56" ca="1" si="0">AA25</f>
        <v>2340000</v>
      </c>
      <c r="K25" s="84">
        <v>0</v>
      </c>
      <c r="L25" s="84">
        <f ca="1">SUM(I25:K25)+A87</f>
        <v>3006670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2340000</v>
      </c>
      <c r="Q25" s="22">
        <f t="shared" ref="Q25:Q56" ca="1" si="3">IF(V25&lt;&gt;0,IF(VALUE(RIGHT(ROUND(V25,0)))&lt;=5,ROUND(V25,0)-VALUE(RIGHT(ROUND(V25,0))),ROUND(V25,0)+10-VALUE(RIGHT(ROUND(V25,0)))),0)</f>
        <v>2340000</v>
      </c>
      <c r="R25" s="22">
        <f>D10</f>
        <v>40000000</v>
      </c>
      <c r="S25" s="22">
        <f ca="1">IF(N25=0,0,IF(F10="USD",ROUND(D10/M14,2),IF(F10="бел. рублей",IF(AW25&lt;=5,ROUND(AU25,0)-AW25,ROUND(AU25,0)+AX25)," ")))</f>
        <v>666670</v>
      </c>
      <c r="T25" s="22">
        <f ca="1">IF(N25=0,0,IF(F10="USD",ROUND(D10/M14,2),IF(F10="бел. рублей",IF(AW25&lt;=5,ROUND(AU25,0)-AW25,ROUND(AU25,0)+AX25)," ")))</f>
        <v>666670</v>
      </c>
      <c r="U25" s="22">
        <f ca="1">R25*Q11*D11/36000</f>
        <v>2340000</v>
      </c>
      <c r="V25" s="22">
        <f ca="1">R25*Q11*D11/36000</f>
        <v>2340000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2340000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2340000</v>
      </c>
      <c r="Y25" s="22">
        <f t="shared" ref="Y25:Y56" si="4">IF(M25&lt;=(D$15+1),D$10,Y24-I24)</f>
        <v>40000000</v>
      </c>
      <c r="Z25" s="22">
        <f ca="1">Y25*Q11*D11/36000</f>
        <v>2340000</v>
      </c>
      <c r="AA25" s="22">
        <f t="shared" ref="AA25:AA56" ca="1" si="5">IF(Z25&lt;&gt;0,IF(VALUE(RIGHT(ROUND(Z25,0)))&lt;=5,ROUND(Z25,0)-VALUE(RIGHT(ROUND(Z25,0))),ROUND(Z25,0)+10-VALUE(RIGHT(ROUND(Z25,0)))),0)</f>
        <v>2340000</v>
      </c>
      <c r="AB25" s="22">
        <f ca="1">R25*Q11</f>
        <v>1080000000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40000000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2</v>
      </c>
      <c r="AM25" s="69">
        <f t="shared" ref="AM25:AM56" ca="1" si="11">IF(AL25=13,1,AL25)</f>
        <v>2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29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666667</v>
      </c>
      <c r="AV25" s="94" t="str">
        <f ca="1">RIGHT(AU25)</f>
        <v>7</v>
      </c>
      <c r="AW25" s="19">
        <f ca="1">VALUE(AV25)</f>
        <v>7</v>
      </c>
      <c r="AX25" s="19">
        <f ca="1">10-AW25</f>
        <v>3</v>
      </c>
      <c r="AY25" s="4">
        <f t="shared" ref="AY25:AY56" ca="1" si="16">IF(D$15=0,0,IF(N25=1,1,0))</f>
        <v>1</v>
      </c>
      <c r="AZ25" s="19"/>
      <c r="BA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666670</v>
      </c>
      <c r="E26" s="443"/>
      <c r="F26" s="84">
        <f ca="1">IF(N26=0,IF(N25=1,F25," "),IF(M1=1,P26,IF(M1=2,Q26," ")))</f>
        <v>2585550</v>
      </c>
      <c r="G26" s="84">
        <v>0</v>
      </c>
      <c r="H26" s="84">
        <f t="shared" ref="H26:H57" ca="1" si="19">IF(SUM(D26:G26)=0," ",SUM(D26:G26))</f>
        <v>3252220</v>
      </c>
      <c r="I26" s="84">
        <f t="shared" ref="I26:I57" ca="1" si="20">IF(N26=1,IF(N27=1,IF(M26&lt;=D$15,T26,AV$26),D$10-AV$26*M$16+AV$26),0)</f>
        <v>677970</v>
      </c>
      <c r="J26" s="84">
        <f t="shared" ca="1" si="0"/>
        <v>2600000</v>
      </c>
      <c r="K26" s="84">
        <v>0</v>
      </c>
      <c r="L26" s="84">
        <f t="shared" ref="L26:L57" ca="1" si="21">IF(SUM(I26:K26)=0," ",SUM(I26:K26))</f>
        <v>3277970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2585550</v>
      </c>
      <c r="Q26" s="22">
        <f t="shared" ca="1" si="3"/>
        <v>2585550</v>
      </c>
      <c r="R26" s="22">
        <f t="shared" ref="R26:R57" ca="1" si="23">IF(N26=0,0,R25-D25)</f>
        <v>39333330</v>
      </c>
      <c r="S26" s="22">
        <f t="shared" ref="S26:S57" si="24">IF(M26&lt;=D$15,D$10/(D$14-M25),D26)</f>
        <v>677966.10169491521</v>
      </c>
      <c r="T26" s="22">
        <f t="shared" ref="T26:T57" si="25">IF(S26&lt;&gt;0,IF(VALUE(RIGHT(ROUND(S26,0)))&lt;=5,ROUND(S26,0)-VALUE(RIGHT(ROUND(S26,0))),ROUND(S26,0)+10-VALUE(RIGHT(ROUND(S26,0)))),0)</f>
        <v>677970</v>
      </c>
      <c r="U26" s="22">
        <f ca="1">IF(N27=1,R25*D11*20/36000+R26*D11*10/36000,IF(N27=0,IF(N26=0,0,R26*D11*Q12/36000+R25*D11*20/36000+R26*D11*10/36000)))</f>
        <v>2585555.4833333334</v>
      </c>
      <c r="V26" s="22">
        <f ca="1">IF(N27=1,R25*D11*20/36000+R26*D11*10/36000,IF(N27=0,IF(N26=0,0,R26*D11*Q12/36000+R25*D11*20/36000+R26*D11*10/36000)))</f>
        <v>2585555.4833333334</v>
      </c>
      <c r="W26" s="22">
        <f t="shared" ref="W26:W57" ca="1" si="26">IF(N27=1,$D$10*$D$11*20/36000+$D$10*$D$11*10/36000,IF(N27=0,IF(N26=0,0,$D$10*$D$11*$Q$12/36000+$D$10*$D$11*20/36000+$D$10*$D$11*10/36000)))</f>
        <v>2600000</v>
      </c>
      <c r="X26" s="22">
        <f t="shared" ref="X26:X57" ca="1" si="27">IF(W26&lt;&gt;0,IF(VALUE(RIGHT(ROUND(W26,0)))&lt;=5,ROUND(W26,0)-VALUE(RIGHT(ROUND(W26,0))),ROUND(W26,0)+10-VALUE(RIGHT(ROUND(W26,0)))),0)</f>
        <v>2600000</v>
      </c>
      <c r="Y26" s="22">
        <f t="shared" si="4"/>
        <v>40000000</v>
      </c>
      <c r="Z26" s="22">
        <f t="shared" ref="Z26:Z36" ca="1" si="28">IF(N27=1,Y25*D$11*20/36000+Y26*D$11*10/36000,IF(N27=0,IF(N26=0,0,Y26*D$11*Q$12/36000+Y25*D$11*20/36000+Y26*D$11*10/36000)))</f>
        <v>2600000</v>
      </c>
      <c r="AA26" s="22">
        <f t="shared" ca="1" si="5"/>
        <v>2600000</v>
      </c>
      <c r="AB26" s="22">
        <f ca="1">IF(R27=0,R26*Q12,(R25*20+R26*10))</f>
        <v>1193333300</v>
      </c>
      <c r="AC26" s="22">
        <f t="shared" ca="1" si="6"/>
        <v>0</v>
      </c>
      <c r="AD26" s="22">
        <f t="shared" ca="1" si="7"/>
        <v>0</v>
      </c>
      <c r="AE26" s="22">
        <f t="shared" ref="AE26:AE57" ca="1" si="29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30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39333330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1">IF(N26=0,0,MONTH(B25)+1)</f>
        <v>3</v>
      </c>
      <c r="AM26" s="69">
        <f t="shared" ca="1" si="11"/>
        <v>3</v>
      </c>
      <c r="AN26" s="4">
        <f t="shared" ref="AN26:AN57" ca="1" si="32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3">AQ25</f>
        <v>29</v>
      </c>
      <c r="AT26" s="19"/>
      <c r="AU26" s="4">
        <f ca="1">ROUNDUP(D$10/(A$14-D$15),0)</f>
        <v>740741</v>
      </c>
      <c r="AV26" s="22">
        <f ca="1">IF(AU26&lt;&gt;0,IF(VALUE(RIGHT(ROUND(AU26,0)))&lt;=5,ROUND(AU26,0)-VALUE(RIGHT(ROUND(AU26,0))),ROUND(AU26,0)+10-VALUE(RIGHT(ROUND(AU26,0)))),0)</f>
        <v>740740</v>
      </c>
      <c r="AW26" s="19"/>
      <c r="AX26" s="19"/>
      <c r="AY26" s="4">
        <f t="shared" ca="1" si="16"/>
        <v>1</v>
      </c>
      <c r="AZ26" s="19"/>
      <c r="BA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45402</v>
      </c>
      <c r="C27" s="401"/>
      <c r="D27" s="443">
        <f ca="1">IF(N27=0,IF(N26=1,D25+D26," "),IF(N27=0,0,IF(N28=1,D25,IF(N28=0,D10-D25*(M14-1)," "))))</f>
        <v>666670</v>
      </c>
      <c r="E27" s="443"/>
      <c r="F27" s="84">
        <f ca="1">IF(N27=0,IF(N26=1,F25+F26," "),IF(M1=1,P27,IF(M1=2,Q27," ")))</f>
        <v>2542220</v>
      </c>
      <c r="G27" s="84">
        <v>0</v>
      </c>
      <c r="H27" s="84">
        <f t="shared" ca="1" si="19"/>
        <v>3208890</v>
      </c>
      <c r="I27" s="84">
        <f t="shared" ca="1" si="20"/>
        <v>689650</v>
      </c>
      <c r="J27" s="84">
        <f t="shared" ca="1" si="0"/>
        <v>2600000</v>
      </c>
      <c r="K27" s="84">
        <v>0</v>
      </c>
      <c r="L27" s="84">
        <f t="shared" ca="1" si="21"/>
        <v>3289650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2542220</v>
      </c>
      <c r="Q27" s="22">
        <f t="shared" ca="1" si="3"/>
        <v>2542220</v>
      </c>
      <c r="R27" s="22">
        <f t="shared" ca="1" si="23"/>
        <v>38666660</v>
      </c>
      <c r="S27" s="22">
        <f t="shared" si="24"/>
        <v>689655.17241379316</v>
      </c>
      <c r="T27" s="22">
        <f t="shared" si="25"/>
        <v>689650</v>
      </c>
      <c r="U27" s="22">
        <f ca="1">IF(N28=1,R26*D11*20/36000+R27*D11*10/36000,IF(N28=0,IF(N27=0,0,R27*D11*Q12/36000+R26*D11*20/36000+R27*D11*10/36000)))</f>
        <v>2542221.9333333336</v>
      </c>
      <c r="V27" s="22">
        <f ca="1">IF(N28=1,R26*D11*20/36000+R27*D11*10/36000,IF(N28=0,IF(N27=0,0,R27*D11*Q12/36000+R26*D11*20/36000+R27*D11*10/36000)))</f>
        <v>2542221.9333333336</v>
      </c>
      <c r="W27" s="22">
        <f t="shared" ca="1" si="26"/>
        <v>2600000</v>
      </c>
      <c r="X27" s="22">
        <f t="shared" ca="1" si="27"/>
        <v>2600000</v>
      </c>
      <c r="Y27" s="22">
        <f t="shared" si="4"/>
        <v>40000000</v>
      </c>
      <c r="Z27" s="22">
        <f t="shared" ca="1" si="28"/>
        <v>2600000</v>
      </c>
      <c r="AA27" s="22">
        <f t="shared" ca="1" si="5"/>
        <v>2600000</v>
      </c>
      <c r="AB27" s="22">
        <f ca="1">IF(R28=0,R27*Q12,(R26*20+R27*10))</f>
        <v>1173333200</v>
      </c>
      <c r="AC27" s="22">
        <f t="shared" ca="1" si="6"/>
        <v>0</v>
      </c>
      <c r="AD27" s="22">
        <f t="shared" ca="1" si="7"/>
        <v>0</v>
      </c>
      <c r="AE27" s="22">
        <f t="shared" ca="1" si="29"/>
        <v>0</v>
      </c>
      <c r="AF27" s="22">
        <f t="shared" ca="1" si="8"/>
        <v>0</v>
      </c>
      <c r="AG27" s="22">
        <f t="shared" ca="1" si="30"/>
        <v>0</v>
      </c>
      <c r="AH27" s="22">
        <f t="shared" ca="1" si="9"/>
        <v>0</v>
      </c>
      <c r="AI27" s="22">
        <f t="shared" ca="1" si="10"/>
        <v>38666660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1"/>
        <v>4</v>
      </c>
      <c r="AM27" s="69">
        <f t="shared" ca="1" si="11"/>
        <v>4</v>
      </c>
      <c r="AN27" s="4">
        <f t="shared" ca="1" si="32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3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A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45432</v>
      </c>
      <c r="C28" s="401"/>
      <c r="D28" s="443">
        <f ca="1">IF(N28=0,IF(N27=1,D25+D26+D27," "),IF(N28=0,0,IF(N29=1,D25,IF(N29=0,D10-D25*(M14-1)," "))))</f>
        <v>666670</v>
      </c>
      <c r="E28" s="443"/>
      <c r="F28" s="84">
        <f ca="1">IF(N28=0,IF(N27=1,F25+F26+F27," "),IF(M1=1,P28,IF(M1=2,Q28," ")))</f>
        <v>2498890</v>
      </c>
      <c r="G28" s="84">
        <v>0</v>
      </c>
      <c r="H28" s="84">
        <f t="shared" ca="1" si="19"/>
        <v>3165560</v>
      </c>
      <c r="I28" s="84">
        <f t="shared" ca="1" si="20"/>
        <v>701750</v>
      </c>
      <c r="J28" s="84">
        <f t="shared" ca="1" si="0"/>
        <v>2600000</v>
      </c>
      <c r="K28" s="84">
        <v>0</v>
      </c>
      <c r="L28" s="84">
        <f t="shared" ca="1" si="21"/>
        <v>3301750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2498890</v>
      </c>
      <c r="Q28" s="22">
        <f t="shared" ca="1" si="3"/>
        <v>2498890</v>
      </c>
      <c r="R28" s="22">
        <f t="shared" ca="1" si="23"/>
        <v>37999990</v>
      </c>
      <c r="S28" s="22">
        <f t="shared" si="24"/>
        <v>701754.38596491225</v>
      </c>
      <c r="T28" s="22">
        <f t="shared" si="25"/>
        <v>701750</v>
      </c>
      <c r="U28" s="22">
        <f ca="1">IF(N29=1,R27*D11*20/36000+R28*D11*10/36000,IF(N29=0,IF(N28=0,0,R28*D11*Q12/36000+R27*D11*20/36000+R28*D11*10/36000)))</f>
        <v>2498888.3833333333</v>
      </c>
      <c r="V28" s="22">
        <f ca="1">IF(N29=1,R27*D11*20/36000+R28*D11*10/36000,IF(N29=0,IF(N28=0,0,R28*D11*Q12/36000+R27*D11*20/36000+R28*D11*10/36000)))</f>
        <v>2498888.3833333333</v>
      </c>
      <c r="W28" s="22">
        <f t="shared" ca="1" si="26"/>
        <v>2600000</v>
      </c>
      <c r="X28" s="22">
        <f t="shared" ca="1" si="27"/>
        <v>2600000</v>
      </c>
      <c r="Y28" s="22">
        <f t="shared" si="4"/>
        <v>40000000</v>
      </c>
      <c r="Z28" s="22">
        <f t="shared" ca="1" si="28"/>
        <v>2600000</v>
      </c>
      <c r="AA28" s="22">
        <f t="shared" ca="1" si="5"/>
        <v>2600000</v>
      </c>
      <c r="AB28" s="22">
        <f ca="1">IF(R29=0,R28*Q12,(R27*20+R28*10))</f>
        <v>1153333100</v>
      </c>
      <c r="AC28" s="22">
        <f t="shared" ca="1" si="6"/>
        <v>0</v>
      </c>
      <c r="AD28" s="22">
        <f t="shared" ca="1" si="7"/>
        <v>0</v>
      </c>
      <c r="AE28" s="22">
        <f t="shared" ca="1" si="29"/>
        <v>0</v>
      </c>
      <c r="AF28" s="22">
        <f t="shared" ca="1" si="8"/>
        <v>0</v>
      </c>
      <c r="AG28" s="22">
        <f t="shared" ca="1" si="30"/>
        <v>0</v>
      </c>
      <c r="AH28" s="22">
        <f t="shared" ca="1" si="9"/>
        <v>0</v>
      </c>
      <c r="AI28" s="22">
        <f t="shared" ca="1" si="10"/>
        <v>37999990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1"/>
        <v>5</v>
      </c>
      <c r="AM28" s="69">
        <f t="shared" ca="1" si="11"/>
        <v>5</v>
      </c>
      <c r="AN28" s="4">
        <f t="shared" ca="1" si="32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3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A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45463</v>
      </c>
      <c r="C29" s="401"/>
      <c r="D29" s="443">
        <f ca="1">IF(N29=0,IF(N28=1,D25+D26+D27+D28," "),IF(N29=0,0,IF(N30=1,D25,IF(N30=0,D10-D25*(M14-1)," "))))</f>
        <v>666670</v>
      </c>
      <c r="E29" s="443"/>
      <c r="F29" s="84">
        <f ca="1">IF(N29=0,IF(N28=1,F25+F26+F27+F28," "),IF(M1=1,P29,IF(M1=2,Q29," ")))</f>
        <v>2455550</v>
      </c>
      <c r="G29" s="84">
        <v>0</v>
      </c>
      <c r="H29" s="84">
        <f t="shared" ca="1" si="19"/>
        <v>3122220</v>
      </c>
      <c r="I29" s="84">
        <f t="shared" ca="1" si="20"/>
        <v>714290</v>
      </c>
      <c r="J29" s="84">
        <f t="shared" ca="1" si="0"/>
        <v>2600000</v>
      </c>
      <c r="K29" s="84">
        <v>0</v>
      </c>
      <c r="L29" s="84">
        <f t="shared" ca="1" si="21"/>
        <v>3314290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2455550</v>
      </c>
      <c r="Q29" s="22">
        <f t="shared" ca="1" si="3"/>
        <v>2455550</v>
      </c>
      <c r="R29" s="22">
        <f t="shared" ca="1" si="23"/>
        <v>37333320</v>
      </c>
      <c r="S29" s="22">
        <f t="shared" si="24"/>
        <v>714285.71428571432</v>
      </c>
      <c r="T29" s="22">
        <f t="shared" si="25"/>
        <v>714290</v>
      </c>
      <c r="U29" s="22">
        <f ca="1">IF(N30=1,R28*D11*20/36000+R29*D11*10/36000,IF(N30=0,IF(N29=0,0,R29*D11*Q12/36000+R28*D11*20/36000+R29*D11*10/36000)))</f>
        <v>2455554.8333333335</v>
      </c>
      <c r="V29" s="22">
        <f ca="1">IF(N30=1,R28*D11*20/36000+R29*D11*10/36000,IF(N30=0,IF(N29=0,0,R29*D11*Q12/36000+R28*D11*20/36000+R29*D11*10/36000)))</f>
        <v>2455554.8333333335</v>
      </c>
      <c r="W29" s="22">
        <f t="shared" ca="1" si="26"/>
        <v>2600000</v>
      </c>
      <c r="X29" s="22">
        <f t="shared" ca="1" si="27"/>
        <v>2600000</v>
      </c>
      <c r="Y29" s="22">
        <f t="shared" si="4"/>
        <v>40000000</v>
      </c>
      <c r="Z29" s="22">
        <f t="shared" ca="1" si="28"/>
        <v>2600000</v>
      </c>
      <c r="AA29" s="22">
        <f t="shared" ca="1" si="5"/>
        <v>2600000</v>
      </c>
      <c r="AB29" s="22">
        <f ca="1">IF(R30=0,R29*Q12,(R28*20+R29*10))</f>
        <v>1133333000</v>
      </c>
      <c r="AC29" s="22">
        <f t="shared" ca="1" si="6"/>
        <v>0</v>
      </c>
      <c r="AD29" s="22">
        <f t="shared" ca="1" si="7"/>
        <v>0</v>
      </c>
      <c r="AE29" s="22">
        <f t="shared" ca="1" si="29"/>
        <v>0</v>
      </c>
      <c r="AF29" s="22">
        <f t="shared" ca="1" si="8"/>
        <v>0</v>
      </c>
      <c r="AG29" s="22">
        <f t="shared" ca="1" si="30"/>
        <v>0</v>
      </c>
      <c r="AH29" s="22">
        <f t="shared" ca="1" si="9"/>
        <v>0</v>
      </c>
      <c r="AI29" s="22">
        <f t="shared" ca="1" si="10"/>
        <v>37333320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1"/>
        <v>6</v>
      </c>
      <c r="AM29" s="69">
        <f t="shared" ca="1" si="11"/>
        <v>6</v>
      </c>
      <c r="AN29" s="4">
        <f t="shared" ca="1" si="32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3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A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45493</v>
      </c>
      <c r="C30" s="401"/>
      <c r="D30" s="443">
        <f ca="1">IF(N30=0,IF(N29=1,D25+D26+D27+D28+D29," "),IF(N30=0,0,IF(N31=1,D25,IF(N31=0,D10-D25*(M14-1)," "))))</f>
        <v>666670</v>
      </c>
      <c r="E30" s="443"/>
      <c r="F30" s="84">
        <f ca="1">IF(N30=0,IF(N29=1,F25+F26+F27+F28+F29," "),IF(M1=1,P30,IF(M1=2,Q30," ")))</f>
        <v>2412220</v>
      </c>
      <c r="G30" s="84">
        <v>0</v>
      </c>
      <c r="H30" s="84">
        <f t="shared" ca="1" si="19"/>
        <v>3078890</v>
      </c>
      <c r="I30" s="84">
        <f t="shared" ca="1" si="20"/>
        <v>727270</v>
      </c>
      <c r="J30" s="84">
        <f t="shared" ca="1" si="0"/>
        <v>2600000</v>
      </c>
      <c r="K30" s="84">
        <v>0</v>
      </c>
      <c r="L30" s="84">
        <f t="shared" ca="1" si="21"/>
        <v>3327270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2412220</v>
      </c>
      <c r="Q30" s="22">
        <f t="shared" ca="1" si="3"/>
        <v>2412220</v>
      </c>
      <c r="R30" s="22">
        <f t="shared" ca="1" si="23"/>
        <v>36666650</v>
      </c>
      <c r="S30" s="22">
        <f t="shared" si="24"/>
        <v>727272.72727272729</v>
      </c>
      <c r="T30" s="22">
        <f t="shared" si="25"/>
        <v>727270</v>
      </c>
      <c r="U30" s="22">
        <f ca="1">IF(N31=1,R29*D11*20/36000+R30*D11*10/36000,IF(N31=0,IF(N30=0,0,R30*D11*Q12/36000+R29*D11*20/36000+R30*D11*10/36000)))</f>
        <v>2412221.2833333332</v>
      </c>
      <c r="V30" s="22">
        <f ca="1">IF(N31=1,R29*D11*20/36000+R30*D11*10/36000,IF(N31=0,IF(N30=0,0,R30*D11*Q12/36000+R29*D11*20/36000+R30*D11*10/36000)))</f>
        <v>2412221.2833333332</v>
      </c>
      <c r="W30" s="22">
        <f t="shared" ca="1" si="26"/>
        <v>2600000</v>
      </c>
      <c r="X30" s="22">
        <f t="shared" ca="1" si="27"/>
        <v>2600000</v>
      </c>
      <c r="Y30" s="22">
        <f t="shared" si="4"/>
        <v>40000000</v>
      </c>
      <c r="Z30" s="22">
        <f t="shared" ca="1" si="28"/>
        <v>2600000</v>
      </c>
      <c r="AA30" s="22">
        <f t="shared" ca="1" si="5"/>
        <v>2600000</v>
      </c>
      <c r="AB30" s="22">
        <f ca="1">IF(R31=0,R30*Q12,(R29*20+R30*10))</f>
        <v>1113332900</v>
      </c>
      <c r="AC30" s="22">
        <f t="shared" ca="1" si="6"/>
        <v>0</v>
      </c>
      <c r="AD30" s="22">
        <f t="shared" ca="1" si="7"/>
        <v>0</v>
      </c>
      <c r="AE30" s="22">
        <f t="shared" ca="1" si="29"/>
        <v>0</v>
      </c>
      <c r="AF30" s="22">
        <f t="shared" ca="1" si="8"/>
        <v>0</v>
      </c>
      <c r="AG30" s="22">
        <f t="shared" ca="1" si="30"/>
        <v>0</v>
      </c>
      <c r="AH30" s="22">
        <f t="shared" ca="1" si="9"/>
        <v>0</v>
      </c>
      <c r="AI30" s="22">
        <f t="shared" ca="1" si="10"/>
        <v>36666650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1"/>
        <v>7</v>
      </c>
      <c r="AM30" s="69">
        <f t="shared" ca="1" si="11"/>
        <v>7</v>
      </c>
      <c r="AN30" s="4">
        <f t="shared" ca="1" si="32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3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A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45524</v>
      </c>
      <c r="C31" s="401"/>
      <c r="D31" s="443">
        <f ca="1">IF(N31=0,IF(N30=1,D25+D26+D27+D28+D29+D30," "),IF(N31=0," ",IF(N32=1,D25,IF(N32=0,D10-D25*(M14-1)," "))))</f>
        <v>666670</v>
      </c>
      <c r="E31" s="443"/>
      <c r="F31" s="84">
        <f ca="1">IF(N31=0,IF(N30=1,F25+F26+F27+F28+F29+F30," "),IF(M1=1,P31,IF(M1=2,Q31," ")))</f>
        <v>2368890</v>
      </c>
      <c r="G31" s="84">
        <v>0</v>
      </c>
      <c r="H31" s="84">
        <f t="shared" ca="1" si="19"/>
        <v>3035560</v>
      </c>
      <c r="I31" s="84">
        <f t="shared" ca="1" si="20"/>
        <v>740740</v>
      </c>
      <c r="J31" s="84">
        <f t="shared" ca="1" si="0"/>
        <v>2600000</v>
      </c>
      <c r="K31" s="84">
        <v>0</v>
      </c>
      <c r="L31" s="84">
        <f t="shared" ca="1" si="21"/>
        <v>3340740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2368890</v>
      </c>
      <c r="Q31" s="22">
        <f t="shared" ca="1" si="3"/>
        <v>2368890</v>
      </c>
      <c r="R31" s="22">
        <f t="shared" ca="1" si="23"/>
        <v>35999980</v>
      </c>
      <c r="S31" s="22">
        <f t="shared" ca="1" si="24"/>
        <v>666670</v>
      </c>
      <c r="T31" s="22">
        <f t="shared" ca="1" si="25"/>
        <v>666670</v>
      </c>
      <c r="U31" s="22">
        <f ca="1">IF(N32=1,R30*D11*20/36000+R31*D11*10/36000,IF(N32=0,IF(N31=0,0,R31*D11*Q12/36000)))</f>
        <v>2368887.7333333334</v>
      </c>
      <c r="V31" s="22">
        <f ca="1">IF(N32=1,R30*D11*20/36000+R31*D11*10/36000,IF(N32=0,IF(N31=0,0,R31*D11*Q12/36000)))</f>
        <v>2368887.7333333334</v>
      </c>
      <c r="W31" s="22">
        <f t="shared" ca="1" si="26"/>
        <v>2600000</v>
      </c>
      <c r="X31" s="22">
        <f t="shared" ca="1" si="27"/>
        <v>2600000</v>
      </c>
      <c r="Y31" s="22">
        <f t="shared" si="4"/>
        <v>40000000</v>
      </c>
      <c r="Z31" s="22">
        <f t="shared" ca="1" si="28"/>
        <v>2600000</v>
      </c>
      <c r="AA31" s="22">
        <f t="shared" ca="1" si="5"/>
        <v>2600000</v>
      </c>
      <c r="AB31" s="22">
        <f ca="1">IF(R32=0,R31*Q12,(R30*20+R31*10))</f>
        <v>1093332800</v>
      </c>
      <c r="AC31" s="22">
        <f t="shared" ca="1" si="6"/>
        <v>0</v>
      </c>
      <c r="AD31" s="22">
        <f t="shared" ca="1" si="7"/>
        <v>0</v>
      </c>
      <c r="AE31" s="22">
        <f t="shared" ca="1" si="29"/>
        <v>0</v>
      </c>
      <c r="AF31" s="22">
        <f t="shared" ca="1" si="8"/>
        <v>0</v>
      </c>
      <c r="AG31" s="22">
        <f t="shared" ca="1" si="30"/>
        <v>0</v>
      </c>
      <c r="AH31" s="22">
        <f t="shared" ca="1" si="9"/>
        <v>0</v>
      </c>
      <c r="AI31" s="22">
        <f t="shared" ca="1" si="10"/>
        <v>35999980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1"/>
        <v>8</v>
      </c>
      <c r="AM31" s="69">
        <f t="shared" ca="1" si="11"/>
        <v>8</v>
      </c>
      <c r="AN31" s="4">
        <f t="shared" ca="1" si="32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3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A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45555</v>
      </c>
      <c r="C32" s="401"/>
      <c r="D32" s="443">
        <f ca="1">IF(N32=0,IF(N31=1,D25+D26+D27+D28+D29+D30+D31," "),IF(N32=0," ",IF(N33=1,D25,IF(N33=0,D10-D25*(M14-1)," "))))</f>
        <v>666670</v>
      </c>
      <c r="E32" s="443"/>
      <c r="F32" s="84">
        <f ca="1">IF(N32=0,IF(N31=1,F25+F26+F27+F28+F29+F30+F31," "),IF(M1=1,P32,IF(M1=2,Q32," ")))</f>
        <v>2325550</v>
      </c>
      <c r="G32" s="84">
        <v>0</v>
      </c>
      <c r="H32" s="84">
        <f t="shared" ca="1" si="19"/>
        <v>2992220</v>
      </c>
      <c r="I32" s="84">
        <f t="shared" ca="1" si="20"/>
        <v>740740</v>
      </c>
      <c r="J32" s="84">
        <f t="shared" ca="1" si="0"/>
        <v>2583950</v>
      </c>
      <c r="K32" s="84">
        <v>0</v>
      </c>
      <c r="L32" s="84">
        <f t="shared" ca="1" si="21"/>
        <v>3324690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2325550</v>
      </c>
      <c r="Q32" s="22">
        <f t="shared" ca="1" si="3"/>
        <v>2325550</v>
      </c>
      <c r="R32" s="22">
        <f t="shared" ca="1" si="23"/>
        <v>35333310</v>
      </c>
      <c r="S32" s="22">
        <f t="shared" ca="1" si="24"/>
        <v>666670</v>
      </c>
      <c r="T32" s="22">
        <f t="shared" ca="1" si="25"/>
        <v>666670</v>
      </c>
      <c r="U32" s="22">
        <f ca="1">IF(N33=1,R31*D11*20/36000+R32*D11*10/36000,IF(N33=0,IF(N32=0,0,R32*D11*Q12/36000+R31*D11*20/36000+R32*D11*10/36000)))</f>
        <v>2325554.1833333336</v>
      </c>
      <c r="V32" s="22">
        <f ca="1">IF(N33=1,R31*D11*20/36000+R32*D11*10/36000,IF(N33=0,IF(N32=0,0,R32*D11*Q12/36000+R31*D11*20/36000+R32*D11*10/36000)))</f>
        <v>2325554.1833333336</v>
      </c>
      <c r="W32" s="22">
        <f t="shared" ca="1" si="26"/>
        <v>2600000</v>
      </c>
      <c r="X32" s="22">
        <f t="shared" ca="1" si="27"/>
        <v>2600000</v>
      </c>
      <c r="Y32" s="22">
        <f t="shared" ca="1" si="4"/>
        <v>39259260</v>
      </c>
      <c r="Z32" s="22">
        <f t="shared" ca="1" si="28"/>
        <v>2583950.6333333333</v>
      </c>
      <c r="AA32" s="22">
        <f t="shared" ca="1" si="5"/>
        <v>2583950</v>
      </c>
      <c r="AB32" s="22">
        <f ca="1">IF(R33=0,R32*Q12,(R31*20+R32*10))</f>
        <v>1073332700</v>
      </c>
      <c r="AC32" s="22">
        <f t="shared" ca="1" si="6"/>
        <v>0</v>
      </c>
      <c r="AD32" s="22">
        <f t="shared" ca="1" si="7"/>
        <v>0</v>
      </c>
      <c r="AE32" s="22">
        <f t="shared" ca="1" si="29"/>
        <v>0</v>
      </c>
      <c r="AF32" s="22">
        <f t="shared" ca="1" si="8"/>
        <v>0</v>
      </c>
      <c r="AG32" s="22">
        <f t="shared" ca="1" si="30"/>
        <v>0</v>
      </c>
      <c r="AH32" s="22">
        <f t="shared" ca="1" si="9"/>
        <v>0</v>
      </c>
      <c r="AI32" s="22">
        <f t="shared" ca="1" si="10"/>
        <v>35333310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1"/>
        <v>9</v>
      </c>
      <c r="AM32" s="69">
        <f t="shared" ca="1" si="11"/>
        <v>9</v>
      </c>
      <c r="AN32" s="4">
        <f t="shared" ca="1" si="32"/>
        <v>2024</v>
      </c>
      <c r="AO32" s="4">
        <f t="shared" ca="1" si="12"/>
        <v>2024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3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A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45585</v>
      </c>
      <c r="C33" s="401"/>
      <c r="D33" s="443">
        <f ca="1">IF(N33=0,IF(N32=1,D25+D26+D27+D28+D29+D30+D31+D32," "),IF(N33=0," ",IF(N34=1,D25,IF(N34=0,D10-D25*(M14-1)," "))))</f>
        <v>666670</v>
      </c>
      <c r="E33" s="443"/>
      <c r="F33" s="84">
        <f ca="1">IF(N33=0,IF(N32=1,F25+F26+F27+F28+F29+F30+F31+F32," "),IF(M1=1,P33,IF(M1=2,Q33," ")))</f>
        <v>2282220</v>
      </c>
      <c r="G33" s="84">
        <v>0</v>
      </c>
      <c r="H33" s="84">
        <f t="shared" ca="1" si="19"/>
        <v>2948890</v>
      </c>
      <c r="I33" s="84">
        <f t="shared" ca="1" si="20"/>
        <v>740740</v>
      </c>
      <c r="J33" s="84">
        <f t="shared" ca="1" si="0"/>
        <v>2535800</v>
      </c>
      <c r="K33" s="84">
        <v>0</v>
      </c>
      <c r="L33" s="84">
        <f t="shared" ca="1" si="21"/>
        <v>3276540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2282220</v>
      </c>
      <c r="Q33" s="22">
        <f t="shared" ca="1" si="3"/>
        <v>2282220</v>
      </c>
      <c r="R33" s="22">
        <f t="shared" ca="1" si="23"/>
        <v>34666640</v>
      </c>
      <c r="S33" s="22">
        <f t="shared" ca="1" si="24"/>
        <v>666670</v>
      </c>
      <c r="T33" s="22">
        <f t="shared" ca="1" si="25"/>
        <v>666670</v>
      </c>
      <c r="U33" s="22">
        <f ca="1">IF(N34=1,R32*D11*20/36000+R33*D11*10/36000,IF(N34=0,IF(N33=0,0,R33*D11*Q12/36000+R32*D11*20/36000+R33*D11*10/36000)))</f>
        <v>2282220.6333333333</v>
      </c>
      <c r="V33" s="22">
        <f ca="1">IF(N34=1,R32*D11*20/36000+R33*D11*10/36000,IF(N34=0,IF(N33=0,0,R33*D11*Q12/36000+R32*D11*20/36000+R33*D11*10/36000)))</f>
        <v>2282220.6333333333</v>
      </c>
      <c r="W33" s="22">
        <f t="shared" ca="1" si="26"/>
        <v>2600000</v>
      </c>
      <c r="X33" s="22">
        <f t="shared" ca="1" si="27"/>
        <v>2600000</v>
      </c>
      <c r="Y33" s="22">
        <f t="shared" ca="1" si="4"/>
        <v>38518520</v>
      </c>
      <c r="Z33" s="22">
        <f t="shared" ca="1" si="28"/>
        <v>2535802.5333333332</v>
      </c>
      <c r="AA33" s="22">
        <f t="shared" ca="1" si="5"/>
        <v>2535800</v>
      </c>
      <c r="AB33" s="22">
        <f ca="1">IF(R34=0,R33*Q12,(R32*20+R33*10))</f>
        <v>1053332600</v>
      </c>
      <c r="AC33" s="22">
        <f t="shared" ca="1" si="6"/>
        <v>0</v>
      </c>
      <c r="AD33" s="22">
        <f t="shared" ca="1" si="7"/>
        <v>0</v>
      </c>
      <c r="AE33" s="22">
        <f t="shared" ca="1" si="29"/>
        <v>0</v>
      </c>
      <c r="AF33" s="22">
        <f t="shared" ca="1" si="8"/>
        <v>0</v>
      </c>
      <c r="AG33" s="22">
        <f t="shared" ca="1" si="30"/>
        <v>0</v>
      </c>
      <c r="AH33" s="22">
        <f t="shared" ca="1" si="9"/>
        <v>0</v>
      </c>
      <c r="AI33" s="22">
        <f t="shared" ca="1" si="10"/>
        <v>34666640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1"/>
        <v>10</v>
      </c>
      <c r="AM33" s="69">
        <f t="shared" ca="1" si="11"/>
        <v>10</v>
      </c>
      <c r="AN33" s="4">
        <f t="shared" ca="1" si="32"/>
        <v>2024</v>
      </c>
      <c r="AO33" s="4">
        <f t="shared" ca="1" si="12"/>
        <v>2024</v>
      </c>
      <c r="AP33" s="4">
        <f t="shared" ca="1" si="13"/>
        <v>1</v>
      </c>
      <c r="AQ33" s="4">
        <f t="shared" ca="1" si="14"/>
        <v>30</v>
      </c>
      <c r="AR33" s="4">
        <f t="shared" si="15"/>
        <v>20</v>
      </c>
      <c r="AS33" s="4">
        <f t="shared" ca="1" si="33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A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45616</v>
      </c>
      <c r="C34" s="401"/>
      <c r="D34" s="443">
        <f ca="1">IF(N34=0,IF(N33=1,D25+D26+D27+D28+D29+D30+D31+D32+D33," "),IF(N34=0," ",IF(N35=1,D25,IF(N35=0,D10-D25*(M14-1)," "))))</f>
        <v>666670</v>
      </c>
      <c r="E34" s="443"/>
      <c r="F34" s="84">
        <f ca="1">IF(N34=0,IF(N33=1,F25+F26+F27+F28+F29+F30+F31+F32+F33," "),IF(M1=1,P34,IF(M1=2,Q34," ")))</f>
        <v>2238890</v>
      </c>
      <c r="G34" s="84">
        <v>0</v>
      </c>
      <c r="H34" s="84">
        <f t="shared" ca="1" si="19"/>
        <v>2905560</v>
      </c>
      <c r="I34" s="84">
        <f t="shared" ca="1" si="20"/>
        <v>740740</v>
      </c>
      <c r="J34" s="84">
        <f t="shared" ca="1" si="0"/>
        <v>2487650</v>
      </c>
      <c r="K34" s="84">
        <v>0</v>
      </c>
      <c r="L34" s="84">
        <f t="shared" ca="1" si="21"/>
        <v>3228390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2238890</v>
      </c>
      <c r="Q34" s="22">
        <f t="shared" ca="1" si="3"/>
        <v>2238890</v>
      </c>
      <c r="R34" s="22">
        <f t="shared" ca="1" si="23"/>
        <v>33999970</v>
      </c>
      <c r="S34" s="22">
        <f t="shared" ca="1" si="24"/>
        <v>666670</v>
      </c>
      <c r="T34" s="22">
        <f t="shared" ca="1" si="25"/>
        <v>666670</v>
      </c>
      <c r="U34" s="22">
        <f ca="1">IF(N35=1,R33*D11*20/36000+R34*D11*10/36000,IF(N35=0,IF(N34=0,0,R34*D11*Q12/36000+29*D11*20/36000+R34*D11*10/36000)))</f>
        <v>2238887.0833333335</v>
      </c>
      <c r="V34" s="22">
        <f ca="1">IF(N35=1,R33*D11*20/36000+R34*D11*10/36000,IF(N35=0,IF(N34=0,0,R34*D11*Q12/36000+29*D11*20/36000+R34*D11*10/36000)))</f>
        <v>2238887.0833333335</v>
      </c>
      <c r="W34" s="22">
        <f t="shared" ca="1" si="26"/>
        <v>2600000</v>
      </c>
      <c r="X34" s="22">
        <f t="shared" ca="1" si="27"/>
        <v>2600000</v>
      </c>
      <c r="Y34" s="22">
        <f t="shared" ca="1" si="4"/>
        <v>37777780</v>
      </c>
      <c r="Z34" s="22">
        <f t="shared" ca="1" si="28"/>
        <v>2487654.4333333336</v>
      </c>
      <c r="AA34" s="22">
        <f t="shared" ca="1" si="5"/>
        <v>2487650</v>
      </c>
      <c r="AB34" s="22">
        <f ca="1">IF(R35=0,R34*Q12,(R33*20+R34*10))</f>
        <v>1033332500</v>
      </c>
      <c r="AC34" s="22">
        <f t="shared" ca="1" si="6"/>
        <v>0</v>
      </c>
      <c r="AD34" s="22">
        <f t="shared" ca="1" si="7"/>
        <v>0</v>
      </c>
      <c r="AE34" s="22">
        <f t="shared" ca="1" si="29"/>
        <v>0</v>
      </c>
      <c r="AF34" s="22">
        <f t="shared" ca="1" si="8"/>
        <v>0</v>
      </c>
      <c r="AG34" s="22">
        <f t="shared" ca="1" si="30"/>
        <v>0</v>
      </c>
      <c r="AH34" s="22">
        <f t="shared" ca="1" si="9"/>
        <v>0</v>
      </c>
      <c r="AI34" s="22">
        <f t="shared" ca="1" si="10"/>
        <v>33999970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1"/>
        <v>11</v>
      </c>
      <c r="AM34" s="69">
        <f t="shared" ca="1" si="11"/>
        <v>11</v>
      </c>
      <c r="AN34" s="4">
        <f t="shared" ca="1" si="32"/>
        <v>2024</v>
      </c>
      <c r="AO34" s="4">
        <f t="shared" ca="1" si="12"/>
        <v>2024</v>
      </c>
      <c r="AP34" s="4">
        <f t="shared" ca="1" si="13"/>
        <v>1</v>
      </c>
      <c r="AQ34" s="4">
        <f t="shared" ca="1" si="14"/>
        <v>30</v>
      </c>
      <c r="AR34" s="4">
        <f t="shared" si="15"/>
        <v>20</v>
      </c>
      <c r="AS34" s="4">
        <f t="shared" ca="1" si="33"/>
        <v>30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A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45646</v>
      </c>
      <c r="C35" s="401"/>
      <c r="D35" s="443">
        <f ca="1">IF(N35=0,IF(N34=1,D25+D26+D27+D28+D29+D30+D31+D32+D33+D34," "),IF(N35=0," ",IF(N36=1,D25,IF(N36=0,D10-D25*(M14-1)," "))))</f>
        <v>666670</v>
      </c>
      <c r="E35" s="443"/>
      <c r="F35" s="84">
        <f ca="1">IF(N35=0,IF(N34=1,F25+F26+F27+F28+F29+F30+F31+F32+F33+F34," "),IF(M1=1,P35,IF(M1=2,Q35," ")))</f>
        <v>2195550</v>
      </c>
      <c r="G35" s="84">
        <v>0</v>
      </c>
      <c r="H35" s="84">
        <f t="shared" ca="1" si="19"/>
        <v>2862220</v>
      </c>
      <c r="I35" s="84">
        <f t="shared" ca="1" si="20"/>
        <v>740740</v>
      </c>
      <c r="J35" s="84">
        <f t="shared" ca="1" si="0"/>
        <v>2439510</v>
      </c>
      <c r="K35" s="84">
        <v>0</v>
      </c>
      <c r="L35" s="84">
        <f t="shared" ca="1" si="21"/>
        <v>3180250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2195550</v>
      </c>
      <c r="Q35" s="22">
        <f t="shared" ca="1" si="3"/>
        <v>2195550</v>
      </c>
      <c r="R35" s="22">
        <f t="shared" ca="1" si="23"/>
        <v>33333300</v>
      </c>
      <c r="S35" s="22">
        <f t="shared" ca="1" si="24"/>
        <v>666670</v>
      </c>
      <c r="T35" s="22">
        <f t="shared" ca="1" si="25"/>
        <v>666670</v>
      </c>
      <c r="U35" s="22">
        <f ca="1">IF(N36=1,R34*D11*20/36000+R35*D11*10/36000,IF(N36=0,IF(N35=0,0,R35*D11*Q12/36000+R34*D11*20/36000+R35*D11*10/36000)))</f>
        <v>2195553.5333333332</v>
      </c>
      <c r="V35" s="22">
        <f ca="1">IF(N36=1,R34*D11*20/36000+R35*D11*10/36000,IF(N36=0,IF(N35=0,0,R35*D11*Q12/36000+R34*D11*20/36000+R35*D11*10/36000)))</f>
        <v>2195553.5333333332</v>
      </c>
      <c r="W35" s="22">
        <f t="shared" ca="1" si="26"/>
        <v>2600000</v>
      </c>
      <c r="X35" s="22">
        <f t="shared" ca="1" si="27"/>
        <v>2600000</v>
      </c>
      <c r="Y35" s="22">
        <f t="shared" ca="1" si="4"/>
        <v>37037040</v>
      </c>
      <c r="Z35" s="22">
        <f t="shared" ca="1" si="28"/>
        <v>2439506.333333333</v>
      </c>
      <c r="AA35" s="22">
        <f t="shared" ca="1" si="5"/>
        <v>2439510</v>
      </c>
      <c r="AB35" s="22">
        <f ca="1">IF(R36=0,R35*Q12,(R34*20+R35*10))</f>
        <v>1013332400</v>
      </c>
      <c r="AC35" s="22">
        <f t="shared" ca="1" si="6"/>
        <v>0</v>
      </c>
      <c r="AD35" s="22">
        <f t="shared" ca="1" si="7"/>
        <v>0</v>
      </c>
      <c r="AE35" s="22">
        <f t="shared" ca="1" si="29"/>
        <v>0</v>
      </c>
      <c r="AF35" s="22">
        <f t="shared" ca="1" si="8"/>
        <v>0</v>
      </c>
      <c r="AG35" s="22">
        <f t="shared" ca="1" si="30"/>
        <v>0</v>
      </c>
      <c r="AH35" s="22">
        <f t="shared" ca="1" si="9"/>
        <v>0</v>
      </c>
      <c r="AI35" s="22">
        <f t="shared" ca="1" si="10"/>
        <v>33333300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1"/>
        <v>12</v>
      </c>
      <c r="AM35" s="69">
        <f t="shared" ca="1" si="11"/>
        <v>12</v>
      </c>
      <c r="AN35" s="4">
        <f t="shared" ca="1" si="32"/>
        <v>2024</v>
      </c>
      <c r="AO35" s="4">
        <f t="shared" ca="1" si="12"/>
        <v>2024</v>
      </c>
      <c r="AP35" s="4">
        <f t="shared" ca="1" si="13"/>
        <v>1</v>
      </c>
      <c r="AQ35" s="4">
        <f t="shared" ca="1" si="14"/>
        <v>30</v>
      </c>
      <c r="AR35" s="4">
        <f t="shared" si="15"/>
        <v>20</v>
      </c>
      <c r="AS35" s="4">
        <f t="shared" ca="1" si="33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A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45677</v>
      </c>
      <c r="C36" s="401"/>
      <c r="D36" s="443">
        <f ca="1">IF(N36=0,IF(N35=1,D25+D26+D27+D28+D29+D30+D31+D32+D33+D34+D35," "),IF(N36=0," ",IF(N37=1,D25,IF(N37=0,D10-D25*(M14-1)," "))))</f>
        <v>666670</v>
      </c>
      <c r="E36" s="443"/>
      <c r="F36" s="84">
        <f ca="1">IF(N36=0,IF(N35=1,F25+F26+F27+F28+F29+F30+F31+F32+F33+F34+F35," "),IF(M1=1,P36,IF(M1=2,Q36," ")))</f>
        <v>2152220</v>
      </c>
      <c r="G36" s="84">
        <v>0</v>
      </c>
      <c r="H36" s="84">
        <f t="shared" ca="1" si="19"/>
        <v>2818890</v>
      </c>
      <c r="I36" s="84">
        <f t="shared" ca="1" si="20"/>
        <v>740740</v>
      </c>
      <c r="J36" s="84">
        <f t="shared" ca="1" si="0"/>
        <v>2391360</v>
      </c>
      <c r="K36" s="84">
        <v>0</v>
      </c>
      <c r="L36" s="84">
        <f t="shared" ca="1" si="21"/>
        <v>3132100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2152220</v>
      </c>
      <c r="Q36" s="22">
        <f t="shared" ca="1" si="3"/>
        <v>2152220</v>
      </c>
      <c r="R36" s="22">
        <f t="shared" ca="1" si="23"/>
        <v>32666630</v>
      </c>
      <c r="S36" s="22">
        <f t="shared" ca="1" si="24"/>
        <v>666670</v>
      </c>
      <c r="T36" s="22">
        <f t="shared" ca="1" si="25"/>
        <v>666670</v>
      </c>
      <c r="U36" s="22">
        <f ca="1">IF(N37=1,R35*D11*20/36000+R36*D11*10/36000,IF(N37=0,IF(N36=0,0,R36*D11*Q12/36000+R35*D11*20/36000+R36*D11*10/36000)))</f>
        <v>2152219.9833333334</v>
      </c>
      <c r="V36" s="22">
        <f ca="1">IF(N37=1,R35*D11*20/36000+R36*D11*10/36000,IF(N37=0,IF(N36=0,0,R36*D11*Q12/36000+R35*D11*20/36000+R36*D11*10/36000)))</f>
        <v>2152219.9833333334</v>
      </c>
      <c r="W36" s="22">
        <f t="shared" ca="1" si="26"/>
        <v>2600000</v>
      </c>
      <c r="X36" s="22">
        <f t="shared" ca="1" si="27"/>
        <v>2600000</v>
      </c>
      <c r="Y36" s="22">
        <f t="shared" ca="1" si="4"/>
        <v>36296300</v>
      </c>
      <c r="Z36" s="22">
        <f t="shared" ca="1" si="28"/>
        <v>2391358.2333333334</v>
      </c>
      <c r="AA36" s="22">
        <f t="shared" ca="1" si="5"/>
        <v>2391360</v>
      </c>
      <c r="AB36" s="22">
        <f ca="1">IF(R37=0,R36*Q12,(R35*20+R36*10))</f>
        <v>993332300</v>
      </c>
      <c r="AC36" s="22">
        <f t="shared" ca="1" si="6"/>
        <v>0</v>
      </c>
      <c r="AD36" s="22">
        <f t="shared" ca="1" si="7"/>
        <v>0</v>
      </c>
      <c r="AE36" s="22">
        <f t="shared" ca="1" si="29"/>
        <v>0</v>
      </c>
      <c r="AF36" s="22">
        <f t="shared" ca="1" si="8"/>
        <v>0</v>
      </c>
      <c r="AG36" s="22">
        <f t="shared" ca="1" si="30"/>
        <v>0</v>
      </c>
      <c r="AH36" s="22">
        <f t="shared" ca="1" si="9"/>
        <v>0</v>
      </c>
      <c r="AI36" s="22">
        <f t="shared" ca="1" si="10"/>
        <v>32666630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1"/>
        <v>13</v>
      </c>
      <c r="AM36" s="69">
        <f t="shared" ca="1" si="11"/>
        <v>1</v>
      </c>
      <c r="AN36" s="4">
        <f t="shared" ca="1" si="32"/>
        <v>2024</v>
      </c>
      <c r="AO36" s="4">
        <f t="shared" ca="1" si="12"/>
        <v>2025</v>
      </c>
      <c r="AP36" s="4">
        <f t="shared" ca="1" si="13"/>
        <v>1</v>
      </c>
      <c r="AQ36" s="4">
        <f t="shared" ca="1" si="14"/>
        <v>30</v>
      </c>
      <c r="AR36" s="4">
        <f t="shared" si="15"/>
        <v>20</v>
      </c>
      <c r="AS36" s="4">
        <f t="shared" ca="1" si="33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A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45708</v>
      </c>
      <c r="C37" s="401"/>
      <c r="D37" s="443">
        <f ca="1">IF(N37=0,IF(N36=1,D25+D26+D27+D28+D29+D30+D31+D32+D33+D34+D35+D36," "),IF(N37=0," ",IF(N38=1,D25,IF(N38=0,D10-D25*(M14-1)," "))))</f>
        <v>666670</v>
      </c>
      <c r="E37" s="443"/>
      <c r="F37" s="84">
        <f ca="1">IF(N37=0,IF(N36=1,F25+F26+F27+F28+F29+F30+F31+F32+F33+F34+F35+F36," "),IF(M1=1,P37,IF(M1=2,Q37," ")))</f>
        <v>2108890</v>
      </c>
      <c r="G37" s="84">
        <v>0</v>
      </c>
      <c r="H37" s="84">
        <f t="shared" ca="1" si="19"/>
        <v>2775560</v>
      </c>
      <c r="I37" s="84">
        <f t="shared" ca="1" si="20"/>
        <v>740740</v>
      </c>
      <c r="J37" s="84">
        <f t="shared" ca="1" si="0"/>
        <v>2343210</v>
      </c>
      <c r="K37" s="84">
        <v>0</v>
      </c>
      <c r="L37" s="84">
        <f t="shared" ca="1" si="21"/>
        <v>3083950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2108890</v>
      </c>
      <c r="Q37" s="22">
        <f t="shared" ca="1" si="3"/>
        <v>2108890</v>
      </c>
      <c r="R37" s="22">
        <f t="shared" ca="1" si="23"/>
        <v>31999960</v>
      </c>
      <c r="S37" s="22">
        <f t="shared" ca="1" si="24"/>
        <v>666670</v>
      </c>
      <c r="T37" s="22">
        <f t="shared" ca="1" si="25"/>
        <v>666670</v>
      </c>
      <c r="U37" s="22">
        <f ca="1">IF(N38=1,R36*D$11*20/36000+R37*D$11*10/36000,IF(N38=0,IF(N37=0,0,IF(D16&gt;20,R36*D$11*20/36000+R37*D$11*(Q$12-20)/36000,R37*D$11*Q$12/36000))))</f>
        <v>2108886.4333333331</v>
      </c>
      <c r="V37" s="22">
        <f ca="1">IF(N38=1,R36*D$11*20/36000+R37*D$11*10/36000,IF(N38=0,IF(N37=0,0,IF(D16&gt;20,R36*D$11*20/36000+R37*D$11*(Q$12-20)/36000,R37*D$11*Q$12/36000))))</f>
        <v>2108886.4333333331</v>
      </c>
      <c r="W37" s="22">
        <f t="shared" ca="1" si="26"/>
        <v>2600000</v>
      </c>
      <c r="X37" s="22">
        <f t="shared" ca="1" si="27"/>
        <v>2600000</v>
      </c>
      <c r="Y37" s="22">
        <f t="shared" ca="1" si="4"/>
        <v>35555560</v>
      </c>
      <c r="Z37" s="22">
        <f ca="1">IF(N38=1,Y36*D$11*20/36000+Y37*D$11*10/36000,IF(N38=0,IF(N37=0,0,IF(D$16&gt;20,Y36*D$11*20/36000+Y37*D$11*(Q$12-20)/36000,Y37*D$11*Q$12/36000))))</f>
        <v>2343210.1333333333</v>
      </c>
      <c r="AA37" s="22">
        <f t="shared" ca="1" si="5"/>
        <v>2343210</v>
      </c>
      <c r="AB37" s="22">
        <f ca="1">IF(R38=0,R37*Q12,(R36*20+R37*10))</f>
        <v>973332200</v>
      </c>
      <c r="AC37" s="22">
        <f t="shared" ca="1" si="6"/>
        <v>0</v>
      </c>
      <c r="AD37" s="22">
        <f t="shared" ca="1" si="7"/>
        <v>0</v>
      </c>
      <c r="AE37" s="22">
        <f t="shared" ca="1" si="29"/>
        <v>0</v>
      </c>
      <c r="AF37" s="22">
        <f t="shared" ca="1" si="8"/>
        <v>0</v>
      </c>
      <c r="AG37" s="22">
        <f t="shared" ca="1" si="30"/>
        <v>0</v>
      </c>
      <c r="AH37" s="22">
        <f t="shared" ca="1" si="9"/>
        <v>0</v>
      </c>
      <c r="AI37" s="22">
        <f t="shared" ca="1" si="10"/>
        <v>31999960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1"/>
        <v>2</v>
      </c>
      <c r="AM37" s="69">
        <f t="shared" ca="1" si="11"/>
        <v>2</v>
      </c>
      <c r="AN37" s="4">
        <f t="shared" ca="1" si="32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28</v>
      </c>
      <c r="AR37" s="4">
        <f t="shared" si="15"/>
        <v>20</v>
      </c>
      <c r="AS37" s="4">
        <f t="shared" ca="1" si="33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A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45736</v>
      </c>
      <c r="C38" s="401"/>
      <c r="D38" s="443">
        <f ca="1">IF(N38=0,IF(N37=1,D25+D26+D27+D28+D29+D30+D31+D32+D33+D34+D35+D36+D37," "),IF(N38=0," ",IF(N39=1,D25,IF(N39=0,D10-D25*(M14-1)," "))))</f>
        <v>666670</v>
      </c>
      <c r="E38" s="443"/>
      <c r="F38" s="84">
        <f ca="1">IF(N38=0,IF(N37=1,F25+F26+F27+F28+F29+F30+F31+F32+F33+F34+F35+F36+F37," "),IF(M1=1,P38,IF(M1=2,Q38," ")))</f>
        <v>2065550</v>
      </c>
      <c r="G38" s="84">
        <v>0</v>
      </c>
      <c r="H38" s="84">
        <f t="shared" ca="1" si="19"/>
        <v>2732220</v>
      </c>
      <c r="I38" s="84">
        <f t="shared" ca="1" si="20"/>
        <v>740740</v>
      </c>
      <c r="J38" s="84">
        <f t="shared" ca="1" si="0"/>
        <v>2295060</v>
      </c>
      <c r="K38" s="84">
        <v>0</v>
      </c>
      <c r="L38" s="84">
        <f t="shared" ca="1" si="21"/>
        <v>3035800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2065550</v>
      </c>
      <c r="Q38" s="22">
        <f t="shared" ca="1" si="3"/>
        <v>2065550</v>
      </c>
      <c r="R38" s="22">
        <f t="shared" ca="1" si="23"/>
        <v>31333290</v>
      </c>
      <c r="S38" s="22">
        <f t="shared" ca="1" si="24"/>
        <v>666670</v>
      </c>
      <c r="T38" s="22">
        <f t="shared" ca="1" si="25"/>
        <v>666670</v>
      </c>
      <c r="U38" s="22">
        <f ca="1">IF(N39=1,R37*D11*20/36000+R38*D11*10/36000,IF(N39=0,IF(N38=0,0,R38*D11*Q12/36000+R37*D11*20/36000+R38*D11*10/36000)))</f>
        <v>2065552.8833333333</v>
      </c>
      <c r="V38" s="22">
        <f ca="1">IF(N39=1,R37*D11*20/36000+R38*D11*10/36000,IF(N39=0,IF(N38=0,0,R38*D11*Q12/36000+R37*D11*20/36000+R38*D11*10/36000)))</f>
        <v>2065552.8833333333</v>
      </c>
      <c r="W38" s="22">
        <f t="shared" ca="1" si="26"/>
        <v>2600000</v>
      </c>
      <c r="X38" s="22">
        <f t="shared" ca="1" si="27"/>
        <v>2600000</v>
      </c>
      <c r="Y38" s="22">
        <f t="shared" ca="1" si="4"/>
        <v>34814820</v>
      </c>
      <c r="Z38" s="22">
        <f ca="1">IF(N39=1,Y37*D$11*20/36000+Y38*D$11*10/36000,IF(N39=0,IF(N38=0,0,Y38*D$11*Q$12/36000+Y37*D$11*20/36000+Y38*D$11*10/36000)))</f>
        <v>2295062.0333333332</v>
      </c>
      <c r="AA38" s="22">
        <f t="shared" ca="1" si="5"/>
        <v>2295060</v>
      </c>
      <c r="AB38" s="22">
        <f ca="1">IF(R39=0,R38*Q12,(R37*20+R38*10))</f>
        <v>953332100</v>
      </c>
      <c r="AC38" s="22">
        <f t="shared" ca="1" si="6"/>
        <v>0</v>
      </c>
      <c r="AD38" s="22">
        <f t="shared" ca="1" si="7"/>
        <v>0</v>
      </c>
      <c r="AE38" s="22">
        <f t="shared" ca="1" si="29"/>
        <v>0</v>
      </c>
      <c r="AF38" s="22">
        <f t="shared" ca="1" si="8"/>
        <v>0</v>
      </c>
      <c r="AG38" s="22">
        <f t="shared" ca="1" si="30"/>
        <v>0</v>
      </c>
      <c r="AH38" s="22">
        <f t="shared" ca="1" si="9"/>
        <v>0</v>
      </c>
      <c r="AI38" s="22">
        <f t="shared" ca="1" si="10"/>
        <v>31333290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1"/>
        <v>3</v>
      </c>
      <c r="AM38" s="69">
        <f t="shared" ca="1" si="11"/>
        <v>3</v>
      </c>
      <c r="AN38" s="4">
        <f t="shared" ca="1" si="32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3"/>
        <v>28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A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45767</v>
      </c>
      <c r="C39" s="401"/>
      <c r="D39" s="443">
        <f ca="1">IF(N39=0,IF(N38=1,D25+D26+D27+D28+D29+D30+D31+D32+D33+D34+D35+D36+D37+D38," "),IF(N39=0," ",IF(N40=1,D25,IF(N40=0,D10-D25*(M14-1)," "))))</f>
        <v>666670</v>
      </c>
      <c r="E39" s="443"/>
      <c r="F39" s="84">
        <f ca="1">IF(N39=0,IF(N38=1,F25+F26+F27+F28+F29+F30+F31+F32+F33+F34+F35+F36+F37+F38," "),IF(M1=1,P39,IF(M1=2,Q39," ")))</f>
        <v>2022220</v>
      </c>
      <c r="G39" s="84">
        <v>0</v>
      </c>
      <c r="H39" s="84">
        <f t="shared" ca="1" si="19"/>
        <v>2688890</v>
      </c>
      <c r="I39" s="84">
        <f t="shared" ca="1" si="20"/>
        <v>740740</v>
      </c>
      <c r="J39" s="84">
        <f t="shared" ca="1" si="0"/>
        <v>2246910</v>
      </c>
      <c r="K39" s="84">
        <v>0</v>
      </c>
      <c r="L39" s="84">
        <f t="shared" ca="1" si="21"/>
        <v>2987650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2022220</v>
      </c>
      <c r="Q39" s="22">
        <f t="shared" ca="1" si="3"/>
        <v>2022220</v>
      </c>
      <c r="R39" s="22">
        <f t="shared" ca="1" si="23"/>
        <v>30666620</v>
      </c>
      <c r="S39" s="22">
        <f t="shared" ca="1" si="24"/>
        <v>666670</v>
      </c>
      <c r="T39" s="22">
        <f t="shared" ca="1" si="25"/>
        <v>666670</v>
      </c>
      <c r="U39" s="22">
        <f ca="1">IF(N40=1,R38*D11*20/36000+R39*D11*10/36000,IF(N40=0,IF(N39=0,0,R39*D11*Q12/36000+R38*D11*20/36000+R39*D11*10/36000)))</f>
        <v>2022219.3333333333</v>
      </c>
      <c r="V39" s="22">
        <f ca="1">IF(N40=1,R38*D11*20/36000+R39*D11*10/36000,IF(N40=0,IF(N39=0,0,R39*D11*Q12/36000+R38*D11*20/36000+R39*D11*10/36000)))</f>
        <v>2022219.3333333333</v>
      </c>
      <c r="W39" s="22">
        <f t="shared" ca="1" si="26"/>
        <v>2600000</v>
      </c>
      <c r="X39" s="22">
        <f t="shared" ca="1" si="27"/>
        <v>2600000</v>
      </c>
      <c r="Y39" s="22">
        <f t="shared" ca="1" si="4"/>
        <v>34074080</v>
      </c>
      <c r="Z39" s="22">
        <f ca="1">IF(N40=1,Y38*D$11*20/36000+Y39*D$11*10/36000,IF(N40=0,IF(N39=0,0,Y39*D$11*Q$12/36000+Y38*D$11*20/36000+Y39*D$11*10/36000)))</f>
        <v>2246913.9333333331</v>
      </c>
      <c r="AA39" s="22">
        <f t="shared" ca="1" si="5"/>
        <v>2246910</v>
      </c>
      <c r="AB39" s="22">
        <f ca="1">IF(R40=0,R39*Q12,(R38*20+R39*10))</f>
        <v>933332000</v>
      </c>
      <c r="AC39" s="22">
        <f t="shared" ca="1" si="6"/>
        <v>0</v>
      </c>
      <c r="AD39" s="22">
        <f t="shared" ca="1" si="7"/>
        <v>0</v>
      </c>
      <c r="AE39" s="22">
        <f t="shared" ca="1" si="29"/>
        <v>0</v>
      </c>
      <c r="AF39" s="22">
        <f t="shared" ca="1" si="8"/>
        <v>0</v>
      </c>
      <c r="AG39" s="22">
        <f t="shared" ca="1" si="30"/>
        <v>0</v>
      </c>
      <c r="AH39" s="22">
        <f t="shared" ca="1" si="9"/>
        <v>0</v>
      </c>
      <c r="AI39" s="22">
        <f t="shared" ca="1" si="10"/>
        <v>30666620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1"/>
        <v>4</v>
      </c>
      <c r="AM39" s="69">
        <f t="shared" ca="1" si="11"/>
        <v>4</v>
      </c>
      <c r="AN39" s="4">
        <f t="shared" ca="1" si="32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3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A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45797</v>
      </c>
      <c r="C40" s="401"/>
      <c r="D40" s="443">
        <f ca="1">IF(N40=0,IF(N39=1,D25+D26+D27+D28+D29+D30+D31+D32+D33+D34+D35+D36+D37+D38+D39," "),IF(N40=0," ",IF(N41=1,D25,IF(N41=0,D10-D25*(M14-1)," "))))</f>
        <v>666670</v>
      </c>
      <c r="E40" s="443"/>
      <c r="F40" s="84">
        <f ca="1">IF(N40=0,IF(N39=1,F25+F26+F27+F28+F29+F30+F31+F32+F33+F34+F35+F36+F37+F38+F39," "),IF(M1=1,P40,IF(M1=2,Q40," ")))</f>
        <v>1978890</v>
      </c>
      <c r="G40" s="84">
        <v>0</v>
      </c>
      <c r="H40" s="84">
        <f t="shared" ca="1" si="19"/>
        <v>2645560</v>
      </c>
      <c r="I40" s="84">
        <f t="shared" ca="1" si="20"/>
        <v>740740</v>
      </c>
      <c r="J40" s="84">
        <f t="shared" ca="1" si="0"/>
        <v>2198770</v>
      </c>
      <c r="K40" s="84">
        <v>0</v>
      </c>
      <c r="L40" s="84">
        <f t="shared" ca="1" si="21"/>
        <v>2939510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1978890</v>
      </c>
      <c r="Q40" s="22">
        <f t="shared" ca="1" si="3"/>
        <v>1978890</v>
      </c>
      <c r="R40" s="22">
        <f t="shared" ca="1" si="23"/>
        <v>29999950</v>
      </c>
      <c r="S40" s="22">
        <f t="shared" ca="1" si="24"/>
        <v>666670</v>
      </c>
      <c r="T40" s="22">
        <f t="shared" ca="1" si="25"/>
        <v>666670</v>
      </c>
      <c r="U40" s="22">
        <f ca="1">IF(N41=1,R39*D11*20/36000+R40*D11*10/36000,IF(N41=0,IF(N40=0,0,R40*D11*Q12/36000+R39*D11*20/36000+R40*D11*10/36000)))</f>
        <v>1978885.7833333332</v>
      </c>
      <c r="V40" s="22">
        <f ca="1">IF(N41=1,R39*D11*20/36000+R40*D11*10/36000,IF(N41=0,IF(N40=0,0,R40*D11*Q12/36000+R39*D11*20/36000+R40*D11*10/36000)))</f>
        <v>1978885.7833333332</v>
      </c>
      <c r="W40" s="22">
        <f t="shared" ca="1" si="26"/>
        <v>2600000</v>
      </c>
      <c r="X40" s="22">
        <f t="shared" ca="1" si="27"/>
        <v>2600000</v>
      </c>
      <c r="Y40" s="22">
        <f t="shared" ca="1" si="4"/>
        <v>33333340</v>
      </c>
      <c r="Z40" s="22">
        <f ca="1">IF(N41=1,Y39*D$11*20/36000+Y40*D$11*10/36000,IF(N41=0,IF(N40=0,0,Y40*D$11*Q$12/36000+Y39*D$11*20/36000+Y40*D$11*10/36000)))</f>
        <v>2198765.833333333</v>
      </c>
      <c r="AA40" s="22">
        <f t="shared" ca="1" si="5"/>
        <v>2198770</v>
      </c>
      <c r="AB40" s="22">
        <f ca="1">IF(R41=0,R40*Q12,(R39*20+R40*10))</f>
        <v>913331900</v>
      </c>
      <c r="AC40" s="22">
        <f t="shared" ca="1" si="6"/>
        <v>0</v>
      </c>
      <c r="AD40" s="22">
        <f t="shared" ca="1" si="7"/>
        <v>0</v>
      </c>
      <c r="AE40" s="22">
        <f t="shared" ca="1" si="29"/>
        <v>0</v>
      </c>
      <c r="AF40" s="22">
        <f t="shared" ca="1" si="8"/>
        <v>0</v>
      </c>
      <c r="AG40" s="22">
        <f t="shared" ca="1" si="30"/>
        <v>0</v>
      </c>
      <c r="AH40" s="22">
        <f t="shared" ca="1" si="9"/>
        <v>0</v>
      </c>
      <c r="AI40" s="22">
        <f t="shared" ca="1" si="10"/>
        <v>29999950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1"/>
        <v>5</v>
      </c>
      <c r="AM40" s="69">
        <f t="shared" ca="1" si="11"/>
        <v>5</v>
      </c>
      <c r="AN40" s="4">
        <f t="shared" ca="1" si="32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3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A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45828</v>
      </c>
      <c r="C41" s="401"/>
      <c r="D41" s="443">
        <f ca="1">IF(N41=0,IF(N40=1,D25+D26+D27+D28+D29+D30+D31+D32+D33+D34+D35+D36+D37+D38+D39+D40," "),IF(N41=0," ",IF(N42=1,D25,IF(N42=0,D10-D25*(M14-1)," "))))</f>
        <v>666670</v>
      </c>
      <c r="E41" s="443"/>
      <c r="F41" s="84">
        <f ca="1">IF(N41=0,IF(N40=1,F25+F26+F27+F28+F29+F30+F31+F32+F33+F34+F36+F35+F37+F38+F39+F40," "),IF(M1=1,P41,IF(M1=2,Q41," ")))</f>
        <v>1935550</v>
      </c>
      <c r="G41" s="84">
        <v>0</v>
      </c>
      <c r="H41" s="84">
        <f t="shared" ca="1" si="19"/>
        <v>2602220</v>
      </c>
      <c r="I41" s="84">
        <f t="shared" ca="1" si="20"/>
        <v>740740</v>
      </c>
      <c r="J41" s="84">
        <f t="shared" ca="1" si="0"/>
        <v>2150620</v>
      </c>
      <c r="K41" s="84">
        <v>0</v>
      </c>
      <c r="L41" s="84">
        <f t="shared" ca="1" si="21"/>
        <v>2891360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1935550</v>
      </c>
      <c r="Q41" s="22">
        <f t="shared" ca="1" si="3"/>
        <v>1935550</v>
      </c>
      <c r="R41" s="22">
        <f t="shared" ca="1" si="23"/>
        <v>29333280</v>
      </c>
      <c r="S41" s="22">
        <f t="shared" ca="1" si="24"/>
        <v>666670</v>
      </c>
      <c r="T41" s="22">
        <f t="shared" ca="1" si="25"/>
        <v>666670</v>
      </c>
      <c r="U41" s="22">
        <f ca="1">IF(N42=1,R40*D11*20/36000+R41*D11*10/36000,IF(N42=0,IF(N41=0,0,R41*D11*Q12/36000+R40*D11*20/36000+R41*D11*10/36000)))</f>
        <v>1935552.2333333334</v>
      </c>
      <c r="V41" s="22">
        <f ca="1">IF(N42=1,R40*D11*20/36000+R41*D11*10/36000,IF(N42=0,IF(N41=0,0,R41*D11*Q12/36000+R40*D11*20/36000+R41*D11*10/36000)))</f>
        <v>1935552.2333333334</v>
      </c>
      <c r="W41" s="22">
        <f t="shared" ca="1" si="26"/>
        <v>2600000</v>
      </c>
      <c r="X41" s="22">
        <f t="shared" ca="1" si="27"/>
        <v>2600000</v>
      </c>
      <c r="Y41" s="22">
        <f t="shared" ca="1" si="4"/>
        <v>32592600</v>
      </c>
      <c r="Z41" s="22">
        <f ca="1">IF(N42=1,Y40*D$11*20/36000+Y41*D$11*10/36000,IF(N42=0,IF(N41=0,0,Y41*D$11*Q$12/36000+Y40*D$11*20/36000+Y41*D$11*10/36000)))</f>
        <v>2150617.7333333334</v>
      </c>
      <c r="AA41" s="22">
        <f t="shared" ca="1" si="5"/>
        <v>2150620</v>
      </c>
      <c r="AB41" s="22">
        <f ca="1">IF(R42=0,R41*Q12,(R40*20+R41*10))</f>
        <v>893331800</v>
      </c>
      <c r="AC41" s="22">
        <f t="shared" ca="1" si="6"/>
        <v>0</v>
      </c>
      <c r="AD41" s="22">
        <f t="shared" ca="1" si="7"/>
        <v>0</v>
      </c>
      <c r="AE41" s="22">
        <f t="shared" ca="1" si="29"/>
        <v>0</v>
      </c>
      <c r="AF41" s="22">
        <f t="shared" ca="1" si="8"/>
        <v>0</v>
      </c>
      <c r="AG41" s="22">
        <f t="shared" ca="1" si="30"/>
        <v>0</v>
      </c>
      <c r="AH41" s="22">
        <f t="shared" ca="1" si="9"/>
        <v>0</v>
      </c>
      <c r="AI41" s="22">
        <f t="shared" ca="1" si="10"/>
        <v>29333280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1"/>
        <v>6</v>
      </c>
      <c r="AM41" s="69">
        <f t="shared" ca="1" si="11"/>
        <v>6</v>
      </c>
      <c r="AN41" s="4">
        <f t="shared" ca="1" si="32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3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A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45858</v>
      </c>
      <c r="C42" s="401"/>
      <c r="D42" s="443">
        <f ca="1">IF(N42=0,IF(N41=1,D25+D26+D27+D28+D29+D30+D31+D32+D33+D34+D35+D36+D37+D38+D39+D40+D41," "),IF(N42=0," ",IF(N43=1,D25,IF(N43=0,D10-D25*(M14-1)," "))))</f>
        <v>666670</v>
      </c>
      <c r="E42" s="443"/>
      <c r="F42" s="84">
        <f ca="1">IF(N42=0,IF(N41=1,F25+F26+F27+F28+F29+F30+F31+F32+F33+F34+F35+F36+F37+F38+F39+F40+F41," "),IF(M1=1,P42,IF(M1=2,Q42," ")))</f>
        <v>1892220</v>
      </c>
      <c r="G42" s="84">
        <v>0</v>
      </c>
      <c r="H42" s="84">
        <f t="shared" ca="1" si="19"/>
        <v>2558890</v>
      </c>
      <c r="I42" s="84">
        <f t="shared" ca="1" si="20"/>
        <v>740740</v>
      </c>
      <c r="J42" s="84">
        <f t="shared" ca="1" si="0"/>
        <v>2102470</v>
      </c>
      <c r="K42" s="84">
        <v>0</v>
      </c>
      <c r="L42" s="84">
        <f t="shared" ca="1" si="21"/>
        <v>2843210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1892220</v>
      </c>
      <c r="Q42" s="22">
        <f t="shared" ca="1" si="3"/>
        <v>1892220</v>
      </c>
      <c r="R42" s="22">
        <f t="shared" ca="1" si="23"/>
        <v>28666610</v>
      </c>
      <c r="S42" s="22">
        <f t="shared" ca="1" si="24"/>
        <v>666670</v>
      </c>
      <c r="T42" s="22">
        <f t="shared" ca="1" si="25"/>
        <v>666670</v>
      </c>
      <c r="U42" s="22">
        <f ca="1">IF(N43=1,R41*D11*20/36000+R42*D11*10/36000,IF(N43=0,IF(N42=0,0,R42*D11*Q12/36000+R41*D11*20/36000+R42*D11*10/36000)))</f>
        <v>1892218.6833333333</v>
      </c>
      <c r="V42" s="22">
        <f ca="1">IF(N43=1,R41*D11*20/36000+R42*D11*10/36000,IF(N43=0,IF(N42=0,0,R42*D11*Q12/36000+R41*D11*20/36000+R42*D11*10/36000)))</f>
        <v>1892218.6833333333</v>
      </c>
      <c r="W42" s="22">
        <f t="shared" ca="1" si="26"/>
        <v>2600000</v>
      </c>
      <c r="X42" s="22">
        <f t="shared" ca="1" si="27"/>
        <v>2600000</v>
      </c>
      <c r="Y42" s="22">
        <f t="shared" ca="1" si="4"/>
        <v>31851860</v>
      </c>
      <c r="Z42" s="22">
        <f ca="1">IF(N43=1,Y41*D$11*20/36000+Y42*D$11*10/36000,IF(N43=0,IF(N42=0,0,Y42*D$11*Q$12/36000+Y41*D$11*20/36000+Y42*D$11*10/36000)))</f>
        <v>2102469.6333333333</v>
      </c>
      <c r="AA42" s="22">
        <f t="shared" ca="1" si="5"/>
        <v>2102470</v>
      </c>
      <c r="AB42" s="22">
        <f ca="1">IF(R43=0,R42*Q12,(R41*20+R42*10))</f>
        <v>873331700</v>
      </c>
      <c r="AC42" s="22">
        <f t="shared" ca="1" si="6"/>
        <v>0</v>
      </c>
      <c r="AD42" s="22">
        <f t="shared" ca="1" si="7"/>
        <v>0</v>
      </c>
      <c r="AE42" s="22">
        <f t="shared" ca="1" si="29"/>
        <v>0</v>
      </c>
      <c r="AF42" s="22">
        <f t="shared" ca="1" si="8"/>
        <v>0</v>
      </c>
      <c r="AG42" s="22">
        <f t="shared" ca="1" si="30"/>
        <v>0</v>
      </c>
      <c r="AH42" s="22">
        <f t="shared" ca="1" si="9"/>
        <v>0</v>
      </c>
      <c r="AI42" s="22">
        <f t="shared" ca="1" si="10"/>
        <v>28666610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1"/>
        <v>7</v>
      </c>
      <c r="AM42" s="69">
        <f t="shared" ca="1" si="11"/>
        <v>7</v>
      </c>
      <c r="AN42" s="4">
        <f t="shared" ca="1" si="32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3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A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45889</v>
      </c>
      <c r="C43" s="401"/>
      <c r="D43" s="443">
        <f ca="1">IF(N43=0,IF(N42=1,D25+D26+D27+D28+D29+D30+D31+D32+D33+D34+D35+D36+D37+D38+D39+D40+D41+D42," "),IF(N43=0," ",IF(N44=1,D25,IF(N44=0,D10-D25*(M14-1)," "))))</f>
        <v>666670</v>
      </c>
      <c r="E43" s="443"/>
      <c r="F43" s="84">
        <f ca="1">IF(N43=0,IF(N42=1,F25+F26+F27+F28+F29+F30+F31+F32+F33+F34+F35+F36+F37+F38+F39+F40+F41+F42," "),IF(M1=1,P43,IF(M1=2,Q43," ")))</f>
        <v>1848880</v>
      </c>
      <c r="G43" s="84">
        <v>0</v>
      </c>
      <c r="H43" s="84">
        <f t="shared" ca="1" si="19"/>
        <v>2515550</v>
      </c>
      <c r="I43" s="84">
        <f t="shared" ca="1" si="20"/>
        <v>740740</v>
      </c>
      <c r="J43" s="84">
        <f t="shared" ca="1" si="0"/>
        <v>2054320</v>
      </c>
      <c r="K43" s="84">
        <v>0</v>
      </c>
      <c r="L43" s="84">
        <f t="shared" ca="1" si="21"/>
        <v>2795060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1848880</v>
      </c>
      <c r="Q43" s="22">
        <f t="shared" ca="1" si="3"/>
        <v>1848880</v>
      </c>
      <c r="R43" s="22">
        <f t="shared" ca="1" si="23"/>
        <v>27999940</v>
      </c>
      <c r="S43" s="22">
        <f t="shared" ca="1" si="24"/>
        <v>666670</v>
      </c>
      <c r="T43" s="22">
        <f t="shared" ca="1" si="25"/>
        <v>666670</v>
      </c>
      <c r="U43" s="22">
        <f ca="1">IF(N44=1,R42*D$11*20/36000+R43*D$11*10/36000,IF(N44=0,IF(N43=0,0,IF(D22&gt;20,R42*D$11*20/36000+R43*D$11*(Q$12-20)/36000,R43*D$11*Q$12/36000))))</f>
        <v>1848885.1333333333</v>
      </c>
      <c r="V43" s="22">
        <f ca="1">IF(N44=1,R42*D$11*20/36000+R43*D$11*10/36000,IF(N44=0,IF(N43=0,0,IF(D22&gt;20,R42*D$11*20/36000+R43*D$11*(Q$12-20)/36000,R43*D$11*Q$12/36000))))</f>
        <v>1848885.1333333333</v>
      </c>
      <c r="W43" s="22">
        <f t="shared" ca="1" si="26"/>
        <v>2600000</v>
      </c>
      <c r="X43" s="22">
        <f t="shared" ca="1" si="27"/>
        <v>2600000</v>
      </c>
      <c r="Y43" s="22">
        <f t="shared" ca="1" si="4"/>
        <v>31111120</v>
      </c>
      <c r="Z43" s="22">
        <f ca="1">IF(N44=1,Y42*D$11*20/36000+Y43*D$11*10/36000,IF(N44=0,IF(N43=0,0,IF(D$16&gt;20,Y42*D$11*20/36000+Y43*D$11*(Q$12-20)/36000,Y43*D$11*Q$12/36000))))</f>
        <v>2054321.5333333332</v>
      </c>
      <c r="AA43" s="22">
        <f t="shared" ca="1" si="5"/>
        <v>2054320</v>
      </c>
      <c r="AB43" s="22">
        <f ca="1">IF(R44=0,R43*Q12,(R42*20+R43*10))</f>
        <v>853331600</v>
      </c>
      <c r="AC43" s="22">
        <f t="shared" ca="1" si="6"/>
        <v>0</v>
      </c>
      <c r="AD43" s="22">
        <f t="shared" ca="1" si="7"/>
        <v>0</v>
      </c>
      <c r="AE43" s="22">
        <f t="shared" ca="1" si="29"/>
        <v>0</v>
      </c>
      <c r="AF43" s="22">
        <f t="shared" ca="1" si="8"/>
        <v>0</v>
      </c>
      <c r="AG43" s="22">
        <f t="shared" ca="1" si="30"/>
        <v>0</v>
      </c>
      <c r="AH43" s="22">
        <f t="shared" ca="1" si="9"/>
        <v>0</v>
      </c>
      <c r="AI43" s="22">
        <f t="shared" ca="1" si="10"/>
        <v>27999940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1"/>
        <v>8</v>
      </c>
      <c r="AM43" s="69">
        <f t="shared" ca="1" si="11"/>
        <v>8</v>
      </c>
      <c r="AN43" s="4">
        <f t="shared" ca="1" si="32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3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A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45920</v>
      </c>
      <c r="C44" s="401"/>
      <c r="D44" s="443">
        <f ca="1">IF(N44=0,IF(N43=1,D25+D26+D27+D28+D29+D30+D31+D32+D33+D34+D35+D36+D37+D38+D39+D40+D41+D42+D43," "),IF(N44=0," ",IF(N45=1,D25,IF(N45=0,D10-D25*(M14-1)," "))))</f>
        <v>666670</v>
      </c>
      <c r="E44" s="443"/>
      <c r="F44" s="84">
        <f ca="1">IF(N44=0,IF(N43=1,F25+F26+F27+F28+F29+F30+F31+F32+F33+F34+F35+F36+F37+F38+F39+F40+F41+F42+F43," "),IF(M1=1,P44,IF(M1=2,Q44," ")))</f>
        <v>1805550</v>
      </c>
      <c r="G44" s="84">
        <v>0</v>
      </c>
      <c r="H44" s="84">
        <f t="shared" ca="1" si="19"/>
        <v>2472220</v>
      </c>
      <c r="I44" s="84">
        <f t="shared" ca="1" si="20"/>
        <v>740740</v>
      </c>
      <c r="J44" s="84">
        <f t="shared" ca="1" si="0"/>
        <v>2006170</v>
      </c>
      <c r="K44" s="84">
        <v>0</v>
      </c>
      <c r="L44" s="84">
        <f t="shared" ca="1" si="21"/>
        <v>2746910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1805550</v>
      </c>
      <c r="Q44" s="22">
        <f t="shared" ca="1" si="3"/>
        <v>1805550</v>
      </c>
      <c r="R44" s="22">
        <f t="shared" ca="1" si="23"/>
        <v>27333270</v>
      </c>
      <c r="S44" s="22">
        <f t="shared" ca="1" si="24"/>
        <v>666670</v>
      </c>
      <c r="T44" s="22">
        <f t="shared" ca="1" si="25"/>
        <v>666670</v>
      </c>
      <c r="U44" s="22">
        <f ca="1">IF(N45=1,R43*D11*20/36000+R44*D11*10/36000,IF(N45=0,IF(N44=0,0,R44*D11*Q12/36000+R43*D11*20/36000+R44*D11*10/36000)))</f>
        <v>1805551.5833333335</v>
      </c>
      <c r="V44" s="22">
        <f ca="1">IF(N45=1,R43*D11*20/36000+R44*D11*10/36000,IF(N45=0,IF(N44=0,0,R44*D11*Q12/36000+R43*D11*20/36000+R44*D11*10/36000)))</f>
        <v>1805551.5833333335</v>
      </c>
      <c r="W44" s="22">
        <f t="shared" ca="1" si="26"/>
        <v>2600000</v>
      </c>
      <c r="X44" s="22">
        <f t="shared" ca="1" si="27"/>
        <v>2600000</v>
      </c>
      <c r="Y44" s="22">
        <f t="shared" ca="1" si="4"/>
        <v>30370380</v>
      </c>
      <c r="Z44" s="22">
        <f ca="1">IF(N45=1,Y43*D$11*20/36000+Y44*D$11*10/36000,IF(N45=0,IF(N44=0,0,Y44*D$11*Q$12/36000+Y43*D$11*20/36000+Y44*D$11*10/36000)))</f>
        <v>2006173.4333333336</v>
      </c>
      <c r="AA44" s="22">
        <f t="shared" ca="1" si="5"/>
        <v>2006170</v>
      </c>
      <c r="AB44" s="22">
        <f ca="1">IF(R45=0,R44*Q12,(R43*20+R44*10))</f>
        <v>833331500</v>
      </c>
      <c r="AC44" s="22">
        <f t="shared" ca="1" si="6"/>
        <v>0</v>
      </c>
      <c r="AD44" s="22">
        <f t="shared" ca="1" si="7"/>
        <v>0</v>
      </c>
      <c r="AE44" s="22">
        <f t="shared" ca="1" si="29"/>
        <v>0</v>
      </c>
      <c r="AF44" s="22">
        <f t="shared" ca="1" si="8"/>
        <v>0</v>
      </c>
      <c r="AG44" s="22">
        <f t="shared" ca="1" si="30"/>
        <v>0</v>
      </c>
      <c r="AH44" s="22">
        <f t="shared" ca="1" si="9"/>
        <v>0</v>
      </c>
      <c r="AI44" s="22">
        <f t="shared" ca="1" si="10"/>
        <v>27333270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1"/>
        <v>9</v>
      </c>
      <c r="AM44" s="69">
        <f t="shared" ca="1" si="11"/>
        <v>9</v>
      </c>
      <c r="AN44" s="4">
        <f t="shared" ca="1" si="32"/>
        <v>2025</v>
      </c>
      <c r="AO44" s="4">
        <f t="shared" ca="1" si="12"/>
        <v>2025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3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A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45950</v>
      </c>
      <c r="C45" s="401"/>
      <c r="D45" s="443">
        <f ca="1">IF(N45=0,IF(N44=1,D25+D26+D27+D28+D29+D30+D31+D32+D33+D34+D35+D36+D37+D38+D39+D40+D41+D42+D43+D44," "),IF(N45=0," ",IF(N46=1,D25,IF(N46=0,D10-D25*(M14-1)," "))))</f>
        <v>666670</v>
      </c>
      <c r="E45" s="443"/>
      <c r="F45" s="84">
        <f ca="1">IF(N45=0,IF(N44=1,F25+F26+F27+F28+F29+F30+F31+F32+F33+F34+F35+F36+F37+F38+F39+F40+F41+F42+F43+F44," "),IF(M1=1,P45,IF(M1=2,Q45," ")))</f>
        <v>1762220</v>
      </c>
      <c r="G45" s="84">
        <v>0</v>
      </c>
      <c r="H45" s="84">
        <f t="shared" ca="1" si="19"/>
        <v>2428890</v>
      </c>
      <c r="I45" s="84">
        <f t="shared" ca="1" si="20"/>
        <v>740740</v>
      </c>
      <c r="J45" s="84">
        <f t="shared" ca="1" si="0"/>
        <v>1958020</v>
      </c>
      <c r="K45" s="84">
        <v>0</v>
      </c>
      <c r="L45" s="84">
        <f t="shared" ca="1" si="21"/>
        <v>2698760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1762220</v>
      </c>
      <c r="Q45" s="22">
        <f t="shared" ca="1" si="3"/>
        <v>1762220</v>
      </c>
      <c r="R45" s="22">
        <f t="shared" ca="1" si="23"/>
        <v>26666600</v>
      </c>
      <c r="S45" s="22">
        <f t="shared" ca="1" si="24"/>
        <v>666670</v>
      </c>
      <c r="T45" s="22">
        <f t="shared" ca="1" si="25"/>
        <v>666670</v>
      </c>
      <c r="U45" s="22">
        <f ca="1">IF(N46=1,R44*D11*20/36000+R45*D11*10/36000,IF(N46=0,IF(N45=0,0,R45*D11*Q12/36000+R44*D11*20/36000+R45*D11*10/36000)))</f>
        <v>1762218.0333333332</v>
      </c>
      <c r="V45" s="22">
        <f ca="1">IF(N46=1,R44*D11*20/36000+R45*D11*10/36000,IF(N46=0,IF(N45=0,0,R45*D11*Q12/36000+R44*D11*20/36000+R45*D11*10/36000)))</f>
        <v>1762218.0333333332</v>
      </c>
      <c r="W45" s="22">
        <f t="shared" ca="1" si="26"/>
        <v>2600000</v>
      </c>
      <c r="X45" s="22">
        <f t="shared" ca="1" si="27"/>
        <v>2600000</v>
      </c>
      <c r="Y45" s="22">
        <f t="shared" ca="1" si="4"/>
        <v>29629640</v>
      </c>
      <c r="Z45" s="22">
        <f ca="1">IF(N46=1,Y44*D$11*20/36000+Y45*D$11*10/36000,IF(N46=0,IF(N45=0,0,Y45*D$11*Q$12/36000+Y44*D$11*20/36000+Y45*D$11*10/36000)))</f>
        <v>1958025.3333333335</v>
      </c>
      <c r="AA45" s="22">
        <f t="shared" ca="1" si="5"/>
        <v>1958020</v>
      </c>
      <c r="AB45" s="22">
        <f ca="1">IF(R46=0,R45*Q12,(R44*20+R45*10))</f>
        <v>813331400</v>
      </c>
      <c r="AC45" s="22">
        <f t="shared" ca="1" si="6"/>
        <v>0</v>
      </c>
      <c r="AD45" s="22">
        <f t="shared" ca="1" si="7"/>
        <v>0</v>
      </c>
      <c r="AE45" s="22">
        <f t="shared" ca="1" si="29"/>
        <v>0</v>
      </c>
      <c r="AF45" s="22">
        <f t="shared" ca="1" si="8"/>
        <v>0</v>
      </c>
      <c r="AG45" s="22">
        <f t="shared" ca="1" si="30"/>
        <v>0</v>
      </c>
      <c r="AH45" s="22">
        <f t="shared" ca="1" si="9"/>
        <v>0</v>
      </c>
      <c r="AI45" s="22">
        <f t="shared" ca="1" si="10"/>
        <v>26666600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1"/>
        <v>10</v>
      </c>
      <c r="AM45" s="69">
        <f t="shared" ca="1" si="11"/>
        <v>10</v>
      </c>
      <c r="AN45" s="4">
        <f t="shared" ca="1" si="32"/>
        <v>2025</v>
      </c>
      <c r="AO45" s="4">
        <f t="shared" ca="1" si="12"/>
        <v>2025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3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A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45981</v>
      </c>
      <c r="C46" s="401"/>
      <c r="D46" s="443">
        <f ca="1">IF(N46=0,IF(N45=1,D25+D26+D27+D28+D29+D30+D31+D32+D33+D34+D35+D36+D37+D38+D39+D40+D41+D42+D43+D44+D45," "),IF(N46=0," ",IF(N47=1,D25,IF(N47=0,D10-D25*(M14-1)," "))))</f>
        <v>666670</v>
      </c>
      <c r="E46" s="443"/>
      <c r="F46" s="84">
        <f ca="1">IF(N46=0,IF(N45=1,F25+F26+F27+F28+F29+F30+F31+F32+F33+F34+F35+F36+F37+F38+F39+F40+F41+F42+F43+F44+F45," "),IF(M1=1,P46,IF(M1=2,Q46," ")))</f>
        <v>1718880</v>
      </c>
      <c r="G46" s="84">
        <v>0</v>
      </c>
      <c r="H46" s="84">
        <f t="shared" ca="1" si="19"/>
        <v>2385550</v>
      </c>
      <c r="I46" s="84">
        <f t="shared" ca="1" si="20"/>
        <v>740740</v>
      </c>
      <c r="J46" s="84">
        <f t="shared" ca="1" si="0"/>
        <v>1909880</v>
      </c>
      <c r="K46" s="84">
        <v>0</v>
      </c>
      <c r="L46" s="84">
        <f t="shared" ca="1" si="21"/>
        <v>2650620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1718880</v>
      </c>
      <c r="Q46" s="22">
        <f t="shared" ca="1" si="3"/>
        <v>1718880</v>
      </c>
      <c r="R46" s="22">
        <f t="shared" ca="1" si="23"/>
        <v>25999930</v>
      </c>
      <c r="S46" s="22">
        <f t="shared" ca="1" si="24"/>
        <v>666670</v>
      </c>
      <c r="T46" s="22">
        <f t="shared" ca="1" si="25"/>
        <v>666670</v>
      </c>
      <c r="U46" s="22">
        <f ca="1">IF(N47=1,R45*D11*20/36000+R46*D11*10/36000,IF(N47=0,IF(N46=0,0,R46*D11*Q12/36000+R45*D11*20/36000+R46*D11*10/36000)))</f>
        <v>1718884.4833333334</v>
      </c>
      <c r="V46" s="22">
        <f ca="1">IF(N47=1,R45*D11*20/36000+R46*D11*10/36000,IF(N47=0,IF(N46=0,0,R46*D11*Q12/36000+R45*D11*20/36000+R46*D11*10/36000)))</f>
        <v>1718884.4833333334</v>
      </c>
      <c r="W46" s="22">
        <f t="shared" ca="1" si="26"/>
        <v>2600000</v>
      </c>
      <c r="X46" s="22">
        <f t="shared" ca="1" si="27"/>
        <v>2600000</v>
      </c>
      <c r="Y46" s="22">
        <f t="shared" ca="1" si="4"/>
        <v>28888900</v>
      </c>
      <c r="Z46" s="22">
        <f ca="1">IF(N47=1,Y45*D$11*20/36000+Y46*D$11*10/36000,IF(N47=0,IF(N46=0,0,Y46*D$11*Q$12/36000+Y45*D$11*20/36000+Y46*D$11*10/36000)))</f>
        <v>1909877.2333333334</v>
      </c>
      <c r="AA46" s="22">
        <f t="shared" ca="1" si="5"/>
        <v>1909880</v>
      </c>
      <c r="AB46" s="22">
        <f ca="1">IF(R47=0,R46*Q12,(R45*20+R46*10))</f>
        <v>793331300</v>
      </c>
      <c r="AC46" s="22">
        <f t="shared" ca="1" si="6"/>
        <v>0</v>
      </c>
      <c r="AD46" s="22">
        <f t="shared" ca="1" si="7"/>
        <v>0</v>
      </c>
      <c r="AE46" s="22">
        <f t="shared" ca="1" si="29"/>
        <v>0</v>
      </c>
      <c r="AF46" s="22">
        <f t="shared" ca="1" si="8"/>
        <v>0</v>
      </c>
      <c r="AG46" s="22">
        <f t="shared" ca="1" si="30"/>
        <v>0</v>
      </c>
      <c r="AH46" s="22">
        <f t="shared" ca="1" si="9"/>
        <v>0</v>
      </c>
      <c r="AI46" s="22">
        <f t="shared" ca="1" si="10"/>
        <v>25999930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1"/>
        <v>11</v>
      </c>
      <c r="AM46" s="69">
        <f t="shared" ca="1" si="11"/>
        <v>11</v>
      </c>
      <c r="AN46" s="4">
        <f t="shared" ca="1" si="32"/>
        <v>2025</v>
      </c>
      <c r="AO46" s="4">
        <f t="shared" ca="1" si="12"/>
        <v>2025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3"/>
        <v>30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A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46011</v>
      </c>
      <c r="C47" s="401"/>
      <c r="D47" s="443">
        <f ca="1">IF(N47=0,IF(N46=1,D25+D26+D27+D28+D29+D30+D31+D32+D33+D34+D35+D36+D37+D38+D39+D40+D41+D42+D43+D44+D45+D46," "),IF(N47=0," ",IF(N48=1,D25,IF(N48=0,D10-D25*(M14-1)," "))))</f>
        <v>666670</v>
      </c>
      <c r="E47" s="443"/>
      <c r="F47" s="84">
        <f ca="1">IF(N47=0,IF(N46=1,F25+F26+F27+F28+F29+F30+F31+F32+F33+F34+F35+F36+F37+F38+F39+F40+F41+F42+F43+F44+F45+F46," "),IF(M1=1,P47,IF(M1=2,Q47," ")))</f>
        <v>1675550</v>
      </c>
      <c r="G47" s="84">
        <v>0</v>
      </c>
      <c r="H47" s="84">
        <f t="shared" ca="1" si="19"/>
        <v>2342220</v>
      </c>
      <c r="I47" s="84">
        <f t="shared" ca="1" si="20"/>
        <v>740740</v>
      </c>
      <c r="J47" s="84">
        <f t="shared" ca="1" si="0"/>
        <v>1861730</v>
      </c>
      <c r="K47" s="84">
        <v>0</v>
      </c>
      <c r="L47" s="84">
        <f t="shared" ca="1" si="21"/>
        <v>2602470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1675550</v>
      </c>
      <c r="Q47" s="22">
        <f t="shared" ca="1" si="3"/>
        <v>1675550</v>
      </c>
      <c r="R47" s="22">
        <f t="shared" ca="1" si="23"/>
        <v>25333260</v>
      </c>
      <c r="S47" s="22">
        <f t="shared" ca="1" si="24"/>
        <v>666670</v>
      </c>
      <c r="T47" s="22">
        <f t="shared" ca="1" si="25"/>
        <v>666670</v>
      </c>
      <c r="U47" s="22">
        <f ca="1">IF(N48=1,R46*D11*20/36000+R47*D11*10/36000,IF(N48=0,IF(N47=0,0,R47*D11*Q12/36000+R46*D11*20/36000+R47*D11*10/36000)))</f>
        <v>1675550.9333333333</v>
      </c>
      <c r="V47" s="22">
        <f ca="1">IF(N48=1,R46*D11*20/36000+R47*D11*10/36000,IF(N48=0,IF(N47=0,0,R47*D11*Q12/36000+R46*D11*20/36000+R47*D11*10/36000)))</f>
        <v>1675550.9333333333</v>
      </c>
      <c r="W47" s="22">
        <f t="shared" ca="1" si="26"/>
        <v>2600000</v>
      </c>
      <c r="X47" s="22">
        <f t="shared" ca="1" si="27"/>
        <v>2600000</v>
      </c>
      <c r="Y47" s="22">
        <f t="shared" ca="1" si="4"/>
        <v>28148160</v>
      </c>
      <c r="Z47" s="22">
        <f ca="1">IF(N48=1,Y46*D$11*20/36000+Y47*D$11*10/36000,IF(N48=0,IF(N47=0,0,Y47*D$11*Q$12/36000+Y46*D$11*20/36000+Y47*D$11*10/36000)))</f>
        <v>1861729.1333333333</v>
      </c>
      <c r="AA47" s="22">
        <f t="shared" ca="1" si="5"/>
        <v>1861730</v>
      </c>
      <c r="AB47" s="22">
        <f ca="1">IF(R48=0,R47*Q12,(R46*20+R47*10))</f>
        <v>773331200</v>
      </c>
      <c r="AC47" s="22">
        <f t="shared" ca="1" si="6"/>
        <v>0</v>
      </c>
      <c r="AD47" s="22">
        <f t="shared" ca="1" si="7"/>
        <v>0</v>
      </c>
      <c r="AE47" s="22">
        <f t="shared" ca="1" si="29"/>
        <v>0</v>
      </c>
      <c r="AF47" s="22">
        <f t="shared" ca="1" si="8"/>
        <v>0</v>
      </c>
      <c r="AG47" s="22">
        <f t="shared" ca="1" si="30"/>
        <v>0</v>
      </c>
      <c r="AH47" s="22">
        <f t="shared" ca="1" si="9"/>
        <v>0</v>
      </c>
      <c r="AI47" s="22">
        <f t="shared" ca="1" si="10"/>
        <v>25333260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1"/>
        <v>12</v>
      </c>
      <c r="AM47" s="69">
        <f t="shared" ca="1" si="11"/>
        <v>12</v>
      </c>
      <c r="AN47" s="4">
        <f t="shared" ca="1" si="32"/>
        <v>2025</v>
      </c>
      <c r="AO47" s="4">
        <f t="shared" ca="1" si="12"/>
        <v>2025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3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A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46042</v>
      </c>
      <c r="C48" s="401"/>
      <c r="D48" s="443">
        <f ca="1">IF(N48=0,IF(N47=1,SUM(D$25:E47)," "),IF(N48=0," ",IF(N49=1,D$25,IF(N49=0,D$10-D$25*(M$14-1)," "))))</f>
        <v>666670</v>
      </c>
      <c r="E48" s="443"/>
      <c r="F48" s="84">
        <f ca="1">IF(N48=0,IF(N47=1,SUM(F$25:F47)," "),IF(M$1=1,P48,IF(M$1=2,Q48," ")))</f>
        <v>1632220</v>
      </c>
      <c r="G48" s="84">
        <v>0</v>
      </c>
      <c r="H48" s="84">
        <f t="shared" ca="1" si="19"/>
        <v>2298890</v>
      </c>
      <c r="I48" s="84">
        <f t="shared" ca="1" si="20"/>
        <v>740740</v>
      </c>
      <c r="J48" s="84">
        <f t="shared" ca="1" si="0"/>
        <v>1813580</v>
      </c>
      <c r="K48" s="84">
        <v>0</v>
      </c>
      <c r="L48" s="84">
        <f t="shared" ca="1" si="21"/>
        <v>2554320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1632220</v>
      </c>
      <c r="Q48" s="22">
        <f t="shared" ca="1" si="3"/>
        <v>1632220</v>
      </c>
      <c r="R48" s="22">
        <f t="shared" ca="1" si="23"/>
        <v>24666590</v>
      </c>
      <c r="S48" s="22">
        <f t="shared" ca="1" si="24"/>
        <v>666670</v>
      </c>
      <c r="T48" s="22">
        <f t="shared" ca="1" si="25"/>
        <v>666670</v>
      </c>
      <c r="U48" s="22">
        <f ca="1">IF(N49=1,R47*D$11*20/36000+R48*D$11*10/36000,IF(N49=0,IF(N48=0,0,R48*D$11*Q$12/36000+R47*D$11*20/36000+R48*D$11*10/36000)))</f>
        <v>1632217.3833333333</v>
      </c>
      <c r="V48" s="22">
        <f ca="1">IF(N49=1,R47*D$11*20/36000+R48*D$11*10/36000,IF(N49=0,IF(N48=0,0,R48*D$11*Q$12/36000+R47*D$11*20/36000+R48*D$11*10/36000)))</f>
        <v>1632217.3833333333</v>
      </c>
      <c r="W48" s="22">
        <f t="shared" ca="1" si="26"/>
        <v>2600000</v>
      </c>
      <c r="X48" s="22">
        <f t="shared" ca="1" si="27"/>
        <v>2600000</v>
      </c>
      <c r="Y48" s="22">
        <f t="shared" ca="1" si="4"/>
        <v>27407420</v>
      </c>
      <c r="Z48" s="22">
        <f ca="1">IF(N49=1,Y47*D$11*20/36000+Y48*D$11*10/36000,IF(N49=0,IF(N48=0,0,Y48*D$11*Q$12/36000+Y47*D$11*20/36000+Y48*D$11*10/36000)))</f>
        <v>1813581.0333333334</v>
      </c>
      <c r="AA48" s="22">
        <f t="shared" ca="1" si="5"/>
        <v>1813580</v>
      </c>
      <c r="AB48" s="22">
        <f t="shared" ref="AB48:AB84" ca="1" si="35">IF(R49=0,R48*Q$12,(R47*20+R48*10))</f>
        <v>753331100</v>
      </c>
      <c r="AC48" s="22">
        <f t="shared" ca="1" si="6"/>
        <v>0</v>
      </c>
      <c r="AD48" s="22">
        <f t="shared" ca="1" si="7"/>
        <v>0</v>
      </c>
      <c r="AE48" s="22">
        <f t="shared" ca="1" si="29"/>
        <v>0</v>
      </c>
      <c r="AF48" s="22">
        <f t="shared" ca="1" si="8"/>
        <v>0</v>
      </c>
      <c r="AG48" s="22">
        <f t="shared" ca="1" si="30"/>
        <v>0</v>
      </c>
      <c r="AH48" s="22">
        <f t="shared" ca="1" si="9"/>
        <v>0</v>
      </c>
      <c r="AI48" s="22">
        <f t="shared" ca="1" si="10"/>
        <v>24666590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1"/>
        <v>13</v>
      </c>
      <c r="AM48" s="69">
        <f t="shared" ca="1" si="11"/>
        <v>1</v>
      </c>
      <c r="AN48" s="4">
        <f t="shared" ca="1" si="32"/>
        <v>2025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3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A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46073</v>
      </c>
      <c r="C49" s="401"/>
      <c r="D49" s="443">
        <f ca="1">IF(N49=0,IF(N48=1,SUM(D$25:E48)," "),IF(N49=0," ",IF(N50=1,D$25,IF(N50=0,D$10-D$25*(M$14-1)," "))))</f>
        <v>666670</v>
      </c>
      <c r="E49" s="443"/>
      <c r="F49" s="84">
        <f ca="1">IF(N49=0,IF(N48=1,SUM(F$25:F48)," "),IF(M$1=1,P49,IF(M$1=2,Q49," ")))</f>
        <v>1588880</v>
      </c>
      <c r="G49" s="84">
        <v>0</v>
      </c>
      <c r="H49" s="84">
        <f t="shared" ca="1" si="19"/>
        <v>2255550</v>
      </c>
      <c r="I49" s="84">
        <f t="shared" ca="1" si="20"/>
        <v>740740</v>
      </c>
      <c r="J49" s="84">
        <f t="shared" ca="1" si="0"/>
        <v>1765430</v>
      </c>
      <c r="K49" s="84">
        <v>0</v>
      </c>
      <c r="L49" s="84">
        <f t="shared" ca="1" si="21"/>
        <v>2506170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1588880</v>
      </c>
      <c r="Q49" s="22">
        <f t="shared" ca="1" si="3"/>
        <v>1588880</v>
      </c>
      <c r="R49" s="22">
        <f t="shared" ca="1" si="23"/>
        <v>23999920</v>
      </c>
      <c r="S49" s="22">
        <f t="shared" ca="1" si="24"/>
        <v>666670</v>
      </c>
      <c r="T49" s="22">
        <f t="shared" ca="1" si="25"/>
        <v>666670</v>
      </c>
      <c r="U49" s="22">
        <f ca="1">IF(N50=1,R48*D$11*20/36000+R49*D$11*10/36000,IF(N50=0,IF(N49=0,0,IF(D28&gt;20,R48*D$11*20/36000+R49*D$11*(Q$12-20)/36000,R49*D$11*Q$12/36000))))</f>
        <v>1588883.8333333333</v>
      </c>
      <c r="V49" s="22">
        <f ca="1">IF(N50=1,R48*D$11*20/36000+R49*D$11*10/36000,IF(N50=0,IF(N49=0,0,IF(D28&gt;20,R48*D$11*20/36000+R49*D$11*(Q$12-20)/36000,R49*D$11*Q$12/36000))))</f>
        <v>1588883.8333333333</v>
      </c>
      <c r="W49" s="22">
        <f t="shared" ca="1" si="26"/>
        <v>2600000</v>
      </c>
      <c r="X49" s="22">
        <f t="shared" ca="1" si="27"/>
        <v>2600000</v>
      </c>
      <c r="Y49" s="22">
        <f t="shared" ca="1" si="4"/>
        <v>26666680</v>
      </c>
      <c r="Z49" s="22">
        <f ca="1">IF(N50=1,Y48*D$11*20/36000+Y49*D$11*10/36000,IF(N50=0,IF(N49=0,0,IF(D$16&gt;20,Y48*D$11*20/36000+Y49*D$11*(Q$12-20)/36000,Y49*D$11*Q$12/36000))))</f>
        <v>1765432.9333333333</v>
      </c>
      <c r="AA49" s="22">
        <f t="shared" ca="1" si="5"/>
        <v>1765430</v>
      </c>
      <c r="AB49" s="22">
        <f t="shared" ca="1" si="35"/>
        <v>733331000</v>
      </c>
      <c r="AC49" s="22">
        <f t="shared" ca="1" si="6"/>
        <v>0</v>
      </c>
      <c r="AD49" s="22">
        <f t="shared" ca="1" si="7"/>
        <v>0</v>
      </c>
      <c r="AE49" s="22">
        <f t="shared" ca="1" si="29"/>
        <v>0</v>
      </c>
      <c r="AF49" s="22">
        <f t="shared" ca="1" si="8"/>
        <v>0</v>
      </c>
      <c r="AG49" s="22">
        <f t="shared" ca="1" si="30"/>
        <v>0</v>
      </c>
      <c r="AH49" s="22">
        <f t="shared" ca="1" si="9"/>
        <v>0</v>
      </c>
      <c r="AI49" s="22">
        <f t="shared" ca="1" si="10"/>
        <v>23999920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1"/>
        <v>2</v>
      </c>
      <c r="AM49" s="69">
        <f t="shared" ca="1" si="11"/>
        <v>2</v>
      </c>
      <c r="AN49" s="4">
        <f t="shared" ca="1" si="32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28</v>
      </c>
      <c r="AR49" s="4">
        <f t="shared" si="15"/>
        <v>20</v>
      </c>
      <c r="AS49" s="4">
        <f t="shared" ca="1" si="33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A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46101</v>
      </c>
      <c r="C50" s="401"/>
      <c r="D50" s="443">
        <f ca="1">IF(N50=0,IF(N49=1,SUM(D$25:E49)," "),IF(N50=0," ",IF(N51=1,D$25,IF(N51=0,D$10-D$25*(M$14-1)," "))))</f>
        <v>666670</v>
      </c>
      <c r="E50" s="443"/>
      <c r="F50" s="84">
        <f ca="1">IF(N50=0,IF(N49=1,SUM(F$25:F49)," "),IF(M$1=1,P50,IF(M$1=2,Q50," ")))</f>
        <v>1545550</v>
      </c>
      <c r="G50" s="84">
        <v>0</v>
      </c>
      <c r="H50" s="84">
        <f t="shared" ca="1" si="19"/>
        <v>2212220</v>
      </c>
      <c r="I50" s="84">
        <f t="shared" ca="1" si="20"/>
        <v>740740</v>
      </c>
      <c r="J50" s="84">
        <f t="shared" ca="1" si="0"/>
        <v>1717280</v>
      </c>
      <c r="K50" s="84">
        <v>0</v>
      </c>
      <c r="L50" s="84">
        <f t="shared" ca="1" si="21"/>
        <v>2458020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1545550</v>
      </c>
      <c r="Q50" s="22">
        <f t="shared" ca="1" si="3"/>
        <v>1545550</v>
      </c>
      <c r="R50" s="22">
        <f t="shared" ca="1" si="23"/>
        <v>23333250</v>
      </c>
      <c r="S50" s="22">
        <f t="shared" ca="1" si="24"/>
        <v>666670</v>
      </c>
      <c r="T50" s="22">
        <f t="shared" ca="1" si="25"/>
        <v>666670</v>
      </c>
      <c r="U50" s="22">
        <f t="shared" ref="U50:U60" ca="1" si="36">IF(N51=1,R49*D$11*20/36000+R50*D$11*10/36000,IF(N51=0,IF(N50=0,0,R50*D$11*Q$12/36000+R49*D$11*20/36000+R50*D$11*10/36000)))</f>
        <v>1545550.2833333332</v>
      </c>
      <c r="V50" s="22">
        <f t="shared" ref="V50:V60" ca="1" si="37">IF(N51=1,R49*D$11*20/36000+R50*D$11*10/36000,IF(N51=0,IF(N50=0,0,R50*D$11*Q$12/36000+R49*D$11*20/36000+R50*D$11*10/36000)))</f>
        <v>1545550.2833333332</v>
      </c>
      <c r="W50" s="22">
        <f t="shared" ca="1" si="26"/>
        <v>2600000</v>
      </c>
      <c r="X50" s="22">
        <f t="shared" ca="1" si="27"/>
        <v>2600000</v>
      </c>
      <c r="Y50" s="22">
        <f t="shared" ca="1" si="4"/>
        <v>25925940</v>
      </c>
      <c r="Z50" s="22">
        <f t="shared" ref="Z50:Z60" ca="1" si="38">IF(N51=1,Y49*D$11*20/36000+Y50*D$11*10/36000,IF(N51=0,IF(N50=0,0,Y50*D$11*Q$12/36000+Y49*D$11*20/36000+Y50*D$11*10/36000)))</f>
        <v>1717284.8333333333</v>
      </c>
      <c r="AA50" s="22">
        <f t="shared" ca="1" si="5"/>
        <v>1717280</v>
      </c>
      <c r="AB50" s="22">
        <f t="shared" ca="1" si="35"/>
        <v>713330900</v>
      </c>
      <c r="AC50" s="22">
        <f t="shared" ca="1" si="6"/>
        <v>0</v>
      </c>
      <c r="AD50" s="22">
        <f t="shared" ca="1" si="7"/>
        <v>0</v>
      </c>
      <c r="AE50" s="22">
        <f t="shared" ca="1" si="29"/>
        <v>0</v>
      </c>
      <c r="AF50" s="22">
        <f t="shared" ca="1" si="8"/>
        <v>0</v>
      </c>
      <c r="AG50" s="22">
        <f t="shared" ca="1" si="30"/>
        <v>0</v>
      </c>
      <c r="AH50" s="22">
        <f t="shared" ca="1" si="9"/>
        <v>0</v>
      </c>
      <c r="AI50" s="22">
        <f t="shared" ca="1" si="10"/>
        <v>23333250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1"/>
        <v>3</v>
      </c>
      <c r="AM50" s="69">
        <f t="shared" ca="1" si="11"/>
        <v>3</v>
      </c>
      <c r="AN50" s="4">
        <f t="shared" ca="1" si="32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3"/>
        <v>28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A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46132</v>
      </c>
      <c r="C51" s="401"/>
      <c r="D51" s="443">
        <f ca="1">IF(N51=0,IF(N50=1,SUM(D$25:E50)," "),IF(N51=0," ",IF(N52=1,D$25,IF(N52=0,D$10-D$25*(M$14-1)," "))))</f>
        <v>666670</v>
      </c>
      <c r="E51" s="443"/>
      <c r="F51" s="84">
        <f ca="1">IF(N51=0,IF(N50=1,SUM(F$25:F50)," "),IF(M$1=1,P51,IF(M$1=2,Q51," ")))</f>
        <v>1502220</v>
      </c>
      <c r="G51" s="84">
        <v>0</v>
      </c>
      <c r="H51" s="84">
        <f t="shared" ca="1" si="19"/>
        <v>2168890</v>
      </c>
      <c r="I51" s="84">
        <f t="shared" ca="1" si="20"/>
        <v>740740</v>
      </c>
      <c r="J51" s="84">
        <f t="shared" ca="1" si="0"/>
        <v>1669140</v>
      </c>
      <c r="K51" s="84">
        <v>0</v>
      </c>
      <c r="L51" s="84">
        <f t="shared" ca="1" si="21"/>
        <v>2409880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1502220</v>
      </c>
      <c r="Q51" s="22">
        <f t="shared" ca="1" si="3"/>
        <v>1502220</v>
      </c>
      <c r="R51" s="22">
        <f t="shared" ca="1" si="23"/>
        <v>22666580</v>
      </c>
      <c r="S51" s="22">
        <f t="shared" ca="1" si="24"/>
        <v>666670</v>
      </c>
      <c r="T51" s="22">
        <f t="shared" ca="1" si="25"/>
        <v>666670</v>
      </c>
      <c r="U51" s="22">
        <f t="shared" ca="1" si="36"/>
        <v>1502216.7333333334</v>
      </c>
      <c r="V51" s="22">
        <f t="shared" ca="1" si="37"/>
        <v>1502216.7333333334</v>
      </c>
      <c r="W51" s="22">
        <f t="shared" ca="1" si="26"/>
        <v>2600000</v>
      </c>
      <c r="X51" s="22">
        <f t="shared" ca="1" si="27"/>
        <v>2600000</v>
      </c>
      <c r="Y51" s="22">
        <f t="shared" ca="1" si="4"/>
        <v>25185200</v>
      </c>
      <c r="Z51" s="22">
        <f t="shared" ca="1" si="38"/>
        <v>1669136.7333333334</v>
      </c>
      <c r="AA51" s="22">
        <f t="shared" ca="1" si="5"/>
        <v>1669140</v>
      </c>
      <c r="AB51" s="22">
        <f t="shared" ca="1" si="35"/>
        <v>693330800</v>
      </c>
      <c r="AC51" s="22">
        <f t="shared" ca="1" si="6"/>
        <v>0</v>
      </c>
      <c r="AD51" s="22">
        <f t="shared" ca="1" si="7"/>
        <v>0</v>
      </c>
      <c r="AE51" s="22">
        <f t="shared" ca="1" si="29"/>
        <v>0</v>
      </c>
      <c r="AF51" s="22">
        <f t="shared" ca="1" si="8"/>
        <v>0</v>
      </c>
      <c r="AG51" s="22">
        <f t="shared" ca="1" si="30"/>
        <v>0</v>
      </c>
      <c r="AH51" s="22">
        <f t="shared" ca="1" si="9"/>
        <v>0</v>
      </c>
      <c r="AI51" s="22">
        <f t="shared" ca="1" si="10"/>
        <v>22666580</v>
      </c>
      <c r="AJ51" s="22">
        <f t="shared" ca="1" si="39"/>
        <v>0</v>
      </c>
      <c r="AK51" s="22">
        <f t="shared" ca="1" si="40"/>
        <v>0</v>
      </c>
      <c r="AL51" s="69">
        <f t="shared" ca="1" si="31"/>
        <v>4</v>
      </c>
      <c r="AM51" s="69">
        <f t="shared" ca="1" si="11"/>
        <v>4</v>
      </c>
      <c r="AN51" s="4">
        <f t="shared" ca="1" si="32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3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A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46162</v>
      </c>
      <c r="C52" s="401"/>
      <c r="D52" s="443">
        <f ca="1">IF(N52=0,IF(N51=1,SUM(D$25:E51)," "),IF(N52=0," ",IF(N53=1,D$25,IF(N53=0,D$10-D$25*(M$14-1)," "))))</f>
        <v>666670</v>
      </c>
      <c r="E52" s="443"/>
      <c r="F52" s="84">
        <f ca="1">IF(N52=0,IF(N51=1,SUM(F$25:F51)," "),IF(M$1=1,P52,IF(M$1=2,Q52," ")))</f>
        <v>1458880</v>
      </c>
      <c r="G52" s="84">
        <v>0</v>
      </c>
      <c r="H52" s="84">
        <f t="shared" ca="1" si="19"/>
        <v>2125550</v>
      </c>
      <c r="I52" s="84">
        <f t="shared" ca="1" si="20"/>
        <v>740740</v>
      </c>
      <c r="J52" s="84">
        <f t="shared" ca="1" si="0"/>
        <v>1620990</v>
      </c>
      <c r="K52" s="84">
        <v>0</v>
      </c>
      <c r="L52" s="84">
        <f t="shared" ca="1" si="21"/>
        <v>2361730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1458880</v>
      </c>
      <c r="Q52" s="22">
        <f t="shared" ca="1" si="3"/>
        <v>1458880</v>
      </c>
      <c r="R52" s="22">
        <f t="shared" ca="1" si="23"/>
        <v>21999910</v>
      </c>
      <c r="S52" s="22">
        <f t="shared" ca="1" si="24"/>
        <v>666670</v>
      </c>
      <c r="T52" s="22">
        <f t="shared" ca="1" si="25"/>
        <v>666670</v>
      </c>
      <c r="U52" s="22">
        <f t="shared" ca="1" si="36"/>
        <v>1458883.1833333333</v>
      </c>
      <c r="V52" s="22">
        <f t="shared" ca="1" si="37"/>
        <v>1458883.1833333333</v>
      </c>
      <c r="W52" s="22">
        <f t="shared" ca="1" si="26"/>
        <v>2600000</v>
      </c>
      <c r="X52" s="22">
        <f t="shared" ca="1" si="27"/>
        <v>2600000</v>
      </c>
      <c r="Y52" s="22">
        <f t="shared" ca="1" si="4"/>
        <v>24444460</v>
      </c>
      <c r="Z52" s="22">
        <f t="shared" ca="1" si="38"/>
        <v>1620988.6333333333</v>
      </c>
      <c r="AA52" s="22">
        <f t="shared" ca="1" si="5"/>
        <v>1620990</v>
      </c>
      <c r="AB52" s="22">
        <f t="shared" ca="1" si="35"/>
        <v>673330700</v>
      </c>
      <c r="AC52" s="22">
        <f t="shared" ca="1" si="6"/>
        <v>0</v>
      </c>
      <c r="AD52" s="22">
        <f t="shared" ca="1" si="7"/>
        <v>0</v>
      </c>
      <c r="AE52" s="22">
        <f t="shared" ca="1" si="29"/>
        <v>0</v>
      </c>
      <c r="AF52" s="22">
        <f t="shared" ca="1" si="8"/>
        <v>0</v>
      </c>
      <c r="AG52" s="22">
        <f t="shared" ca="1" si="30"/>
        <v>0</v>
      </c>
      <c r="AH52" s="22">
        <f t="shared" ca="1" si="9"/>
        <v>0</v>
      </c>
      <c r="AI52" s="22">
        <f t="shared" ca="1" si="10"/>
        <v>21999910</v>
      </c>
      <c r="AJ52" s="22">
        <f t="shared" ca="1" si="39"/>
        <v>0</v>
      </c>
      <c r="AK52" s="22">
        <f t="shared" ca="1" si="40"/>
        <v>0</v>
      </c>
      <c r="AL52" s="69">
        <f t="shared" ca="1" si="31"/>
        <v>5</v>
      </c>
      <c r="AM52" s="69">
        <f t="shared" ca="1" si="11"/>
        <v>5</v>
      </c>
      <c r="AN52" s="4">
        <f t="shared" ca="1" si="32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3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A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46193</v>
      </c>
      <c r="C53" s="401"/>
      <c r="D53" s="443">
        <f ca="1">IF(N53=0,IF(N52=1,SUM(D$25:E52)," "),IF(N53=0," ",IF(N54=1,D$25,IF(N54=0,D$10-D$25*(M$14-1)," "))))</f>
        <v>666670</v>
      </c>
      <c r="E53" s="443"/>
      <c r="F53" s="84">
        <f ca="1">IF(N53=0,IF(N52=1,SUM(F$25:F52)," "),IF(M$1=1,P53,IF(M$1=2,Q53," ")))</f>
        <v>1415550</v>
      </c>
      <c r="G53" s="84">
        <v>0</v>
      </c>
      <c r="H53" s="84">
        <f t="shared" ca="1" si="19"/>
        <v>2082220</v>
      </c>
      <c r="I53" s="84">
        <f t="shared" ca="1" si="20"/>
        <v>740740</v>
      </c>
      <c r="J53" s="84">
        <f t="shared" ca="1" si="0"/>
        <v>1572840</v>
      </c>
      <c r="K53" s="84">
        <v>0</v>
      </c>
      <c r="L53" s="84">
        <f t="shared" ca="1" si="21"/>
        <v>2313580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1415550</v>
      </c>
      <c r="Q53" s="22">
        <f t="shared" ca="1" si="3"/>
        <v>1415550</v>
      </c>
      <c r="R53" s="22">
        <f t="shared" ca="1" si="23"/>
        <v>21333240</v>
      </c>
      <c r="S53" s="22">
        <f t="shared" ca="1" si="24"/>
        <v>666670</v>
      </c>
      <c r="T53" s="22">
        <f t="shared" ca="1" si="25"/>
        <v>666670</v>
      </c>
      <c r="U53" s="22">
        <f t="shared" ca="1" si="36"/>
        <v>1415549.6333333333</v>
      </c>
      <c r="V53" s="22">
        <f t="shared" ca="1" si="37"/>
        <v>1415549.6333333333</v>
      </c>
      <c r="W53" s="22">
        <f t="shared" ca="1" si="26"/>
        <v>2600000</v>
      </c>
      <c r="X53" s="22">
        <f t="shared" ca="1" si="27"/>
        <v>2600000</v>
      </c>
      <c r="Y53" s="22">
        <f t="shared" ca="1" si="4"/>
        <v>23703720</v>
      </c>
      <c r="Z53" s="22">
        <f t="shared" ca="1" si="38"/>
        <v>1572840.5333333332</v>
      </c>
      <c r="AA53" s="22">
        <f t="shared" ca="1" si="5"/>
        <v>1572840</v>
      </c>
      <c r="AB53" s="22">
        <f t="shared" ca="1" si="35"/>
        <v>653330600</v>
      </c>
      <c r="AC53" s="22">
        <f t="shared" ca="1" si="6"/>
        <v>0</v>
      </c>
      <c r="AD53" s="22">
        <f t="shared" ca="1" si="7"/>
        <v>0</v>
      </c>
      <c r="AE53" s="22">
        <f t="shared" ca="1" si="29"/>
        <v>0</v>
      </c>
      <c r="AF53" s="22">
        <f t="shared" ca="1" si="8"/>
        <v>0</v>
      </c>
      <c r="AG53" s="22">
        <f t="shared" ca="1" si="30"/>
        <v>0</v>
      </c>
      <c r="AH53" s="22">
        <f t="shared" ca="1" si="9"/>
        <v>0</v>
      </c>
      <c r="AI53" s="22">
        <f t="shared" ca="1" si="10"/>
        <v>21333240</v>
      </c>
      <c r="AJ53" s="22">
        <f t="shared" ca="1" si="39"/>
        <v>0</v>
      </c>
      <c r="AK53" s="22">
        <f t="shared" ca="1" si="40"/>
        <v>0</v>
      </c>
      <c r="AL53" s="69">
        <f t="shared" ca="1" si="31"/>
        <v>6</v>
      </c>
      <c r="AM53" s="69">
        <f t="shared" ca="1" si="11"/>
        <v>6</v>
      </c>
      <c r="AN53" s="4">
        <f t="shared" ca="1" si="32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3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A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46223</v>
      </c>
      <c r="C54" s="401"/>
      <c r="D54" s="443">
        <f ca="1">IF(N54=0,IF(N53=1,SUM(D$25:E53)," "),IF(N54=0," ",IF(N55=1,D$25,IF(N55=0,D$10-D$25*(M$14-1)," "))))</f>
        <v>666670</v>
      </c>
      <c r="E54" s="443"/>
      <c r="F54" s="84">
        <f ca="1">IF(N54=0,IF(N53=1,SUM(F$25:F53)," "),IF(M$1=1,P54,IF(M$1=2,Q54," ")))</f>
        <v>1372220</v>
      </c>
      <c r="G54" s="84">
        <v>0</v>
      </c>
      <c r="H54" s="84">
        <f t="shared" ca="1" si="19"/>
        <v>2038890</v>
      </c>
      <c r="I54" s="84">
        <f t="shared" ca="1" si="20"/>
        <v>740740</v>
      </c>
      <c r="J54" s="84">
        <f t="shared" ca="1" si="0"/>
        <v>1524690</v>
      </c>
      <c r="K54" s="84">
        <v>0</v>
      </c>
      <c r="L54" s="84">
        <f t="shared" ca="1" si="21"/>
        <v>2265430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1372220</v>
      </c>
      <c r="Q54" s="22">
        <f t="shared" ca="1" si="3"/>
        <v>1372220</v>
      </c>
      <c r="R54" s="22">
        <f t="shared" ca="1" si="23"/>
        <v>20666570</v>
      </c>
      <c r="S54" s="22">
        <f t="shared" ca="1" si="24"/>
        <v>666670</v>
      </c>
      <c r="T54" s="22">
        <f t="shared" ca="1" si="25"/>
        <v>666670</v>
      </c>
      <c r="U54" s="22">
        <f t="shared" ca="1" si="36"/>
        <v>1372216.0833333335</v>
      </c>
      <c r="V54" s="22">
        <f t="shared" ca="1" si="37"/>
        <v>1372216.0833333335</v>
      </c>
      <c r="W54" s="22">
        <f t="shared" ca="1" si="26"/>
        <v>2600000</v>
      </c>
      <c r="X54" s="22">
        <f t="shared" ca="1" si="27"/>
        <v>2600000</v>
      </c>
      <c r="Y54" s="22">
        <f t="shared" ca="1" si="4"/>
        <v>22962980</v>
      </c>
      <c r="Z54" s="22">
        <f t="shared" ca="1" si="38"/>
        <v>1524692.4333333333</v>
      </c>
      <c r="AA54" s="22">
        <f t="shared" ca="1" si="5"/>
        <v>1524690</v>
      </c>
      <c r="AB54" s="22">
        <f t="shared" ca="1" si="35"/>
        <v>633330500</v>
      </c>
      <c r="AC54" s="22">
        <f t="shared" ca="1" si="6"/>
        <v>0</v>
      </c>
      <c r="AD54" s="22">
        <f t="shared" ca="1" si="7"/>
        <v>0</v>
      </c>
      <c r="AE54" s="22">
        <f t="shared" ca="1" si="29"/>
        <v>0</v>
      </c>
      <c r="AF54" s="22">
        <f t="shared" ca="1" si="8"/>
        <v>0</v>
      </c>
      <c r="AG54" s="22">
        <f t="shared" ca="1" si="30"/>
        <v>0</v>
      </c>
      <c r="AH54" s="22">
        <f t="shared" ca="1" si="9"/>
        <v>0</v>
      </c>
      <c r="AI54" s="22">
        <f t="shared" ca="1" si="10"/>
        <v>20666570</v>
      </c>
      <c r="AJ54" s="22">
        <f t="shared" ca="1" si="39"/>
        <v>0</v>
      </c>
      <c r="AK54" s="22">
        <f t="shared" ca="1" si="40"/>
        <v>0</v>
      </c>
      <c r="AL54" s="69">
        <f t="shared" ca="1" si="31"/>
        <v>7</v>
      </c>
      <c r="AM54" s="69">
        <f t="shared" ca="1" si="11"/>
        <v>7</v>
      </c>
      <c r="AN54" s="4">
        <f t="shared" ca="1" si="32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3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A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46254</v>
      </c>
      <c r="C55" s="401"/>
      <c r="D55" s="443">
        <f ca="1">IF(N55=0,IF(N54=1,SUM(D$25:E54)," "),IF(N55=0," ",IF(N56=1,D$25,IF(N56=0,D$10-D$25*(M$14-1)," "))))</f>
        <v>666670</v>
      </c>
      <c r="E55" s="443"/>
      <c r="F55" s="84">
        <f ca="1">IF(N55=0,IF(N54=1,SUM(F$25:F54)," "),IF(M$1=1,P55,IF(M$1=2,Q55," ")))</f>
        <v>1328880</v>
      </c>
      <c r="G55" s="84">
        <v>0</v>
      </c>
      <c r="H55" s="84">
        <f t="shared" ca="1" si="19"/>
        <v>1995550</v>
      </c>
      <c r="I55" s="84">
        <f t="shared" ca="1" si="20"/>
        <v>740740</v>
      </c>
      <c r="J55" s="84">
        <f t="shared" ca="1" si="0"/>
        <v>1476540</v>
      </c>
      <c r="K55" s="84">
        <v>0</v>
      </c>
      <c r="L55" s="84">
        <f t="shared" ca="1" si="21"/>
        <v>2217280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1328880</v>
      </c>
      <c r="Q55" s="22">
        <f t="shared" ca="1" si="3"/>
        <v>1328880</v>
      </c>
      <c r="R55" s="22">
        <f t="shared" ca="1" si="23"/>
        <v>19999900</v>
      </c>
      <c r="S55" s="22">
        <f t="shared" ca="1" si="24"/>
        <v>666670</v>
      </c>
      <c r="T55" s="22">
        <f t="shared" ca="1" si="25"/>
        <v>666670</v>
      </c>
      <c r="U55" s="22">
        <f t="shared" ca="1" si="36"/>
        <v>1328882.5333333334</v>
      </c>
      <c r="V55" s="22">
        <f t="shared" ca="1" si="37"/>
        <v>1328882.5333333334</v>
      </c>
      <c r="W55" s="22">
        <f t="shared" ca="1" si="26"/>
        <v>2600000</v>
      </c>
      <c r="X55" s="22">
        <f t="shared" ca="1" si="27"/>
        <v>2600000</v>
      </c>
      <c r="Y55" s="22">
        <f t="shared" ca="1" si="4"/>
        <v>22222240</v>
      </c>
      <c r="Z55" s="22">
        <f t="shared" ca="1" si="38"/>
        <v>1476544.3333333333</v>
      </c>
      <c r="AA55" s="22">
        <f t="shared" ca="1" si="5"/>
        <v>1476540</v>
      </c>
      <c r="AB55" s="22">
        <f t="shared" ca="1" si="35"/>
        <v>613330400</v>
      </c>
      <c r="AC55" s="22">
        <f t="shared" ca="1" si="6"/>
        <v>0</v>
      </c>
      <c r="AD55" s="22">
        <f t="shared" ca="1" si="7"/>
        <v>0</v>
      </c>
      <c r="AE55" s="22">
        <f t="shared" ca="1" si="29"/>
        <v>0</v>
      </c>
      <c r="AF55" s="22">
        <f t="shared" ca="1" si="8"/>
        <v>0</v>
      </c>
      <c r="AG55" s="22">
        <f t="shared" ca="1" si="30"/>
        <v>0</v>
      </c>
      <c r="AH55" s="22">
        <f t="shared" ca="1" si="9"/>
        <v>0</v>
      </c>
      <c r="AI55" s="22">
        <f t="shared" ca="1" si="10"/>
        <v>19999900</v>
      </c>
      <c r="AJ55" s="22">
        <f t="shared" ca="1" si="39"/>
        <v>0</v>
      </c>
      <c r="AK55" s="22">
        <f t="shared" ca="1" si="40"/>
        <v>0</v>
      </c>
      <c r="AL55" s="69">
        <f t="shared" ca="1" si="31"/>
        <v>8</v>
      </c>
      <c r="AM55" s="69">
        <f t="shared" ca="1" si="11"/>
        <v>8</v>
      </c>
      <c r="AN55" s="4">
        <f t="shared" ca="1" si="32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3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A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46285</v>
      </c>
      <c r="C56" s="401"/>
      <c r="D56" s="443">
        <f ca="1">IF(N56=0,IF(N55=1,SUM(D$25:E55)," "),IF(N56=0," ",IF(N57=1,D$25,IF(N57=0,D$10-D$25*(M$14-1)," "))))</f>
        <v>666670</v>
      </c>
      <c r="E56" s="443"/>
      <c r="F56" s="84">
        <f ca="1">IF(N56=0,IF(N55=1,SUM(F$25:F55)," "),IF(M$1=1,P56,IF(M$1=2,Q56," ")))</f>
        <v>1285550</v>
      </c>
      <c r="G56" s="84">
        <v>0</v>
      </c>
      <c r="H56" s="84">
        <f t="shared" ca="1" si="19"/>
        <v>1952220</v>
      </c>
      <c r="I56" s="84">
        <f t="shared" ca="1" si="20"/>
        <v>740740</v>
      </c>
      <c r="J56" s="84">
        <f t="shared" ca="1" si="0"/>
        <v>1428400</v>
      </c>
      <c r="K56" s="84">
        <v>0</v>
      </c>
      <c r="L56" s="84">
        <f t="shared" ca="1" si="21"/>
        <v>2169140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1285550</v>
      </c>
      <c r="Q56" s="22">
        <f t="shared" ca="1" si="3"/>
        <v>1285550</v>
      </c>
      <c r="R56" s="22">
        <f t="shared" ca="1" si="23"/>
        <v>19333230</v>
      </c>
      <c r="S56" s="22">
        <f t="shared" ca="1" si="24"/>
        <v>666670</v>
      </c>
      <c r="T56" s="22">
        <f t="shared" ca="1" si="25"/>
        <v>666670</v>
      </c>
      <c r="U56" s="22">
        <f t="shared" ca="1" si="36"/>
        <v>1285548.9833333334</v>
      </c>
      <c r="V56" s="22">
        <f t="shared" ca="1" si="37"/>
        <v>1285548.9833333334</v>
      </c>
      <c r="W56" s="22">
        <f t="shared" ca="1" si="26"/>
        <v>2600000</v>
      </c>
      <c r="X56" s="22">
        <f t="shared" ca="1" si="27"/>
        <v>2600000</v>
      </c>
      <c r="Y56" s="22">
        <f t="shared" ca="1" si="4"/>
        <v>21481500</v>
      </c>
      <c r="Z56" s="22">
        <f t="shared" ca="1" si="38"/>
        <v>1428396.2333333334</v>
      </c>
      <c r="AA56" s="22">
        <f t="shared" ca="1" si="5"/>
        <v>1428400</v>
      </c>
      <c r="AB56" s="22">
        <f t="shared" ca="1" si="35"/>
        <v>593330300</v>
      </c>
      <c r="AC56" s="22">
        <f t="shared" ca="1" si="6"/>
        <v>0</v>
      </c>
      <c r="AD56" s="22">
        <f t="shared" ca="1" si="7"/>
        <v>0</v>
      </c>
      <c r="AE56" s="22">
        <f t="shared" ca="1" si="29"/>
        <v>0</v>
      </c>
      <c r="AF56" s="22">
        <f t="shared" ca="1" si="8"/>
        <v>0</v>
      </c>
      <c r="AG56" s="22">
        <f t="shared" ca="1" si="30"/>
        <v>0</v>
      </c>
      <c r="AH56" s="22">
        <f t="shared" ca="1" si="9"/>
        <v>0</v>
      </c>
      <c r="AI56" s="22">
        <f t="shared" ca="1" si="10"/>
        <v>19333230</v>
      </c>
      <c r="AJ56" s="22">
        <f t="shared" ca="1" si="39"/>
        <v>0</v>
      </c>
      <c r="AK56" s="22">
        <f t="shared" ca="1" si="40"/>
        <v>0</v>
      </c>
      <c r="AL56" s="69">
        <f t="shared" ca="1" si="31"/>
        <v>9</v>
      </c>
      <c r="AM56" s="69">
        <f t="shared" ca="1" si="11"/>
        <v>9</v>
      </c>
      <c r="AN56" s="4">
        <f t="shared" ca="1" si="32"/>
        <v>2026</v>
      </c>
      <c r="AO56" s="4">
        <f t="shared" ca="1" si="12"/>
        <v>2026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3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A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46315</v>
      </c>
      <c r="C57" s="401"/>
      <c r="D57" s="443">
        <f ca="1">IF(N57=0,IF(N56=1,SUM(D$25:E56)," "),IF(N57=0," ",IF(N58=1,D$25,IF(N58=0,D$10-D$25*(M$14-1)," "))))</f>
        <v>666670</v>
      </c>
      <c r="E57" s="443"/>
      <c r="F57" s="84">
        <f ca="1">IF(N57=0,IF(N56=1,SUM(F$25:F56)," "),IF(M$1=1,P57,IF(M$1=2,Q57," ")))</f>
        <v>1242210</v>
      </c>
      <c r="G57" s="84">
        <v>0</v>
      </c>
      <c r="H57" s="84">
        <f t="shared" ca="1" si="19"/>
        <v>1908880</v>
      </c>
      <c r="I57" s="84">
        <f t="shared" ca="1" si="20"/>
        <v>740740</v>
      </c>
      <c r="J57" s="84">
        <f t="shared" ref="J57:J85" ca="1" si="41">AA57</f>
        <v>1380250</v>
      </c>
      <c r="K57" s="84">
        <v>0</v>
      </c>
      <c r="L57" s="84">
        <f t="shared" ca="1" si="21"/>
        <v>2120990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1242210</v>
      </c>
      <c r="Q57" s="22">
        <f t="shared" ref="Q57:Q85" ca="1" si="44">IF(V57&lt;&gt;0,IF(VALUE(RIGHT(ROUND(V57,0)))&lt;=5,ROUND(V57,0)-VALUE(RIGHT(ROUND(V57,0))),ROUND(V57,0)+10-VALUE(RIGHT(ROUND(V57,0)))),0)</f>
        <v>1242210</v>
      </c>
      <c r="R57" s="22">
        <f t="shared" ca="1" si="23"/>
        <v>18666560</v>
      </c>
      <c r="S57" s="22">
        <f t="shared" ca="1" si="24"/>
        <v>666670</v>
      </c>
      <c r="T57" s="22">
        <f t="shared" ca="1" si="25"/>
        <v>666670</v>
      </c>
      <c r="U57" s="22">
        <f t="shared" ca="1" si="36"/>
        <v>1242215.4333333333</v>
      </c>
      <c r="V57" s="22">
        <f t="shared" ca="1" si="37"/>
        <v>1242215.4333333333</v>
      </c>
      <c r="W57" s="22">
        <f t="shared" ca="1" si="26"/>
        <v>2600000</v>
      </c>
      <c r="X57" s="22">
        <f t="shared" ca="1" si="27"/>
        <v>2600000</v>
      </c>
      <c r="Y57" s="22">
        <f t="shared" ref="Y57:Y85" ca="1" si="45">IF(M57&lt;=(D$15+1),D$10,Y56-I56)</f>
        <v>20740760</v>
      </c>
      <c r="Z57" s="22">
        <f t="shared" ca="1" si="38"/>
        <v>1380248.1333333333</v>
      </c>
      <c r="AA57" s="22">
        <f t="shared" ref="AA57:AA85" ca="1" si="46">IF(Z57&lt;&gt;0,IF(VALUE(RIGHT(ROUND(Z57,0)))&lt;=5,ROUND(Z57,0)-VALUE(RIGHT(ROUND(Z57,0))),ROUND(Z57,0)+10-VALUE(RIGHT(ROUND(Z57,0)))),0)</f>
        <v>1380250</v>
      </c>
      <c r="AB57" s="22">
        <f t="shared" ca="1" si="35"/>
        <v>573330200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9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30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18666560</v>
      </c>
      <c r="AJ57" s="22">
        <f t="shared" ca="1" si="39"/>
        <v>0</v>
      </c>
      <c r="AK57" s="22">
        <f t="shared" ca="1" si="40"/>
        <v>0</v>
      </c>
      <c r="AL57" s="69">
        <f t="shared" ca="1" si="31"/>
        <v>10</v>
      </c>
      <c r="AM57" s="69">
        <f t="shared" ref="AM57:AM85" ca="1" si="52">IF(AL57=13,1,AL57)</f>
        <v>10</v>
      </c>
      <c r="AN57" s="4">
        <f t="shared" ca="1" si="32"/>
        <v>2026</v>
      </c>
      <c r="AO57" s="4">
        <f t="shared" ref="AO57:AO85" ca="1" si="53">IF(AM57=1,AN57+1,AN57)</f>
        <v>2026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3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A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46346</v>
      </c>
      <c r="C58" s="401"/>
      <c r="D58" s="443">
        <f ca="1">IF(N58=0,IF(N57=1,SUM(D$25:E57)," "),IF(N58=0," ",IF(N59=1,D$25,IF(N59=0,D$10-D$25*(M$14-1)," "))))</f>
        <v>666670</v>
      </c>
      <c r="E58" s="443"/>
      <c r="F58" s="84">
        <f ca="1">IF(N58=0,IF(N57=1,SUM(F$25:F57)," "),IF(M$1=1,P58,IF(M$1=2,Q58," ")))</f>
        <v>1198880</v>
      </c>
      <c r="G58" s="84">
        <v>0</v>
      </c>
      <c r="H58" s="84">
        <f t="shared" ref="H58:H86" ca="1" si="59">IF(SUM(D58:G58)=0," ",SUM(D58:G58))</f>
        <v>1865550</v>
      </c>
      <c r="I58" s="84">
        <f t="shared" ref="I58:I86" ca="1" si="60">IF(N58=1,IF(N59=1,IF(M58&lt;=D$15,T58,AV$26),D$10-AV$26*M$16+AV$26),0)</f>
        <v>740740</v>
      </c>
      <c r="J58" s="84">
        <f t="shared" ca="1" si="41"/>
        <v>1332100</v>
      </c>
      <c r="K58" s="84">
        <v>0</v>
      </c>
      <c r="L58" s="84">
        <f t="shared" ref="L58:L85" ca="1" si="61">IF(SUM(I58:K58)=0," ",SUM(I58:K58))</f>
        <v>2072840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1198880</v>
      </c>
      <c r="Q58" s="22">
        <f t="shared" ca="1" si="44"/>
        <v>1198880</v>
      </c>
      <c r="R58" s="22">
        <f t="shared" ref="R58:R85" ca="1" si="62">IF(N58=0,0,R57-D57)</f>
        <v>17999890</v>
      </c>
      <c r="S58" s="22">
        <f t="shared" ref="S58:S85" ca="1" si="63">IF(M58&lt;=D$15,D$10/(D$14-M57),D58)</f>
        <v>666670</v>
      </c>
      <c r="T58" s="22">
        <f t="shared" ref="T58:T85" ca="1" si="64">IF(S58&lt;&gt;0,IF(VALUE(RIGHT(ROUND(S58,0)))&lt;=5,ROUND(S58,0)-VALUE(RIGHT(ROUND(S58,0))),ROUND(S58,0)+10-VALUE(RIGHT(ROUND(S58,0)))),0)</f>
        <v>666670</v>
      </c>
      <c r="U58" s="22">
        <f t="shared" ca="1" si="36"/>
        <v>1198881.8833333333</v>
      </c>
      <c r="V58" s="22">
        <f t="shared" ca="1" si="37"/>
        <v>1198881.8833333333</v>
      </c>
      <c r="W58" s="22">
        <f t="shared" ref="W58:W84" ca="1" si="65">IF(N59=1,$D$10*$D$11*20/36000+$D$10*$D$11*10/36000,IF(N59=0,IF(N58=0,0,$D$10*$D$11*$Q$12/36000+$D$10*$D$11*20/36000+$D$10*$D$11*10/36000)))</f>
        <v>2600000</v>
      </c>
      <c r="X58" s="22">
        <f t="shared" ref="X58:X85" ca="1" si="66">IF(W58&lt;&gt;0,IF(VALUE(RIGHT(ROUND(W58,0)))&lt;=5,ROUND(W58,0)-VALUE(RIGHT(ROUND(W58,0))),ROUND(W58,0)+10-VALUE(RIGHT(ROUND(W58,0)))),0)</f>
        <v>2600000</v>
      </c>
      <c r="Y58" s="22">
        <f t="shared" ca="1" si="45"/>
        <v>20000020</v>
      </c>
      <c r="Z58" s="22">
        <f t="shared" ca="1" si="38"/>
        <v>1332100.0333333334</v>
      </c>
      <c r="AA58" s="22">
        <f t="shared" ca="1" si="46"/>
        <v>1332100</v>
      </c>
      <c r="AB58" s="22">
        <f t="shared" ca="1" si="35"/>
        <v>553330100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17999890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11</v>
      </c>
      <c r="AM58" s="69">
        <f t="shared" ca="1" si="52"/>
        <v>11</v>
      </c>
      <c r="AN58" s="4">
        <f t="shared" ref="AN58:AN85" ca="1" si="70">IF(N58=0,0,YEAR(B57))</f>
        <v>2026</v>
      </c>
      <c r="AO58" s="4">
        <f t="shared" ca="1" si="53"/>
        <v>2026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A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46376</v>
      </c>
      <c r="C59" s="401"/>
      <c r="D59" s="443">
        <f ca="1">IF(N59=0,IF(N58=1,SUM(D$25:E58)," "),IF(N59=0," ",IF(N60=1,D$25,IF(N60=0,D$10-D$25*(M$14-1)," "))))</f>
        <v>666670</v>
      </c>
      <c r="E59" s="443"/>
      <c r="F59" s="84">
        <f ca="1">IF(N59=0,IF(N58=1,SUM(F$25:F58)," "),IF(M$1=1,P59,IF(M$1=2,Q59," ")))</f>
        <v>1155550</v>
      </c>
      <c r="G59" s="84">
        <v>0</v>
      </c>
      <c r="H59" s="84">
        <f t="shared" ca="1" si="59"/>
        <v>1822220</v>
      </c>
      <c r="I59" s="84">
        <f t="shared" ca="1" si="60"/>
        <v>740740</v>
      </c>
      <c r="J59" s="84">
        <f t="shared" ca="1" si="41"/>
        <v>1283950</v>
      </c>
      <c r="K59" s="84">
        <v>0</v>
      </c>
      <c r="L59" s="84">
        <f t="shared" ca="1" si="61"/>
        <v>2024690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1155550</v>
      </c>
      <c r="Q59" s="22">
        <f t="shared" ca="1" si="44"/>
        <v>1155550</v>
      </c>
      <c r="R59" s="22">
        <f t="shared" ca="1" si="62"/>
        <v>17333220</v>
      </c>
      <c r="S59" s="22">
        <f t="shared" ca="1" si="63"/>
        <v>666670</v>
      </c>
      <c r="T59" s="22">
        <f t="shared" ca="1" si="64"/>
        <v>666670</v>
      </c>
      <c r="U59" s="22">
        <f t="shared" ca="1" si="36"/>
        <v>1155548.3333333333</v>
      </c>
      <c r="V59" s="22">
        <f t="shared" ca="1" si="37"/>
        <v>1155548.3333333333</v>
      </c>
      <c r="W59" s="22">
        <f t="shared" ca="1" si="65"/>
        <v>2600000</v>
      </c>
      <c r="X59" s="22">
        <f t="shared" ca="1" si="66"/>
        <v>2600000</v>
      </c>
      <c r="Y59" s="22">
        <f t="shared" ca="1" si="45"/>
        <v>19259280</v>
      </c>
      <c r="Z59" s="22">
        <f t="shared" ca="1" si="38"/>
        <v>1283951.9333333333</v>
      </c>
      <c r="AA59" s="22">
        <f t="shared" ca="1" si="46"/>
        <v>1283950</v>
      </c>
      <c r="AB59" s="22">
        <f t="shared" ca="1" si="35"/>
        <v>533330000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17333220</v>
      </c>
      <c r="AJ59" s="22">
        <f t="shared" ca="1" si="39"/>
        <v>0</v>
      </c>
      <c r="AK59" s="22">
        <f t="shared" ca="1" si="40"/>
        <v>0</v>
      </c>
      <c r="AL59" s="69">
        <f t="shared" ca="1" si="69"/>
        <v>12</v>
      </c>
      <c r="AM59" s="69">
        <f t="shared" ca="1" si="52"/>
        <v>12</v>
      </c>
      <c r="AN59" s="4">
        <f t="shared" ca="1" si="70"/>
        <v>2026</v>
      </c>
      <c r="AO59" s="4">
        <f t="shared" ca="1" si="53"/>
        <v>2026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A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46407</v>
      </c>
      <c r="C60" s="401"/>
      <c r="D60" s="443">
        <f ca="1">IF(N60=0,IF(N59=1,SUM(D$25:E59)," "),IF(N60=0," ",IF(N61=1,D$25,IF(N61=0,D$10-D$25*(M$14-1)," "))))</f>
        <v>666670</v>
      </c>
      <c r="E60" s="443"/>
      <c r="F60" s="84">
        <f ca="1">IF(N60=0,IF(N59=1,SUM(F$25:F59)," "),IF(M$1=1,P60,IF(M$1=2,Q60," ")))</f>
        <v>1112210</v>
      </c>
      <c r="G60" s="84">
        <v>0</v>
      </c>
      <c r="H60" s="84">
        <f t="shared" ca="1" si="59"/>
        <v>1778880</v>
      </c>
      <c r="I60" s="84">
        <f t="shared" ca="1" si="60"/>
        <v>740740</v>
      </c>
      <c r="J60" s="84">
        <f t="shared" ca="1" si="41"/>
        <v>1235800</v>
      </c>
      <c r="K60" s="84">
        <v>0</v>
      </c>
      <c r="L60" s="84">
        <f t="shared" ca="1" si="61"/>
        <v>1976540</v>
      </c>
      <c r="M60" s="4">
        <v>36</v>
      </c>
      <c r="N60" s="4">
        <f t="shared" ca="1" si="34"/>
        <v>1</v>
      </c>
      <c r="O60" s="4">
        <f t="shared" ca="1" si="42"/>
        <v>20</v>
      </c>
      <c r="P60" s="22">
        <f t="shared" ca="1" si="43"/>
        <v>1112210</v>
      </c>
      <c r="Q60" s="22">
        <f t="shared" ca="1" si="44"/>
        <v>1112210</v>
      </c>
      <c r="R60" s="22">
        <f t="shared" ca="1" si="62"/>
        <v>16666550</v>
      </c>
      <c r="S60" s="22">
        <f t="shared" ca="1" si="63"/>
        <v>666670</v>
      </c>
      <c r="T60" s="22">
        <f t="shared" ca="1" si="64"/>
        <v>666670</v>
      </c>
      <c r="U60" s="22">
        <f t="shared" ca="1" si="36"/>
        <v>1112214.7833333332</v>
      </c>
      <c r="V60" s="22">
        <f t="shared" ca="1" si="37"/>
        <v>1112214.7833333332</v>
      </c>
      <c r="W60" s="22">
        <f t="shared" ca="1" si="65"/>
        <v>2600000</v>
      </c>
      <c r="X60" s="22">
        <f t="shared" ca="1" si="66"/>
        <v>2600000</v>
      </c>
      <c r="Y60" s="22">
        <f t="shared" ca="1" si="45"/>
        <v>18518540</v>
      </c>
      <c r="Z60" s="22">
        <f t="shared" ca="1" si="38"/>
        <v>1235803.8333333335</v>
      </c>
      <c r="AA60" s="22">
        <f t="shared" ca="1" si="46"/>
        <v>1235800</v>
      </c>
      <c r="AB60" s="22">
        <f t="shared" ca="1" si="35"/>
        <v>513329900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16666550</v>
      </c>
      <c r="AJ60" s="22">
        <f t="shared" ca="1" si="39"/>
        <v>0</v>
      </c>
      <c r="AK60" s="22">
        <f t="shared" ca="1" si="40"/>
        <v>0</v>
      </c>
      <c r="AL60" s="69">
        <f t="shared" ca="1" si="69"/>
        <v>13</v>
      </c>
      <c r="AM60" s="69">
        <f t="shared" ca="1" si="52"/>
        <v>1</v>
      </c>
      <c r="AN60" s="4">
        <f t="shared" ca="1" si="70"/>
        <v>2026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A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8"/>
        <v>46438</v>
      </c>
      <c r="C61" s="401"/>
      <c r="D61" s="443">
        <f ca="1">IF(N61=0,IF(N60=1,SUM(D$25:E60)," "),IF(N61=0," ",IF(N62=1,D$25,IF(N62=0,D$10-D$25*(M$14-1)," "))))</f>
        <v>666670</v>
      </c>
      <c r="E61" s="443"/>
      <c r="F61" s="84">
        <f ca="1">IF(N61=0,IF(N60=1,SUM(F$25:F60)," "),IF(M$1=1,P61,IF(M$1=2,Q61," ")))</f>
        <v>1068880</v>
      </c>
      <c r="G61" s="84">
        <v>0</v>
      </c>
      <c r="H61" s="84">
        <f t="shared" ca="1" si="59"/>
        <v>1735550</v>
      </c>
      <c r="I61" s="84">
        <f t="shared" ca="1" si="60"/>
        <v>740740</v>
      </c>
      <c r="J61" s="84">
        <f t="shared" ca="1" si="41"/>
        <v>1187660</v>
      </c>
      <c r="K61" s="84">
        <v>0</v>
      </c>
      <c r="L61" s="84">
        <f t="shared" ca="1" si="61"/>
        <v>1928400</v>
      </c>
      <c r="M61" s="4">
        <v>37</v>
      </c>
      <c r="N61" s="4">
        <f t="shared" ca="1" si="34"/>
        <v>1</v>
      </c>
      <c r="O61" s="4">
        <f t="shared" ca="1" si="42"/>
        <v>20</v>
      </c>
      <c r="P61" s="22">
        <f t="shared" ca="1" si="43"/>
        <v>1068880</v>
      </c>
      <c r="Q61" s="22">
        <f t="shared" ca="1" si="44"/>
        <v>1068880</v>
      </c>
      <c r="R61" s="22">
        <f t="shared" ca="1" si="62"/>
        <v>15999880</v>
      </c>
      <c r="S61" s="22">
        <f t="shared" ca="1" si="63"/>
        <v>666670</v>
      </c>
      <c r="T61" s="22">
        <f t="shared" ca="1" si="64"/>
        <v>666670</v>
      </c>
      <c r="U61" s="22">
        <f ca="1">IF(N62=1,R60*D$11*20/36000+R61*D$11*10/36000,IF(N62=0,IF(N61=0,0,IF(D40&gt;20,R60*D$11*20/36000+R61*D$11*(Q$12-20)/36000,R61*D$11*Q$12/36000))))</f>
        <v>1068881.2333333334</v>
      </c>
      <c r="V61" s="22">
        <f ca="1">IF(N62=1,R60*D$11*20/36000+R61*D$11*10/36000,IF(N62=0,IF(N61=0,0,IF(D40&gt;20,R60*D$11*20/36000+R61*D$11*(Q$12-20)/36000,R61*D$11*Q$12/36000))))</f>
        <v>1068881.2333333334</v>
      </c>
      <c r="W61" s="22">
        <f t="shared" ca="1" si="65"/>
        <v>2600000</v>
      </c>
      <c r="X61" s="22">
        <f t="shared" ca="1" si="66"/>
        <v>2600000</v>
      </c>
      <c r="Y61" s="22">
        <f t="shared" ca="1" si="45"/>
        <v>17777800</v>
      </c>
      <c r="Z61" s="22">
        <f ca="1">IF(N62=1,Y60*D$11*20/36000+Y61*D$11*10/36000,IF(N62=0,IF(N61=0,0,IF(D$16&gt;20,Y60*D$11*20/36000+Y61*D$11*(Q$12-20)/36000,Y61*D$11*Q$12/36000))))</f>
        <v>1187655.7333333334</v>
      </c>
      <c r="AA61" s="22">
        <f t="shared" ca="1" si="46"/>
        <v>1187660</v>
      </c>
      <c r="AB61" s="22">
        <f t="shared" ca="1" si="35"/>
        <v>493329800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15999880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2</v>
      </c>
      <c r="AM61" s="69">
        <f t="shared" ca="1" si="52"/>
        <v>2</v>
      </c>
      <c r="AN61" s="4">
        <f t="shared" ca="1" si="70"/>
        <v>2027</v>
      </c>
      <c r="AO61" s="4">
        <f t="shared" ca="1" si="53"/>
        <v>2027</v>
      </c>
      <c r="AP61" s="4">
        <f t="shared" ca="1" si="54"/>
        <v>0</v>
      </c>
      <c r="AQ61" s="4">
        <f t="shared" ca="1" si="55"/>
        <v>28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1</v>
      </c>
      <c r="AZ61" s="19"/>
      <c r="BA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8"/>
        <v>46466</v>
      </c>
      <c r="C62" s="401"/>
      <c r="D62" s="443">
        <f ca="1">IF(N62=0,IF(N61=1,SUM(D$25:E61)," "),IF(N62=0," ",IF(N63=1,D$25,IF(N63=0,D$10-D$25*(M$14-1)," "))))</f>
        <v>666670</v>
      </c>
      <c r="E62" s="443"/>
      <c r="F62" s="84">
        <f ca="1">IF(N62=0,IF(N61=1,SUM(F$25:F61)," "),IF(M$1=1,P62,IF(M$1=2,Q62," ")))</f>
        <v>1025550</v>
      </c>
      <c r="G62" s="84">
        <v>0</v>
      </c>
      <c r="H62" s="84">
        <f t="shared" ca="1" si="59"/>
        <v>1692220</v>
      </c>
      <c r="I62" s="84">
        <f t="shared" ca="1" si="60"/>
        <v>740740</v>
      </c>
      <c r="J62" s="84">
        <f t="shared" ca="1" si="41"/>
        <v>1139510</v>
      </c>
      <c r="K62" s="84">
        <v>0</v>
      </c>
      <c r="L62" s="84">
        <f t="shared" ca="1" si="61"/>
        <v>1880250</v>
      </c>
      <c r="M62" s="4">
        <v>38</v>
      </c>
      <c r="N62" s="4">
        <f t="shared" ca="1" si="34"/>
        <v>1</v>
      </c>
      <c r="O62" s="4">
        <f t="shared" ca="1" si="42"/>
        <v>20</v>
      </c>
      <c r="P62" s="22">
        <f t="shared" ca="1" si="43"/>
        <v>1025550</v>
      </c>
      <c r="Q62" s="22">
        <f t="shared" ca="1" si="44"/>
        <v>1025550</v>
      </c>
      <c r="R62" s="22">
        <f t="shared" ca="1" si="62"/>
        <v>15333210</v>
      </c>
      <c r="S62" s="22">
        <f t="shared" ca="1" si="63"/>
        <v>666670</v>
      </c>
      <c r="T62" s="22">
        <f t="shared" ca="1" si="64"/>
        <v>666670</v>
      </c>
      <c r="U62" s="22">
        <f t="shared" ref="U62:U72" ca="1" si="72">IF(N63=1,R61*D$11*20/36000+R62*D$11*10/36000,IF(N63=0,IF(N62=0,0,R62*D$11*Q$12/36000+R61*D$11*20/36000+R62*D$11*10/36000)))</f>
        <v>1025547.6833333333</v>
      </c>
      <c r="V62" s="22">
        <f t="shared" ref="V62:V72" ca="1" si="73">IF(N63=1,R61*D$11*20/36000+R62*D$11*10/36000,IF(N63=0,IF(N62=0,0,R62*D$11*Q$12/36000+R61*D$11*20/36000+R62*D$11*10/36000)))</f>
        <v>1025547.6833333333</v>
      </c>
      <c r="W62" s="22">
        <f t="shared" ca="1" si="65"/>
        <v>2600000</v>
      </c>
      <c r="X62" s="22">
        <f t="shared" ca="1" si="66"/>
        <v>2600000</v>
      </c>
      <c r="Y62" s="22">
        <f t="shared" ca="1" si="45"/>
        <v>17037060</v>
      </c>
      <c r="Z62" s="22">
        <f t="shared" ref="Z62:Z72" ca="1" si="74">IF(N63=1,Y61*D$11*20/36000+Y62*D$11*10/36000,IF(N63=0,IF(N62=0,0,Y62*D$11*Q$12/36000+Y61*D$11*20/36000+Y62*D$11*10/36000)))</f>
        <v>1139507.6333333333</v>
      </c>
      <c r="AA62" s="22">
        <f t="shared" ca="1" si="46"/>
        <v>1139510</v>
      </c>
      <c r="AB62" s="22">
        <f t="shared" ca="1" si="35"/>
        <v>473329700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15333210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3</v>
      </c>
      <c r="AM62" s="69">
        <f t="shared" ca="1" si="52"/>
        <v>3</v>
      </c>
      <c r="AN62" s="4">
        <f t="shared" ca="1" si="70"/>
        <v>2027</v>
      </c>
      <c r="AO62" s="4">
        <f t="shared" ca="1" si="53"/>
        <v>2027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28</v>
      </c>
      <c r="AT62" s="19"/>
      <c r="AU62" s="19"/>
      <c r="AV62" s="19"/>
      <c r="AW62" s="19"/>
      <c r="AX62" s="19"/>
      <c r="AY62" s="4">
        <f t="shared" ca="1" si="57"/>
        <v>1</v>
      </c>
      <c r="AZ62" s="19"/>
      <c r="BA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8"/>
        <v>46497</v>
      </c>
      <c r="C63" s="401"/>
      <c r="D63" s="443">
        <f ca="1">IF(N63=0,IF(N62=1,SUM(D$25:E62)," "),IF(N63=0," ",IF(N64=1,D$25,IF(N64=0,D$10-D$25*(M$14-1)," "))))</f>
        <v>666670</v>
      </c>
      <c r="E63" s="443"/>
      <c r="F63" s="84">
        <f ca="1">IF(N63=0,IF(N62=1,SUM(F$25:F62)," "),IF(M$1=1,P63,IF(M$1=2,Q63," ")))</f>
        <v>982210</v>
      </c>
      <c r="G63" s="84">
        <v>0</v>
      </c>
      <c r="H63" s="84">
        <f t="shared" ca="1" si="59"/>
        <v>1648880</v>
      </c>
      <c r="I63" s="84">
        <f t="shared" ca="1" si="60"/>
        <v>740740</v>
      </c>
      <c r="J63" s="84">
        <f t="shared" ca="1" si="41"/>
        <v>1091360</v>
      </c>
      <c r="K63" s="84">
        <v>0</v>
      </c>
      <c r="L63" s="84">
        <f t="shared" ca="1" si="61"/>
        <v>1832100</v>
      </c>
      <c r="M63" s="4">
        <v>39</v>
      </c>
      <c r="N63" s="4">
        <f t="shared" ca="1" si="34"/>
        <v>1</v>
      </c>
      <c r="O63" s="4">
        <f t="shared" ca="1" si="42"/>
        <v>20</v>
      </c>
      <c r="P63" s="22">
        <f t="shared" ca="1" si="43"/>
        <v>982210</v>
      </c>
      <c r="Q63" s="22">
        <f t="shared" ca="1" si="44"/>
        <v>982210</v>
      </c>
      <c r="R63" s="22">
        <f t="shared" ca="1" si="62"/>
        <v>14666540</v>
      </c>
      <c r="S63" s="22">
        <f t="shared" ca="1" si="63"/>
        <v>666670</v>
      </c>
      <c r="T63" s="22">
        <f t="shared" ca="1" si="64"/>
        <v>666670</v>
      </c>
      <c r="U63" s="22">
        <f t="shared" ca="1" si="72"/>
        <v>982214.1333333333</v>
      </c>
      <c r="V63" s="22">
        <f t="shared" ca="1" si="73"/>
        <v>982214.1333333333</v>
      </c>
      <c r="W63" s="22">
        <f t="shared" ca="1" si="65"/>
        <v>2600000</v>
      </c>
      <c r="X63" s="22">
        <f t="shared" ca="1" si="66"/>
        <v>2600000</v>
      </c>
      <c r="Y63" s="22">
        <f t="shared" ca="1" si="45"/>
        <v>16296320</v>
      </c>
      <c r="Z63" s="22">
        <f t="shared" ca="1" si="74"/>
        <v>1091359.5333333332</v>
      </c>
      <c r="AA63" s="22">
        <f t="shared" ca="1" si="46"/>
        <v>1091360</v>
      </c>
      <c r="AB63" s="22">
        <f t="shared" ca="1" si="35"/>
        <v>453329600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14666540</v>
      </c>
      <c r="AJ63" s="22">
        <f t="shared" ca="1" si="75"/>
        <v>0</v>
      </c>
      <c r="AK63" s="22">
        <f t="shared" ca="1" si="76"/>
        <v>0</v>
      </c>
      <c r="AL63" s="69">
        <f t="shared" ca="1" si="69"/>
        <v>4</v>
      </c>
      <c r="AM63" s="69">
        <f t="shared" ca="1" si="52"/>
        <v>4</v>
      </c>
      <c r="AN63" s="4">
        <f t="shared" ca="1" si="70"/>
        <v>2027</v>
      </c>
      <c r="AO63" s="4">
        <f t="shared" ca="1" si="53"/>
        <v>2027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1</v>
      </c>
      <c r="AZ63" s="19"/>
      <c r="BA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8"/>
        <v>46527</v>
      </c>
      <c r="C64" s="401"/>
      <c r="D64" s="443">
        <f ca="1">IF(N64=0,IF(N63=1,SUM(D$25:E63)," "),IF(N64=0," ",IF(N65=1,D$25,IF(N65=0,D$10-D$25*(M$14-1)," "))))</f>
        <v>666670</v>
      </c>
      <c r="E64" s="443"/>
      <c r="F64" s="84">
        <f ca="1">IF(N64=0,IF(N63=1,SUM(F$25:F63)," "),IF(M$1=1,P64,IF(M$1=2,Q64," ")))</f>
        <v>938880</v>
      </c>
      <c r="G64" s="84">
        <v>0</v>
      </c>
      <c r="H64" s="84">
        <f t="shared" ca="1" si="59"/>
        <v>1605550</v>
      </c>
      <c r="I64" s="84">
        <f t="shared" ca="1" si="60"/>
        <v>740740</v>
      </c>
      <c r="J64" s="84">
        <f t="shared" ca="1" si="41"/>
        <v>1043210</v>
      </c>
      <c r="K64" s="84">
        <v>0</v>
      </c>
      <c r="L64" s="84">
        <f t="shared" ca="1" si="61"/>
        <v>1783950</v>
      </c>
      <c r="M64" s="4">
        <v>40</v>
      </c>
      <c r="N64" s="4">
        <f t="shared" ca="1" si="34"/>
        <v>1</v>
      </c>
      <c r="O64" s="4">
        <f t="shared" ca="1" si="42"/>
        <v>20</v>
      </c>
      <c r="P64" s="22">
        <f t="shared" ca="1" si="43"/>
        <v>938880</v>
      </c>
      <c r="Q64" s="22">
        <f t="shared" ca="1" si="44"/>
        <v>938880</v>
      </c>
      <c r="R64" s="22">
        <f t="shared" ca="1" si="62"/>
        <v>13999870</v>
      </c>
      <c r="S64" s="22">
        <f t="shared" ca="1" si="63"/>
        <v>666670</v>
      </c>
      <c r="T64" s="22">
        <f t="shared" ca="1" si="64"/>
        <v>666670</v>
      </c>
      <c r="U64" s="22">
        <f t="shared" ca="1" si="72"/>
        <v>938880.58333333326</v>
      </c>
      <c r="V64" s="22">
        <f t="shared" ca="1" si="73"/>
        <v>938880.58333333326</v>
      </c>
      <c r="W64" s="22">
        <f t="shared" ca="1" si="65"/>
        <v>2600000</v>
      </c>
      <c r="X64" s="22">
        <f t="shared" ca="1" si="66"/>
        <v>2600000</v>
      </c>
      <c r="Y64" s="22">
        <f t="shared" ca="1" si="45"/>
        <v>15555580</v>
      </c>
      <c r="Z64" s="22">
        <f t="shared" ca="1" si="74"/>
        <v>1043211.4333333333</v>
      </c>
      <c r="AA64" s="22">
        <f t="shared" ca="1" si="46"/>
        <v>1043210</v>
      </c>
      <c r="AB64" s="22">
        <f t="shared" ca="1" si="35"/>
        <v>433329500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13999870</v>
      </c>
      <c r="AJ64" s="22">
        <f t="shared" ca="1" si="75"/>
        <v>0</v>
      </c>
      <c r="AK64" s="22">
        <f t="shared" ca="1" si="76"/>
        <v>0</v>
      </c>
      <c r="AL64" s="69">
        <f t="shared" ca="1" si="69"/>
        <v>5</v>
      </c>
      <c r="AM64" s="69">
        <f t="shared" ca="1" si="52"/>
        <v>5</v>
      </c>
      <c r="AN64" s="4">
        <f t="shared" ca="1" si="70"/>
        <v>2027</v>
      </c>
      <c r="AO64" s="4">
        <f t="shared" ca="1" si="53"/>
        <v>2027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1</v>
      </c>
      <c r="AZ64" s="19"/>
      <c r="BA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8"/>
        <v>46558</v>
      </c>
      <c r="C65" s="401"/>
      <c r="D65" s="443">
        <f ca="1">IF(N65=0,IF(N64=1,SUM(D$25:E64)," "),IF(N65=0," ",IF(N66=1,D$25,IF(N66=0,D$10-D$25*(M$14-1)," "))))</f>
        <v>666670</v>
      </c>
      <c r="E65" s="443"/>
      <c r="F65" s="84">
        <f ca="1">IF(N65=0,IF(N64=1,SUM(F$25:F64)," "),IF(M$1=1,P65,IF(M$1=2,Q65," ")))</f>
        <v>895550</v>
      </c>
      <c r="G65" s="84">
        <v>0</v>
      </c>
      <c r="H65" s="84">
        <f t="shared" ca="1" si="59"/>
        <v>1562220</v>
      </c>
      <c r="I65" s="84">
        <f t="shared" ca="1" si="60"/>
        <v>740740</v>
      </c>
      <c r="J65" s="84">
        <f t="shared" ca="1" si="41"/>
        <v>995060</v>
      </c>
      <c r="K65" s="84">
        <v>0</v>
      </c>
      <c r="L65" s="84">
        <f t="shared" ca="1" si="61"/>
        <v>1735800</v>
      </c>
      <c r="M65" s="4">
        <v>41</v>
      </c>
      <c r="N65" s="4">
        <f t="shared" ca="1" si="34"/>
        <v>1</v>
      </c>
      <c r="O65" s="4">
        <f t="shared" ca="1" si="42"/>
        <v>20</v>
      </c>
      <c r="P65" s="22">
        <f t="shared" ca="1" si="43"/>
        <v>895550</v>
      </c>
      <c r="Q65" s="22">
        <f t="shared" ca="1" si="44"/>
        <v>895550</v>
      </c>
      <c r="R65" s="22">
        <f t="shared" ca="1" si="62"/>
        <v>13333200</v>
      </c>
      <c r="S65" s="22">
        <f t="shared" ca="1" si="63"/>
        <v>666670</v>
      </c>
      <c r="T65" s="22">
        <f t="shared" ca="1" si="64"/>
        <v>666670</v>
      </c>
      <c r="U65" s="22">
        <f t="shared" ca="1" si="72"/>
        <v>895547.03333333333</v>
      </c>
      <c r="V65" s="22">
        <f t="shared" ca="1" si="73"/>
        <v>895547.03333333333</v>
      </c>
      <c r="W65" s="22">
        <f t="shared" ca="1" si="65"/>
        <v>2600000</v>
      </c>
      <c r="X65" s="22">
        <f t="shared" ca="1" si="66"/>
        <v>2600000</v>
      </c>
      <c r="Y65" s="22">
        <f t="shared" ca="1" si="45"/>
        <v>14814840</v>
      </c>
      <c r="Z65" s="22">
        <f t="shared" ca="1" si="74"/>
        <v>995063.33333333326</v>
      </c>
      <c r="AA65" s="22">
        <f t="shared" ca="1" si="46"/>
        <v>995060</v>
      </c>
      <c r="AB65" s="22">
        <f t="shared" ca="1" si="35"/>
        <v>413329400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13333200</v>
      </c>
      <c r="AJ65" s="22">
        <f t="shared" ca="1" si="75"/>
        <v>0</v>
      </c>
      <c r="AK65" s="22">
        <f t="shared" ca="1" si="76"/>
        <v>0</v>
      </c>
      <c r="AL65" s="69">
        <f t="shared" ca="1" si="69"/>
        <v>6</v>
      </c>
      <c r="AM65" s="69">
        <f t="shared" ca="1" si="52"/>
        <v>6</v>
      </c>
      <c r="AN65" s="4">
        <f t="shared" ca="1" si="70"/>
        <v>2027</v>
      </c>
      <c r="AO65" s="4">
        <f t="shared" ca="1" si="53"/>
        <v>2027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1</v>
      </c>
      <c r="AZ65" s="19"/>
      <c r="BA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8"/>
        <v>46588</v>
      </c>
      <c r="C66" s="401"/>
      <c r="D66" s="443">
        <f ca="1">IF(N66=0,IF(N65=1,SUM(D$25:E65)," "),IF(N66=0," ",IF(N67=1,D$25,IF(N67=0,D$10-D$25*(M$14-1)," "))))</f>
        <v>666670</v>
      </c>
      <c r="E66" s="443"/>
      <c r="F66" s="84">
        <f ca="1">IF(N66=0,IF(N65=1,SUM(F$25:F65)," "),IF(M$1=1,P66,IF(M$1=2,Q66," ")))</f>
        <v>852210</v>
      </c>
      <c r="G66" s="84">
        <v>0</v>
      </c>
      <c r="H66" s="84">
        <f t="shared" ca="1" si="59"/>
        <v>1518880</v>
      </c>
      <c r="I66" s="84">
        <f t="shared" ca="1" si="60"/>
        <v>740740</v>
      </c>
      <c r="J66" s="84">
        <f t="shared" ca="1" si="41"/>
        <v>946910</v>
      </c>
      <c r="K66" s="84">
        <v>0</v>
      </c>
      <c r="L66" s="84">
        <f t="shared" ca="1" si="61"/>
        <v>1687650</v>
      </c>
      <c r="M66" s="4">
        <v>42</v>
      </c>
      <c r="N66" s="4">
        <f t="shared" ca="1" si="34"/>
        <v>1</v>
      </c>
      <c r="O66" s="4">
        <f t="shared" ca="1" si="42"/>
        <v>20</v>
      </c>
      <c r="P66" s="22">
        <f t="shared" ca="1" si="43"/>
        <v>852210</v>
      </c>
      <c r="Q66" s="22">
        <f t="shared" ca="1" si="44"/>
        <v>852210</v>
      </c>
      <c r="R66" s="22">
        <f t="shared" ca="1" si="62"/>
        <v>12666530</v>
      </c>
      <c r="S66" s="22">
        <f t="shared" ca="1" si="63"/>
        <v>666670</v>
      </c>
      <c r="T66" s="22">
        <f t="shared" ca="1" si="64"/>
        <v>666670</v>
      </c>
      <c r="U66" s="22">
        <f t="shared" ca="1" si="72"/>
        <v>852213.4833333334</v>
      </c>
      <c r="V66" s="22">
        <f t="shared" ca="1" si="73"/>
        <v>852213.4833333334</v>
      </c>
      <c r="W66" s="22">
        <f t="shared" ca="1" si="65"/>
        <v>2600000</v>
      </c>
      <c r="X66" s="22">
        <f t="shared" ca="1" si="66"/>
        <v>2600000</v>
      </c>
      <c r="Y66" s="22">
        <f t="shared" ca="1" si="45"/>
        <v>14074100</v>
      </c>
      <c r="Z66" s="22">
        <f t="shared" ca="1" si="74"/>
        <v>946915.2333333334</v>
      </c>
      <c r="AA66" s="22">
        <f t="shared" ca="1" si="46"/>
        <v>946910</v>
      </c>
      <c r="AB66" s="22">
        <f t="shared" ca="1" si="35"/>
        <v>393329300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12666530</v>
      </c>
      <c r="AJ66" s="22">
        <f t="shared" ca="1" si="75"/>
        <v>0</v>
      </c>
      <c r="AK66" s="22">
        <f t="shared" ca="1" si="76"/>
        <v>0</v>
      </c>
      <c r="AL66" s="69">
        <f t="shared" ca="1" si="69"/>
        <v>7</v>
      </c>
      <c r="AM66" s="69">
        <f t="shared" ca="1" si="52"/>
        <v>7</v>
      </c>
      <c r="AN66" s="4">
        <f t="shared" ca="1" si="70"/>
        <v>2027</v>
      </c>
      <c r="AO66" s="4">
        <f t="shared" ca="1" si="53"/>
        <v>2027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1</v>
      </c>
      <c r="AZ66" s="19"/>
      <c r="BA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8"/>
        <v>46619</v>
      </c>
      <c r="C67" s="401"/>
      <c r="D67" s="443">
        <f ca="1">IF(N67=0,IF(N66=1,SUM(D$25:E66)," "),IF(N67=0," ",IF(N68=1,D$25,IF(N68=0,D$10-D$25*(M$14-1)," "))))</f>
        <v>666670</v>
      </c>
      <c r="E67" s="443"/>
      <c r="F67" s="84">
        <f ca="1">IF(N67=0,IF(N66=1,SUM(F$25:F66)," "),IF(M$1=1,P67,IF(M$1=2,Q67," ")))</f>
        <v>808880</v>
      </c>
      <c r="G67" s="84">
        <v>0</v>
      </c>
      <c r="H67" s="84">
        <f t="shared" ca="1" si="59"/>
        <v>1475550</v>
      </c>
      <c r="I67" s="84">
        <f t="shared" ca="1" si="60"/>
        <v>740740</v>
      </c>
      <c r="J67" s="84">
        <f t="shared" ca="1" si="41"/>
        <v>898770</v>
      </c>
      <c r="K67" s="84">
        <v>0</v>
      </c>
      <c r="L67" s="84">
        <f t="shared" ca="1" si="61"/>
        <v>1639510</v>
      </c>
      <c r="M67" s="4">
        <v>43</v>
      </c>
      <c r="N67" s="4">
        <f t="shared" ca="1" si="34"/>
        <v>1</v>
      </c>
      <c r="O67" s="4">
        <f t="shared" ca="1" si="42"/>
        <v>20</v>
      </c>
      <c r="P67" s="22">
        <f t="shared" ca="1" si="43"/>
        <v>808880</v>
      </c>
      <c r="Q67" s="22">
        <f t="shared" ca="1" si="44"/>
        <v>808880</v>
      </c>
      <c r="R67" s="22">
        <f t="shared" ca="1" si="62"/>
        <v>11999860</v>
      </c>
      <c r="S67" s="22">
        <f t="shared" ca="1" si="63"/>
        <v>666670</v>
      </c>
      <c r="T67" s="22">
        <f t="shared" ca="1" si="64"/>
        <v>666670</v>
      </c>
      <c r="U67" s="22">
        <f t="shared" ca="1" si="72"/>
        <v>808879.93333333335</v>
      </c>
      <c r="V67" s="22">
        <f t="shared" ca="1" si="73"/>
        <v>808879.93333333335</v>
      </c>
      <c r="W67" s="22">
        <f t="shared" ca="1" si="65"/>
        <v>2600000</v>
      </c>
      <c r="X67" s="22">
        <f t="shared" ca="1" si="66"/>
        <v>2600000</v>
      </c>
      <c r="Y67" s="22">
        <f t="shared" ca="1" si="45"/>
        <v>13333360</v>
      </c>
      <c r="Z67" s="22">
        <f t="shared" ca="1" si="74"/>
        <v>898767.1333333333</v>
      </c>
      <c r="AA67" s="22">
        <f t="shared" ca="1" si="46"/>
        <v>898770</v>
      </c>
      <c r="AB67" s="22">
        <f t="shared" ca="1" si="35"/>
        <v>373329200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11999860</v>
      </c>
      <c r="AJ67" s="22">
        <f t="shared" ca="1" si="75"/>
        <v>0</v>
      </c>
      <c r="AK67" s="22">
        <f t="shared" ca="1" si="76"/>
        <v>0</v>
      </c>
      <c r="AL67" s="69">
        <f t="shared" ca="1" si="69"/>
        <v>8</v>
      </c>
      <c r="AM67" s="69">
        <f t="shared" ca="1" si="52"/>
        <v>8</v>
      </c>
      <c r="AN67" s="4">
        <f t="shared" ca="1" si="70"/>
        <v>2027</v>
      </c>
      <c r="AO67" s="4">
        <f t="shared" ca="1" si="53"/>
        <v>2027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1</v>
      </c>
      <c r="AZ67" s="19"/>
      <c r="BA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8"/>
        <v>46650</v>
      </c>
      <c r="C68" s="401"/>
      <c r="D68" s="443">
        <f ca="1">IF(N68=0,IF(N67=1,SUM(D$25:E67)," "),IF(N68=0," ",IF(N69=1,D$25,IF(N69=0,D$10-D$25*(M$14-1)," "))))</f>
        <v>666670</v>
      </c>
      <c r="E68" s="443"/>
      <c r="F68" s="84">
        <f ca="1">IF(N68=0,IF(N67=1,SUM(F$25:F67)," "),IF(M$1=1,P68,IF(M$1=2,Q68," ")))</f>
        <v>765550</v>
      </c>
      <c r="G68" s="84">
        <v>0</v>
      </c>
      <c r="H68" s="84">
        <f t="shared" ca="1" si="59"/>
        <v>1432220</v>
      </c>
      <c r="I68" s="84">
        <f t="shared" ca="1" si="60"/>
        <v>740740</v>
      </c>
      <c r="J68" s="84">
        <f t="shared" ca="1" si="41"/>
        <v>850620</v>
      </c>
      <c r="K68" s="84">
        <v>0</v>
      </c>
      <c r="L68" s="84">
        <f t="shared" ca="1" si="61"/>
        <v>1591360</v>
      </c>
      <c r="M68" s="4">
        <v>44</v>
      </c>
      <c r="N68" s="4">
        <f t="shared" ca="1" si="34"/>
        <v>1</v>
      </c>
      <c r="O68" s="4">
        <f t="shared" ca="1" si="42"/>
        <v>20</v>
      </c>
      <c r="P68" s="22">
        <f t="shared" ca="1" si="43"/>
        <v>765550</v>
      </c>
      <c r="Q68" s="22">
        <f t="shared" ca="1" si="44"/>
        <v>765550</v>
      </c>
      <c r="R68" s="22">
        <f t="shared" ca="1" si="62"/>
        <v>11333190</v>
      </c>
      <c r="S68" s="22">
        <f t="shared" ca="1" si="63"/>
        <v>666670</v>
      </c>
      <c r="T68" s="22">
        <f t="shared" ca="1" si="64"/>
        <v>666670</v>
      </c>
      <c r="U68" s="22">
        <f t="shared" ca="1" si="72"/>
        <v>765546.3833333333</v>
      </c>
      <c r="V68" s="22">
        <f t="shared" ca="1" si="73"/>
        <v>765546.3833333333</v>
      </c>
      <c r="W68" s="22">
        <f t="shared" ca="1" si="65"/>
        <v>2600000</v>
      </c>
      <c r="X68" s="22">
        <f t="shared" ca="1" si="66"/>
        <v>2600000</v>
      </c>
      <c r="Y68" s="22">
        <f t="shared" ca="1" si="45"/>
        <v>12592620</v>
      </c>
      <c r="Z68" s="22">
        <f t="shared" ca="1" si="74"/>
        <v>850619.03333333333</v>
      </c>
      <c r="AA68" s="22">
        <f t="shared" ca="1" si="46"/>
        <v>850620</v>
      </c>
      <c r="AB68" s="22">
        <f t="shared" ca="1" si="35"/>
        <v>353329100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11333190</v>
      </c>
      <c r="AJ68" s="22">
        <f t="shared" ca="1" si="75"/>
        <v>0</v>
      </c>
      <c r="AK68" s="22">
        <f t="shared" ca="1" si="76"/>
        <v>0</v>
      </c>
      <c r="AL68" s="69">
        <f t="shared" ca="1" si="69"/>
        <v>9</v>
      </c>
      <c r="AM68" s="69">
        <f t="shared" ca="1" si="52"/>
        <v>9</v>
      </c>
      <c r="AN68" s="4">
        <f t="shared" ca="1" si="70"/>
        <v>2027</v>
      </c>
      <c r="AO68" s="4">
        <f t="shared" ca="1" si="53"/>
        <v>2027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1</v>
      </c>
      <c r="AZ68" s="19"/>
      <c r="BA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8"/>
        <v>46680</v>
      </c>
      <c r="C69" s="401"/>
      <c r="D69" s="443">
        <f ca="1">IF(N69=0,IF(N68=1,SUM(D$25:E68)," "),IF(N69=0," ",IF(N70=1,D$25,IF(N70=0,D$10-D$25*(M$14-1)," "))))</f>
        <v>666670</v>
      </c>
      <c r="E69" s="443"/>
      <c r="F69" s="84">
        <f ca="1">IF(N69=0,IF(N68=1,SUM(F$25:F68)," "),IF(M$1=1,P69,IF(M$1=2,Q69," ")))</f>
        <v>722210</v>
      </c>
      <c r="G69" s="84">
        <v>0</v>
      </c>
      <c r="H69" s="84">
        <f t="shared" ca="1" si="59"/>
        <v>1388880</v>
      </c>
      <c r="I69" s="84">
        <f t="shared" ca="1" si="60"/>
        <v>740740</v>
      </c>
      <c r="J69" s="84">
        <f t="shared" ca="1" si="41"/>
        <v>802470</v>
      </c>
      <c r="K69" s="84">
        <v>0</v>
      </c>
      <c r="L69" s="84">
        <f t="shared" ca="1" si="61"/>
        <v>1543210</v>
      </c>
      <c r="M69" s="4">
        <v>45</v>
      </c>
      <c r="N69" s="4">
        <f t="shared" ca="1" si="34"/>
        <v>1</v>
      </c>
      <c r="O69" s="4">
        <f t="shared" ca="1" si="42"/>
        <v>20</v>
      </c>
      <c r="P69" s="22">
        <f t="shared" ca="1" si="43"/>
        <v>722210</v>
      </c>
      <c r="Q69" s="22">
        <f t="shared" ca="1" si="44"/>
        <v>722210</v>
      </c>
      <c r="R69" s="22">
        <f t="shared" ca="1" si="62"/>
        <v>10666520</v>
      </c>
      <c r="S69" s="22">
        <f t="shared" ca="1" si="63"/>
        <v>666670</v>
      </c>
      <c r="T69" s="22">
        <f t="shared" ca="1" si="64"/>
        <v>666670</v>
      </c>
      <c r="U69" s="22">
        <f t="shared" ca="1" si="72"/>
        <v>722212.83333333337</v>
      </c>
      <c r="V69" s="22">
        <f t="shared" ca="1" si="73"/>
        <v>722212.83333333337</v>
      </c>
      <c r="W69" s="22">
        <f t="shared" ca="1" si="65"/>
        <v>2600000</v>
      </c>
      <c r="X69" s="22">
        <f t="shared" ca="1" si="66"/>
        <v>2600000</v>
      </c>
      <c r="Y69" s="22">
        <f t="shared" ca="1" si="45"/>
        <v>11851880</v>
      </c>
      <c r="Z69" s="22">
        <f t="shared" ca="1" si="74"/>
        <v>802470.93333333335</v>
      </c>
      <c r="AA69" s="22">
        <f t="shared" ca="1" si="46"/>
        <v>802470</v>
      </c>
      <c r="AB69" s="22">
        <f t="shared" ca="1" si="35"/>
        <v>333329000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10666520</v>
      </c>
      <c r="AJ69" s="22">
        <f t="shared" ca="1" si="75"/>
        <v>0</v>
      </c>
      <c r="AK69" s="22">
        <f t="shared" ca="1" si="76"/>
        <v>0</v>
      </c>
      <c r="AL69" s="69">
        <f t="shared" ca="1" si="69"/>
        <v>10</v>
      </c>
      <c r="AM69" s="69">
        <f t="shared" ca="1" si="52"/>
        <v>10</v>
      </c>
      <c r="AN69" s="4">
        <f t="shared" ca="1" si="70"/>
        <v>2027</v>
      </c>
      <c r="AO69" s="4">
        <f t="shared" ca="1" si="53"/>
        <v>2027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1</v>
      </c>
      <c r="AZ69" s="19"/>
      <c r="BA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8"/>
        <v>46711</v>
      </c>
      <c r="C70" s="401"/>
      <c r="D70" s="443">
        <f ca="1">IF(N70=0,IF(N69=1,SUM(D$25:E69)," "),IF(N70=0," ",IF(N71=1,D$25,IF(N71=0,D$10-D$25*(M$14-1)," "))))</f>
        <v>666670</v>
      </c>
      <c r="E70" s="443"/>
      <c r="F70" s="84">
        <f ca="1">IF(N70=0,IF(N69=1,SUM(F$25:F69)," "),IF(M$1=1,P70,IF(M$1=2,Q70," ")))</f>
        <v>678880</v>
      </c>
      <c r="G70" s="84">
        <v>0</v>
      </c>
      <c r="H70" s="84">
        <f t="shared" ca="1" si="59"/>
        <v>1345550</v>
      </c>
      <c r="I70" s="84">
        <f t="shared" ca="1" si="60"/>
        <v>740740</v>
      </c>
      <c r="J70" s="84">
        <f t="shared" ca="1" si="41"/>
        <v>754320</v>
      </c>
      <c r="K70" s="84">
        <v>0</v>
      </c>
      <c r="L70" s="84">
        <f t="shared" ca="1" si="61"/>
        <v>1495060</v>
      </c>
      <c r="M70" s="4">
        <v>46</v>
      </c>
      <c r="N70" s="4">
        <f t="shared" ca="1" si="34"/>
        <v>1</v>
      </c>
      <c r="O70" s="4">
        <f t="shared" ca="1" si="42"/>
        <v>20</v>
      </c>
      <c r="P70" s="22">
        <f t="shared" ca="1" si="43"/>
        <v>678880</v>
      </c>
      <c r="Q70" s="22">
        <f t="shared" ca="1" si="44"/>
        <v>678880</v>
      </c>
      <c r="R70" s="22">
        <f t="shared" ca="1" si="62"/>
        <v>9999850</v>
      </c>
      <c r="S70" s="22">
        <f t="shared" ca="1" si="63"/>
        <v>666670</v>
      </c>
      <c r="T70" s="22">
        <f t="shared" ca="1" si="64"/>
        <v>666670</v>
      </c>
      <c r="U70" s="22">
        <f t="shared" ca="1" si="72"/>
        <v>678879.28333333333</v>
      </c>
      <c r="V70" s="22">
        <f t="shared" ca="1" si="73"/>
        <v>678879.28333333333</v>
      </c>
      <c r="W70" s="22">
        <f t="shared" ca="1" si="65"/>
        <v>2600000</v>
      </c>
      <c r="X70" s="22">
        <f t="shared" ca="1" si="66"/>
        <v>2600000</v>
      </c>
      <c r="Y70" s="22">
        <f t="shared" ca="1" si="45"/>
        <v>11111140</v>
      </c>
      <c r="Z70" s="22">
        <f t="shared" ca="1" si="74"/>
        <v>754322.83333333337</v>
      </c>
      <c r="AA70" s="22">
        <f t="shared" ca="1" si="46"/>
        <v>754320</v>
      </c>
      <c r="AB70" s="22">
        <f t="shared" ca="1" si="35"/>
        <v>313328900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9999850</v>
      </c>
      <c r="AJ70" s="22">
        <f t="shared" ca="1" si="75"/>
        <v>0</v>
      </c>
      <c r="AK70" s="22">
        <f t="shared" ca="1" si="76"/>
        <v>0</v>
      </c>
      <c r="AL70" s="69">
        <f t="shared" ca="1" si="69"/>
        <v>11</v>
      </c>
      <c r="AM70" s="69">
        <f t="shared" ca="1" si="52"/>
        <v>11</v>
      </c>
      <c r="AN70" s="4">
        <f t="shared" ca="1" si="70"/>
        <v>2027</v>
      </c>
      <c r="AO70" s="4">
        <f t="shared" ca="1" si="53"/>
        <v>2027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19"/>
      <c r="AU70" s="19"/>
      <c r="AV70" s="19"/>
      <c r="AW70" s="19"/>
      <c r="AX70" s="19"/>
      <c r="AY70" s="4">
        <f t="shared" ca="1" si="57"/>
        <v>1</v>
      </c>
      <c r="AZ70" s="19"/>
      <c r="BA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8"/>
        <v>46741</v>
      </c>
      <c r="C71" s="401"/>
      <c r="D71" s="443">
        <f ca="1">IF(N71=0,IF(N70=1,SUM(D$25:E70)," "),IF(N71=0," ",IF(N72=1,D$25,IF(N72=0,D$10-D$25*(M$14-1)," "))))</f>
        <v>666670</v>
      </c>
      <c r="E71" s="443"/>
      <c r="F71" s="84">
        <f ca="1">IF(N71=0,IF(N70=1,SUM(F$25:F70)," "),IF(M$1=1,P71,IF(M$1=2,Q71," ")))</f>
        <v>635550</v>
      </c>
      <c r="G71" s="84">
        <v>0</v>
      </c>
      <c r="H71" s="84">
        <f t="shared" ca="1" si="59"/>
        <v>1302220</v>
      </c>
      <c r="I71" s="84">
        <f t="shared" ca="1" si="60"/>
        <v>740740</v>
      </c>
      <c r="J71" s="84">
        <f t="shared" ca="1" si="41"/>
        <v>706170</v>
      </c>
      <c r="K71" s="84">
        <v>0</v>
      </c>
      <c r="L71" s="84">
        <f t="shared" ca="1" si="61"/>
        <v>1446910</v>
      </c>
      <c r="M71" s="4">
        <v>47</v>
      </c>
      <c r="N71" s="4">
        <f t="shared" ca="1" si="34"/>
        <v>1</v>
      </c>
      <c r="O71" s="4">
        <f t="shared" ca="1" si="42"/>
        <v>20</v>
      </c>
      <c r="P71" s="22">
        <f t="shared" ca="1" si="43"/>
        <v>635550</v>
      </c>
      <c r="Q71" s="22">
        <f t="shared" ca="1" si="44"/>
        <v>635550</v>
      </c>
      <c r="R71" s="22">
        <f t="shared" ca="1" si="62"/>
        <v>9333180</v>
      </c>
      <c r="S71" s="22">
        <f t="shared" ca="1" si="63"/>
        <v>666670</v>
      </c>
      <c r="T71" s="22">
        <f t="shared" ca="1" si="64"/>
        <v>666670</v>
      </c>
      <c r="U71" s="22">
        <f t="shared" ca="1" si="72"/>
        <v>635545.73333333328</v>
      </c>
      <c r="V71" s="22">
        <f t="shared" ca="1" si="73"/>
        <v>635545.73333333328</v>
      </c>
      <c r="W71" s="22">
        <f t="shared" ca="1" si="65"/>
        <v>2600000</v>
      </c>
      <c r="X71" s="22">
        <f t="shared" ca="1" si="66"/>
        <v>2600000</v>
      </c>
      <c r="Y71" s="22">
        <f t="shared" ca="1" si="45"/>
        <v>10370400</v>
      </c>
      <c r="Z71" s="22">
        <f t="shared" ca="1" si="74"/>
        <v>706174.7333333334</v>
      </c>
      <c r="AA71" s="22">
        <f t="shared" ca="1" si="46"/>
        <v>706170</v>
      </c>
      <c r="AB71" s="22">
        <f t="shared" ca="1" si="35"/>
        <v>293328800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9333180</v>
      </c>
      <c r="AJ71" s="22">
        <f t="shared" ca="1" si="75"/>
        <v>0</v>
      </c>
      <c r="AK71" s="22">
        <f t="shared" ca="1" si="76"/>
        <v>0</v>
      </c>
      <c r="AL71" s="69">
        <f t="shared" ca="1" si="69"/>
        <v>12</v>
      </c>
      <c r="AM71" s="69">
        <f t="shared" ca="1" si="52"/>
        <v>12</v>
      </c>
      <c r="AN71" s="4">
        <f t="shared" ca="1" si="70"/>
        <v>2027</v>
      </c>
      <c r="AO71" s="4">
        <f t="shared" ca="1" si="53"/>
        <v>2027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1</v>
      </c>
      <c r="AZ71" s="19"/>
      <c r="BA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8"/>
        <v>46772</v>
      </c>
      <c r="C72" s="401"/>
      <c r="D72" s="443">
        <f ca="1">IF(N72=0,IF(N71=1,SUM(D$25:E71)," "),IF(N72=0," ",IF(N73=1,D$25,IF(N73=0,D$10-D$25*(M$14-1)," "))))</f>
        <v>666670</v>
      </c>
      <c r="E72" s="443"/>
      <c r="F72" s="84">
        <f ca="1">IF(N72=0,IF(N71=1,SUM(F$25:F71)," "),IF(M$1=1,P72,IF(M$1=2,Q72," ")))</f>
        <v>592210</v>
      </c>
      <c r="G72" s="84">
        <v>0</v>
      </c>
      <c r="H72" s="84">
        <f t="shared" ca="1" si="59"/>
        <v>1258880</v>
      </c>
      <c r="I72" s="84">
        <f t="shared" ca="1" si="60"/>
        <v>740740</v>
      </c>
      <c r="J72" s="84">
        <f t="shared" ca="1" si="41"/>
        <v>658030</v>
      </c>
      <c r="K72" s="84">
        <v>0</v>
      </c>
      <c r="L72" s="84">
        <f t="shared" ca="1" si="61"/>
        <v>1398770</v>
      </c>
      <c r="M72" s="4">
        <v>48</v>
      </c>
      <c r="N72" s="4">
        <f t="shared" ca="1" si="34"/>
        <v>1</v>
      </c>
      <c r="O72" s="4">
        <f t="shared" ca="1" si="42"/>
        <v>20</v>
      </c>
      <c r="P72" s="22">
        <f t="shared" ca="1" si="43"/>
        <v>592210</v>
      </c>
      <c r="Q72" s="22">
        <f t="shared" ca="1" si="44"/>
        <v>592210</v>
      </c>
      <c r="R72" s="22">
        <f t="shared" ca="1" si="62"/>
        <v>8666510</v>
      </c>
      <c r="S72" s="22">
        <f t="shared" ca="1" si="63"/>
        <v>666670</v>
      </c>
      <c r="T72" s="22">
        <f t="shared" ca="1" si="64"/>
        <v>666670</v>
      </c>
      <c r="U72" s="22">
        <f t="shared" ca="1" si="72"/>
        <v>592212.18333333335</v>
      </c>
      <c r="V72" s="22">
        <f t="shared" ca="1" si="73"/>
        <v>592212.18333333335</v>
      </c>
      <c r="W72" s="22">
        <f t="shared" ca="1" si="65"/>
        <v>2600000</v>
      </c>
      <c r="X72" s="22">
        <f t="shared" ca="1" si="66"/>
        <v>2600000</v>
      </c>
      <c r="Y72" s="22">
        <f t="shared" ca="1" si="45"/>
        <v>9629660</v>
      </c>
      <c r="Z72" s="22">
        <f t="shared" ca="1" si="74"/>
        <v>658026.6333333333</v>
      </c>
      <c r="AA72" s="22">
        <f t="shared" ca="1" si="46"/>
        <v>658030</v>
      </c>
      <c r="AB72" s="22">
        <f t="shared" ca="1" si="35"/>
        <v>273328700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8666510</v>
      </c>
      <c r="AJ72" s="22">
        <f t="shared" ca="1" si="75"/>
        <v>0</v>
      </c>
      <c r="AK72" s="22">
        <f t="shared" ca="1" si="76"/>
        <v>0</v>
      </c>
      <c r="AL72" s="69">
        <f t="shared" ca="1" si="69"/>
        <v>13</v>
      </c>
      <c r="AM72" s="69">
        <f t="shared" ca="1" si="52"/>
        <v>1</v>
      </c>
      <c r="AN72" s="4">
        <f t="shared" ca="1" si="70"/>
        <v>2027</v>
      </c>
      <c r="AO72" s="4">
        <f t="shared" ca="1" si="53"/>
        <v>2028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1</v>
      </c>
      <c r="AZ72" s="19"/>
      <c r="BA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ca="1" si="58"/>
        <v>46803</v>
      </c>
      <c r="C73" s="401"/>
      <c r="D73" s="443">
        <f ca="1">IF(N73=0,IF(N72=1,SUM(D$25:E72)," "),IF(N73=0," ",IF(N74=1,D$25,IF(N74=0,D$10-D$25*(M$14-1)," "))))</f>
        <v>666670</v>
      </c>
      <c r="E73" s="443"/>
      <c r="F73" s="84">
        <f ca="1">IF(N73=0,IF(N72=1,SUM(F$25:F72)," "),IF(M$1=1,P73,IF(M$1=2,Q73," ")))</f>
        <v>548880</v>
      </c>
      <c r="G73" s="84">
        <v>0</v>
      </c>
      <c r="H73" s="84">
        <f t="shared" ca="1" si="59"/>
        <v>1215550</v>
      </c>
      <c r="I73" s="84">
        <f t="shared" ca="1" si="60"/>
        <v>740740</v>
      </c>
      <c r="J73" s="84">
        <f t="shared" ca="1" si="41"/>
        <v>609880</v>
      </c>
      <c r="K73" s="84">
        <v>0</v>
      </c>
      <c r="L73" s="84">
        <f t="shared" ca="1" si="61"/>
        <v>1350620</v>
      </c>
      <c r="M73" s="4">
        <v>49</v>
      </c>
      <c r="N73" s="4">
        <f t="shared" ca="1" si="34"/>
        <v>1</v>
      </c>
      <c r="O73" s="4">
        <f t="shared" ca="1" si="42"/>
        <v>20</v>
      </c>
      <c r="P73" s="22">
        <f t="shared" ca="1" si="43"/>
        <v>548880</v>
      </c>
      <c r="Q73" s="22">
        <f t="shared" ca="1" si="44"/>
        <v>548880</v>
      </c>
      <c r="R73" s="22">
        <f t="shared" ca="1" si="62"/>
        <v>7999840</v>
      </c>
      <c r="S73" s="22">
        <f t="shared" ca="1" si="63"/>
        <v>666670</v>
      </c>
      <c r="T73" s="22">
        <f t="shared" ca="1" si="64"/>
        <v>666670</v>
      </c>
      <c r="U73" s="22">
        <f ca="1">IF(N74=1,R72*D$11*20/36000+R73*D$11*10/36000,IF(N74=0,IF(N73=0,0,IF(D52&gt;20,R72*D$11*20/36000+R73*D$11*(Q$12-20)/36000,R73*D$11*Q$12/36000))))</f>
        <v>548878.6333333333</v>
      </c>
      <c r="V73" s="22">
        <f ca="1">IF(N74=1,R72*D$11*20/36000+R73*D$11*10/36000,IF(N74=0,IF(N73=0,0,IF(D52&gt;20,R72*D$11*20/36000+R73*D$11*(Q$12-20)/36000,R73*D$11*Q$12/36000))))</f>
        <v>548878.6333333333</v>
      </c>
      <c r="W73" s="22">
        <f t="shared" ca="1" si="65"/>
        <v>2600000</v>
      </c>
      <c r="X73" s="22">
        <f t="shared" ca="1" si="66"/>
        <v>2600000</v>
      </c>
      <c r="Y73" s="22">
        <f t="shared" ca="1" si="45"/>
        <v>8888920</v>
      </c>
      <c r="Z73" s="22">
        <f ca="1">IF(N74=1,Y72*D$11*20/36000+Y73*D$11*10/36000,IF(N74=0,IF(N73=0,0,IF(D$16&gt;20,Y72*D$11*20/36000+Y73*D$11*(Q$12-20)/36000,Y73*D$11*Q$12/36000))))</f>
        <v>609878.53333333333</v>
      </c>
      <c r="AA73" s="22">
        <f t="shared" ca="1" si="46"/>
        <v>609880</v>
      </c>
      <c r="AB73" s="22">
        <f t="shared" ca="1" si="35"/>
        <v>253328600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7999840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2</v>
      </c>
      <c r="AM73" s="69">
        <f t="shared" ca="1" si="52"/>
        <v>2</v>
      </c>
      <c r="AN73" s="4">
        <f t="shared" ca="1" si="70"/>
        <v>2028</v>
      </c>
      <c r="AO73" s="4">
        <f t="shared" ca="1" si="53"/>
        <v>2028</v>
      </c>
      <c r="AP73" s="4">
        <f t="shared" ca="1" si="54"/>
        <v>1</v>
      </c>
      <c r="AQ73" s="4">
        <f t="shared" ca="1" si="55"/>
        <v>29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1</v>
      </c>
      <c r="AZ73" s="19"/>
      <c r="BA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ca="1" si="58"/>
        <v>46832</v>
      </c>
      <c r="C74" s="401"/>
      <c r="D74" s="443">
        <f ca="1">IF(N74=0,IF(N73=1,SUM(D$25:E73)," "),IF(N74=0," ",IF(N75=1,D$25,IF(N75=0,D$10-D$25*(M$14-1)," "))))</f>
        <v>666670</v>
      </c>
      <c r="E74" s="443"/>
      <c r="F74" s="84">
        <f ca="1">IF(N74=0,IF(N73=1,SUM(F$25:F73)," "),IF(M$1=1,P74,IF(M$1=2,Q74," ")))</f>
        <v>505540</v>
      </c>
      <c r="G74" s="84">
        <v>0</v>
      </c>
      <c r="H74" s="84">
        <f t="shared" ca="1" si="59"/>
        <v>1172210</v>
      </c>
      <c r="I74" s="84">
        <f t="shared" ca="1" si="60"/>
        <v>740740</v>
      </c>
      <c r="J74" s="84">
        <f t="shared" ca="1" si="41"/>
        <v>561730</v>
      </c>
      <c r="K74" s="84">
        <v>0</v>
      </c>
      <c r="L74" s="84">
        <f t="shared" ca="1" si="61"/>
        <v>1302470</v>
      </c>
      <c r="M74" s="4">
        <v>50</v>
      </c>
      <c r="N74" s="4">
        <f t="shared" ca="1" si="34"/>
        <v>1</v>
      </c>
      <c r="O74" s="4">
        <f t="shared" ca="1" si="42"/>
        <v>20</v>
      </c>
      <c r="P74" s="22">
        <f t="shared" ca="1" si="43"/>
        <v>505540</v>
      </c>
      <c r="Q74" s="22">
        <f t="shared" ca="1" si="44"/>
        <v>505540</v>
      </c>
      <c r="R74" s="22">
        <f t="shared" ca="1" si="62"/>
        <v>7333170</v>
      </c>
      <c r="S74" s="22">
        <f t="shared" ca="1" si="63"/>
        <v>666670</v>
      </c>
      <c r="T74" s="22">
        <f t="shared" ca="1" si="64"/>
        <v>666670</v>
      </c>
      <c r="U74" s="22">
        <f t="shared" ref="U74:U84" ca="1" si="77">IF(N75=1,R73*D$11*20/36000+R74*D$11*10/36000,IF(N75=0,IF(N74=0,0,R74*D$11*Q$12/36000+R73*D$11*20/36000+R74*D$11*10/36000)))</f>
        <v>505545.08333333337</v>
      </c>
      <c r="V74" s="22">
        <f t="shared" ref="V74:V84" ca="1" si="78">IF(N75=1,R73*D$11*20/36000+R74*D$11*10/36000,IF(N75=0,IF(N74=0,0,R74*D$11*Q$12/36000+R73*D$11*20/36000+R74*D$11*10/36000)))</f>
        <v>505545.08333333337</v>
      </c>
      <c r="W74" s="22">
        <f t="shared" ca="1" si="65"/>
        <v>2600000</v>
      </c>
      <c r="X74" s="22">
        <f t="shared" ca="1" si="66"/>
        <v>2600000</v>
      </c>
      <c r="Y74" s="22">
        <f t="shared" ca="1" si="45"/>
        <v>8148180</v>
      </c>
      <c r="Z74" s="22">
        <f t="shared" ref="Z74:Z84" ca="1" si="79">IF(N75=1,Y73*D$11*20/36000+Y74*D$11*10/36000,IF(N75=0,IF(N74=0,0,Y74*D$11*Q$12/36000+Y73*D$11*20/36000+Y74*D$11*10/36000)))</f>
        <v>561730.43333333335</v>
      </c>
      <c r="AA74" s="22">
        <f t="shared" ca="1" si="46"/>
        <v>561730</v>
      </c>
      <c r="AB74" s="22">
        <f t="shared" ca="1" si="35"/>
        <v>233328500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7333170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3</v>
      </c>
      <c r="AM74" s="69">
        <f t="shared" ca="1" si="52"/>
        <v>3</v>
      </c>
      <c r="AN74" s="4">
        <f t="shared" ca="1" si="70"/>
        <v>2028</v>
      </c>
      <c r="AO74" s="4">
        <f t="shared" ca="1" si="53"/>
        <v>2028</v>
      </c>
      <c r="AP74" s="4">
        <f t="shared" ca="1" si="54"/>
        <v>1</v>
      </c>
      <c r="AQ74" s="4">
        <f t="shared" ca="1" si="55"/>
        <v>30</v>
      </c>
      <c r="AR74" s="4">
        <f t="shared" si="56"/>
        <v>20</v>
      </c>
      <c r="AS74" s="4">
        <f t="shared" ca="1" si="71"/>
        <v>29</v>
      </c>
      <c r="AT74" s="19"/>
      <c r="AU74" s="19"/>
      <c r="AV74" s="19"/>
      <c r="AW74" s="19"/>
      <c r="AX74" s="19"/>
      <c r="AY74" s="4">
        <f t="shared" ca="1" si="57"/>
        <v>1</v>
      </c>
      <c r="AZ74" s="19"/>
      <c r="BA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ca="1" si="58"/>
        <v>46863</v>
      </c>
      <c r="C75" s="401"/>
      <c r="D75" s="443">
        <f ca="1">IF(N75=0,IF(N74=1,SUM(D$25:E74)," "),IF(N75=0," ",IF(N76=1,D$25,IF(N76=0,D$10-D$25*(M$14-1)," "))))</f>
        <v>666670</v>
      </c>
      <c r="E75" s="443"/>
      <c r="F75" s="84">
        <f ca="1">IF(N75=0,IF(N74=1,SUM(F$25:F74)," "),IF(M$1=1,P75,IF(M$1=2,Q75," ")))</f>
        <v>462210</v>
      </c>
      <c r="G75" s="84">
        <v>0</v>
      </c>
      <c r="H75" s="84">
        <f t="shared" ca="1" si="59"/>
        <v>1128880</v>
      </c>
      <c r="I75" s="84">
        <f t="shared" ca="1" si="60"/>
        <v>740740</v>
      </c>
      <c r="J75" s="84">
        <f t="shared" ca="1" si="41"/>
        <v>513580</v>
      </c>
      <c r="K75" s="84">
        <v>0</v>
      </c>
      <c r="L75" s="84">
        <f t="shared" ca="1" si="61"/>
        <v>1254320</v>
      </c>
      <c r="M75" s="4">
        <v>51</v>
      </c>
      <c r="N75" s="4">
        <f t="shared" ca="1" si="34"/>
        <v>1</v>
      </c>
      <c r="O75" s="4">
        <f t="shared" ca="1" si="42"/>
        <v>20</v>
      </c>
      <c r="P75" s="22">
        <f t="shared" ca="1" si="43"/>
        <v>462210</v>
      </c>
      <c r="Q75" s="22">
        <f t="shared" ca="1" si="44"/>
        <v>462210</v>
      </c>
      <c r="R75" s="22">
        <f t="shared" ca="1" si="62"/>
        <v>6666500</v>
      </c>
      <c r="S75" s="22">
        <f t="shared" ca="1" si="63"/>
        <v>666670</v>
      </c>
      <c r="T75" s="22">
        <f t="shared" ca="1" si="64"/>
        <v>666670</v>
      </c>
      <c r="U75" s="22">
        <f t="shared" ca="1" si="77"/>
        <v>462211.53333333333</v>
      </c>
      <c r="V75" s="22">
        <f t="shared" ca="1" si="78"/>
        <v>462211.53333333333</v>
      </c>
      <c r="W75" s="22">
        <f t="shared" ca="1" si="65"/>
        <v>2600000</v>
      </c>
      <c r="X75" s="22">
        <f t="shared" ca="1" si="66"/>
        <v>2600000</v>
      </c>
      <c r="Y75" s="22">
        <f t="shared" ca="1" si="45"/>
        <v>7407440</v>
      </c>
      <c r="Z75" s="22">
        <f t="shared" ca="1" si="79"/>
        <v>513582.33333333331</v>
      </c>
      <c r="AA75" s="22">
        <f t="shared" ca="1" si="46"/>
        <v>513580</v>
      </c>
      <c r="AB75" s="22">
        <f t="shared" ca="1" si="35"/>
        <v>213328400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6666500</v>
      </c>
      <c r="AJ75" s="22">
        <f t="shared" ca="1" si="80"/>
        <v>0</v>
      </c>
      <c r="AK75" s="22">
        <f t="shared" ca="1" si="81"/>
        <v>0</v>
      </c>
      <c r="AL75" s="69">
        <f t="shared" ca="1" si="69"/>
        <v>4</v>
      </c>
      <c r="AM75" s="69">
        <f t="shared" ca="1" si="52"/>
        <v>4</v>
      </c>
      <c r="AN75" s="4">
        <f t="shared" ca="1" si="70"/>
        <v>2028</v>
      </c>
      <c r="AO75" s="4">
        <f t="shared" ca="1" si="53"/>
        <v>2028</v>
      </c>
      <c r="AP75" s="4">
        <f t="shared" ca="1" si="54"/>
        <v>1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1</v>
      </c>
      <c r="AZ75" s="19"/>
      <c r="BA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ca="1" si="58"/>
        <v>46893</v>
      </c>
      <c r="C76" s="401"/>
      <c r="D76" s="443">
        <f ca="1">IF(N76=0,IF(N75=1,SUM(D$25:E75)," "),IF(N76=0," ",IF(N77=1,D$25,IF(N77=0,D$10-D$25*(M$14-1)," "))))</f>
        <v>666670</v>
      </c>
      <c r="E76" s="443"/>
      <c r="F76" s="84">
        <f ca="1">IF(N76=0,IF(N75=1,SUM(F$25:F75)," "),IF(M$1=1,P76,IF(M$1=2,Q76," ")))</f>
        <v>418880</v>
      </c>
      <c r="G76" s="84">
        <v>0</v>
      </c>
      <c r="H76" s="84">
        <f t="shared" ca="1" si="59"/>
        <v>1085550</v>
      </c>
      <c r="I76" s="84">
        <f t="shared" ca="1" si="60"/>
        <v>740740</v>
      </c>
      <c r="J76" s="84">
        <f t="shared" ca="1" si="41"/>
        <v>465430</v>
      </c>
      <c r="K76" s="84">
        <v>0</v>
      </c>
      <c r="L76" s="84">
        <f t="shared" ca="1" si="61"/>
        <v>1206170</v>
      </c>
      <c r="M76" s="4">
        <v>52</v>
      </c>
      <c r="N76" s="4">
        <f t="shared" ca="1" si="34"/>
        <v>1</v>
      </c>
      <c r="O76" s="4">
        <f t="shared" ca="1" si="42"/>
        <v>20</v>
      </c>
      <c r="P76" s="22">
        <f t="shared" ca="1" si="43"/>
        <v>418880</v>
      </c>
      <c r="Q76" s="22">
        <f t="shared" ca="1" si="44"/>
        <v>418880</v>
      </c>
      <c r="R76" s="22">
        <f t="shared" ca="1" si="62"/>
        <v>5999830</v>
      </c>
      <c r="S76" s="22">
        <f t="shared" ca="1" si="63"/>
        <v>666670</v>
      </c>
      <c r="T76" s="22">
        <f t="shared" ca="1" si="64"/>
        <v>666670</v>
      </c>
      <c r="U76" s="22">
        <f t="shared" ca="1" si="77"/>
        <v>418877.98333333334</v>
      </c>
      <c r="V76" s="22">
        <f t="shared" ca="1" si="78"/>
        <v>418877.98333333334</v>
      </c>
      <c r="W76" s="22">
        <f t="shared" ca="1" si="65"/>
        <v>2600000</v>
      </c>
      <c r="X76" s="22">
        <f t="shared" ca="1" si="66"/>
        <v>2600000</v>
      </c>
      <c r="Y76" s="22">
        <f t="shared" ca="1" si="45"/>
        <v>6666700</v>
      </c>
      <c r="Z76" s="22">
        <f t="shared" ca="1" si="79"/>
        <v>465434.23333333328</v>
      </c>
      <c r="AA76" s="22">
        <f t="shared" ca="1" si="46"/>
        <v>465430</v>
      </c>
      <c r="AB76" s="22">
        <f t="shared" ca="1" si="35"/>
        <v>193328300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5999830</v>
      </c>
      <c r="AJ76" s="22">
        <f t="shared" ca="1" si="80"/>
        <v>0</v>
      </c>
      <c r="AK76" s="22">
        <f t="shared" ca="1" si="81"/>
        <v>0</v>
      </c>
      <c r="AL76" s="69">
        <f t="shared" ca="1" si="69"/>
        <v>5</v>
      </c>
      <c r="AM76" s="69">
        <f t="shared" ca="1" si="52"/>
        <v>5</v>
      </c>
      <c r="AN76" s="4">
        <f t="shared" ca="1" si="70"/>
        <v>2028</v>
      </c>
      <c r="AO76" s="4">
        <f t="shared" ca="1" si="53"/>
        <v>2028</v>
      </c>
      <c r="AP76" s="4">
        <f t="shared" ca="1" si="54"/>
        <v>1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1</v>
      </c>
      <c r="AZ76" s="19"/>
      <c r="BA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ca="1" si="58"/>
        <v>46924</v>
      </c>
      <c r="C77" s="401"/>
      <c r="D77" s="443">
        <f ca="1">IF(N77=0,IF(N76=1,SUM(D$25:E76)," "),IF(N77=0," ",IF(N78=1,D$25,IF(N78=0,D$10-D$25*(M$14-1)," "))))</f>
        <v>666670</v>
      </c>
      <c r="E77" s="443"/>
      <c r="F77" s="84">
        <f ca="1">IF(N77=0,IF(N76=1,SUM(F$25:F76)," "),IF(M$1=1,P77,IF(M$1=2,Q77," ")))</f>
        <v>375540</v>
      </c>
      <c r="G77" s="84">
        <v>0</v>
      </c>
      <c r="H77" s="84">
        <f t="shared" ca="1" si="59"/>
        <v>1042210</v>
      </c>
      <c r="I77" s="84">
        <f t="shared" ca="1" si="60"/>
        <v>740740</v>
      </c>
      <c r="J77" s="84">
        <f t="shared" ca="1" si="41"/>
        <v>417290</v>
      </c>
      <c r="K77" s="84">
        <v>0</v>
      </c>
      <c r="L77" s="84">
        <f t="shared" ca="1" si="61"/>
        <v>1158030</v>
      </c>
      <c r="M77" s="4">
        <v>53</v>
      </c>
      <c r="N77" s="4">
        <f t="shared" ca="1" si="34"/>
        <v>1</v>
      </c>
      <c r="O77" s="4">
        <f t="shared" ca="1" si="42"/>
        <v>20</v>
      </c>
      <c r="P77" s="22">
        <f t="shared" ca="1" si="43"/>
        <v>375540</v>
      </c>
      <c r="Q77" s="22">
        <f t="shared" ca="1" si="44"/>
        <v>375540</v>
      </c>
      <c r="R77" s="22">
        <f t="shared" ca="1" si="62"/>
        <v>5333160</v>
      </c>
      <c r="S77" s="22">
        <f t="shared" ca="1" si="63"/>
        <v>666670</v>
      </c>
      <c r="T77" s="22">
        <f t="shared" ca="1" si="64"/>
        <v>666670</v>
      </c>
      <c r="U77" s="22">
        <f t="shared" ca="1" si="77"/>
        <v>375544.43333333335</v>
      </c>
      <c r="V77" s="22">
        <f t="shared" ca="1" si="78"/>
        <v>375544.43333333335</v>
      </c>
      <c r="W77" s="22">
        <f t="shared" ca="1" si="65"/>
        <v>2600000</v>
      </c>
      <c r="X77" s="22">
        <f t="shared" ca="1" si="66"/>
        <v>2600000</v>
      </c>
      <c r="Y77" s="22">
        <f t="shared" ca="1" si="45"/>
        <v>5925960</v>
      </c>
      <c r="Z77" s="22">
        <f t="shared" ca="1" si="79"/>
        <v>417286.1333333333</v>
      </c>
      <c r="AA77" s="22">
        <f t="shared" ca="1" si="46"/>
        <v>417290</v>
      </c>
      <c r="AB77" s="22">
        <f t="shared" ca="1" si="35"/>
        <v>173328200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5333160</v>
      </c>
      <c r="AJ77" s="22">
        <f t="shared" ca="1" si="80"/>
        <v>0</v>
      </c>
      <c r="AK77" s="22">
        <f t="shared" ca="1" si="81"/>
        <v>0</v>
      </c>
      <c r="AL77" s="69">
        <f t="shared" ca="1" si="69"/>
        <v>6</v>
      </c>
      <c r="AM77" s="69">
        <f t="shared" ca="1" si="52"/>
        <v>6</v>
      </c>
      <c r="AN77" s="4">
        <f t="shared" ca="1" si="70"/>
        <v>2028</v>
      </c>
      <c r="AO77" s="4">
        <f t="shared" ca="1" si="53"/>
        <v>2028</v>
      </c>
      <c r="AP77" s="4">
        <f t="shared" ca="1" si="54"/>
        <v>1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1</v>
      </c>
      <c r="AZ77" s="19"/>
      <c r="BA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ca="1" si="58"/>
        <v>46954</v>
      </c>
      <c r="C78" s="401"/>
      <c r="D78" s="443">
        <f ca="1">IF(N78=0,IF(N77=1,SUM(D$25:E77)," "),IF(N78=0," ",IF(N79=1,D$25,IF(N79=0,D$10-D$25*(M$14-1)," "))))</f>
        <v>666670</v>
      </c>
      <c r="E78" s="443"/>
      <c r="F78" s="84">
        <f ca="1">IF(N78=0,IF(N77=1,SUM(F$25:F77)," "),IF(M$1=1,P78,IF(M$1=2,Q78," ")))</f>
        <v>332210</v>
      </c>
      <c r="G78" s="84">
        <v>0</v>
      </c>
      <c r="H78" s="84">
        <f t="shared" ca="1" si="59"/>
        <v>998880</v>
      </c>
      <c r="I78" s="84">
        <f t="shared" ca="1" si="60"/>
        <v>740740</v>
      </c>
      <c r="J78" s="84">
        <f t="shared" ca="1" si="41"/>
        <v>369140</v>
      </c>
      <c r="K78" s="84">
        <v>0</v>
      </c>
      <c r="L78" s="84">
        <f t="shared" ca="1" si="61"/>
        <v>1109880</v>
      </c>
      <c r="M78" s="4">
        <v>54</v>
      </c>
      <c r="N78" s="4">
        <f t="shared" ca="1" si="34"/>
        <v>1</v>
      </c>
      <c r="O78" s="4">
        <f t="shared" ca="1" si="42"/>
        <v>20</v>
      </c>
      <c r="P78" s="22">
        <f t="shared" ca="1" si="43"/>
        <v>332210</v>
      </c>
      <c r="Q78" s="22">
        <f t="shared" ca="1" si="44"/>
        <v>332210</v>
      </c>
      <c r="R78" s="22">
        <f t="shared" ca="1" si="62"/>
        <v>4666490</v>
      </c>
      <c r="S78" s="22">
        <f t="shared" ca="1" si="63"/>
        <v>666670</v>
      </c>
      <c r="T78" s="22">
        <f t="shared" ca="1" si="64"/>
        <v>666670</v>
      </c>
      <c r="U78" s="22">
        <f t="shared" ca="1" si="77"/>
        <v>332210.88333333336</v>
      </c>
      <c r="V78" s="22">
        <f t="shared" ca="1" si="78"/>
        <v>332210.88333333336</v>
      </c>
      <c r="W78" s="22">
        <f t="shared" ca="1" si="65"/>
        <v>2600000</v>
      </c>
      <c r="X78" s="22">
        <f t="shared" ca="1" si="66"/>
        <v>2600000</v>
      </c>
      <c r="Y78" s="22">
        <f t="shared" ca="1" si="45"/>
        <v>5185220</v>
      </c>
      <c r="Z78" s="22">
        <f t="shared" ca="1" si="79"/>
        <v>369138.03333333333</v>
      </c>
      <c r="AA78" s="22">
        <f t="shared" ca="1" si="46"/>
        <v>369140</v>
      </c>
      <c r="AB78" s="22">
        <f t="shared" ca="1" si="35"/>
        <v>153328100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4666490</v>
      </c>
      <c r="AJ78" s="22">
        <f t="shared" ca="1" si="80"/>
        <v>0</v>
      </c>
      <c r="AK78" s="22">
        <f t="shared" ca="1" si="81"/>
        <v>0</v>
      </c>
      <c r="AL78" s="69">
        <f t="shared" ca="1" si="69"/>
        <v>7</v>
      </c>
      <c r="AM78" s="69">
        <f t="shared" ca="1" si="52"/>
        <v>7</v>
      </c>
      <c r="AN78" s="4">
        <f t="shared" ca="1" si="70"/>
        <v>2028</v>
      </c>
      <c r="AO78" s="4">
        <f t="shared" ca="1" si="53"/>
        <v>2028</v>
      </c>
      <c r="AP78" s="4">
        <f t="shared" ca="1" si="54"/>
        <v>1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1</v>
      </c>
      <c r="AZ78" s="19"/>
      <c r="BA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ca="1" si="58"/>
        <v>46985</v>
      </c>
      <c r="C79" s="401"/>
      <c r="D79" s="443">
        <f ca="1">IF(N79=0,IF(N78=1,SUM(D$25:E78)," "),IF(N79=0," ",IF(N80=1,D$25,IF(N80=0,D$10-D$25*(M$14-1)," "))))</f>
        <v>666670</v>
      </c>
      <c r="E79" s="443"/>
      <c r="F79" s="84">
        <f ca="1">IF(N79=0,IF(N78=1,SUM(F$25:F78)," "),IF(M$1=1,P79,IF(M$1=2,Q79," ")))</f>
        <v>288880</v>
      </c>
      <c r="G79" s="84">
        <v>0</v>
      </c>
      <c r="H79" s="84">
        <f t="shared" ca="1" si="59"/>
        <v>955550</v>
      </c>
      <c r="I79" s="84">
        <f t="shared" ca="1" si="60"/>
        <v>740740</v>
      </c>
      <c r="J79" s="84">
        <f t="shared" ca="1" si="41"/>
        <v>320990</v>
      </c>
      <c r="K79" s="84">
        <v>0</v>
      </c>
      <c r="L79" s="84">
        <f t="shared" ca="1" si="61"/>
        <v>1061730</v>
      </c>
      <c r="M79" s="4">
        <v>55</v>
      </c>
      <c r="N79" s="4">
        <f t="shared" ca="1" si="34"/>
        <v>1</v>
      </c>
      <c r="O79" s="4">
        <f t="shared" ca="1" si="42"/>
        <v>20</v>
      </c>
      <c r="P79" s="22">
        <f t="shared" ca="1" si="43"/>
        <v>288880</v>
      </c>
      <c r="Q79" s="22">
        <f t="shared" ca="1" si="44"/>
        <v>288880</v>
      </c>
      <c r="R79" s="22">
        <f t="shared" ca="1" si="62"/>
        <v>3999820</v>
      </c>
      <c r="S79" s="22">
        <f t="shared" ca="1" si="63"/>
        <v>666670</v>
      </c>
      <c r="T79" s="22">
        <f t="shared" ca="1" si="64"/>
        <v>666670</v>
      </c>
      <c r="U79" s="22">
        <f t="shared" ca="1" si="77"/>
        <v>288877.33333333337</v>
      </c>
      <c r="V79" s="22">
        <f t="shared" ca="1" si="78"/>
        <v>288877.33333333337</v>
      </c>
      <c r="W79" s="22">
        <f t="shared" ca="1" si="65"/>
        <v>2600000</v>
      </c>
      <c r="X79" s="22">
        <f t="shared" ca="1" si="66"/>
        <v>2600000</v>
      </c>
      <c r="Y79" s="22">
        <f t="shared" ca="1" si="45"/>
        <v>4444480</v>
      </c>
      <c r="Z79" s="22">
        <f t="shared" ca="1" si="79"/>
        <v>320989.93333333335</v>
      </c>
      <c r="AA79" s="22">
        <f t="shared" ca="1" si="46"/>
        <v>320990</v>
      </c>
      <c r="AB79" s="22">
        <f t="shared" ca="1" si="35"/>
        <v>133328000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3999820</v>
      </c>
      <c r="AJ79" s="22">
        <f t="shared" ca="1" si="80"/>
        <v>0</v>
      </c>
      <c r="AK79" s="22">
        <f t="shared" ca="1" si="81"/>
        <v>0</v>
      </c>
      <c r="AL79" s="69">
        <f t="shared" ca="1" si="69"/>
        <v>8</v>
      </c>
      <c r="AM79" s="69">
        <f t="shared" ca="1" si="52"/>
        <v>8</v>
      </c>
      <c r="AN79" s="4">
        <f t="shared" ca="1" si="70"/>
        <v>2028</v>
      </c>
      <c r="AO79" s="4">
        <f t="shared" ca="1" si="53"/>
        <v>2028</v>
      </c>
      <c r="AP79" s="4">
        <f t="shared" ca="1" si="54"/>
        <v>1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1</v>
      </c>
      <c r="AZ79" s="19"/>
      <c r="BA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ca="1" si="58"/>
        <v>47016</v>
      </c>
      <c r="C80" s="401"/>
      <c r="D80" s="443">
        <f ca="1">IF(N80=0,IF(N79=1,SUM(D$25:E79)," "),IF(N80=0," ",IF(N81=1,D$25,IF(N81=0,D$10-D$25*(M$14-1)," "))))</f>
        <v>666670</v>
      </c>
      <c r="E80" s="443"/>
      <c r="F80" s="84">
        <f ca="1">IF(N80=0,IF(N79=1,SUM(F$25:F79)," "),IF(M$1=1,P80,IF(M$1=2,Q80," ")))</f>
        <v>245540</v>
      </c>
      <c r="G80" s="84">
        <v>0</v>
      </c>
      <c r="H80" s="84">
        <f t="shared" ca="1" si="59"/>
        <v>912210</v>
      </c>
      <c r="I80" s="84">
        <f t="shared" ca="1" si="60"/>
        <v>740740</v>
      </c>
      <c r="J80" s="84">
        <f t="shared" ca="1" si="41"/>
        <v>272840</v>
      </c>
      <c r="K80" s="84">
        <v>0</v>
      </c>
      <c r="L80" s="84">
        <f t="shared" ca="1" si="61"/>
        <v>1013580</v>
      </c>
      <c r="M80" s="4">
        <v>56</v>
      </c>
      <c r="N80" s="4">
        <f t="shared" ca="1" si="34"/>
        <v>1</v>
      </c>
      <c r="O80" s="4">
        <f t="shared" ca="1" si="42"/>
        <v>20</v>
      </c>
      <c r="P80" s="22">
        <f t="shared" ca="1" si="43"/>
        <v>245540</v>
      </c>
      <c r="Q80" s="22">
        <f t="shared" ca="1" si="44"/>
        <v>245540</v>
      </c>
      <c r="R80" s="22">
        <f t="shared" ca="1" si="62"/>
        <v>3333150</v>
      </c>
      <c r="S80" s="22">
        <f t="shared" ca="1" si="63"/>
        <v>666670</v>
      </c>
      <c r="T80" s="22">
        <f t="shared" ca="1" si="64"/>
        <v>666670</v>
      </c>
      <c r="U80" s="22">
        <f t="shared" ca="1" si="77"/>
        <v>245543.78333333333</v>
      </c>
      <c r="V80" s="22">
        <f t="shared" ca="1" si="78"/>
        <v>245543.78333333333</v>
      </c>
      <c r="W80" s="22">
        <f t="shared" ca="1" si="65"/>
        <v>2600000</v>
      </c>
      <c r="X80" s="22">
        <f t="shared" ca="1" si="66"/>
        <v>2600000</v>
      </c>
      <c r="Y80" s="22">
        <f t="shared" ca="1" si="45"/>
        <v>3703740</v>
      </c>
      <c r="Z80" s="22">
        <f t="shared" ca="1" si="79"/>
        <v>272841.83333333331</v>
      </c>
      <c r="AA80" s="22">
        <f t="shared" ca="1" si="46"/>
        <v>272840</v>
      </c>
      <c r="AB80" s="22">
        <f t="shared" ca="1" si="35"/>
        <v>113327900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3333150</v>
      </c>
      <c r="AJ80" s="22">
        <f t="shared" ca="1" si="80"/>
        <v>0</v>
      </c>
      <c r="AK80" s="22">
        <f t="shared" ca="1" si="81"/>
        <v>0</v>
      </c>
      <c r="AL80" s="69">
        <f t="shared" ca="1" si="69"/>
        <v>9</v>
      </c>
      <c r="AM80" s="69">
        <f t="shared" ca="1" si="52"/>
        <v>9</v>
      </c>
      <c r="AN80" s="4">
        <f t="shared" ca="1" si="70"/>
        <v>2028</v>
      </c>
      <c r="AO80" s="4">
        <f t="shared" ca="1" si="53"/>
        <v>2028</v>
      </c>
      <c r="AP80" s="4">
        <f t="shared" ca="1" si="54"/>
        <v>1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1</v>
      </c>
      <c r="AZ80" s="19"/>
      <c r="BA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ca="1" si="58"/>
        <v>47046</v>
      </c>
      <c r="C81" s="401"/>
      <c r="D81" s="443">
        <f ca="1">IF(N81=0,IF(N80=1,SUM(D$25:E80)," "),IF(N81=0," ",IF(N82=1,D$25,IF(N82=0,D$10-D$25*(M$14-1)," "))))</f>
        <v>666670</v>
      </c>
      <c r="E81" s="443"/>
      <c r="F81" s="84">
        <f ca="1">IF(N81=0,IF(N80=1,SUM(F$25:F80)," "),IF(M$1=1,P81,IF(M$1=2,Q81," ")))</f>
        <v>202210</v>
      </c>
      <c r="G81" s="84">
        <v>0</v>
      </c>
      <c r="H81" s="84">
        <f t="shared" ca="1" si="59"/>
        <v>868880</v>
      </c>
      <c r="I81" s="84">
        <f t="shared" ca="1" si="60"/>
        <v>740740</v>
      </c>
      <c r="J81" s="84">
        <f t="shared" ca="1" si="41"/>
        <v>224690</v>
      </c>
      <c r="K81" s="84">
        <v>0</v>
      </c>
      <c r="L81" s="84">
        <f t="shared" ca="1" si="61"/>
        <v>965430</v>
      </c>
      <c r="M81" s="4">
        <v>57</v>
      </c>
      <c r="N81" s="4">
        <f t="shared" ca="1" si="34"/>
        <v>1</v>
      </c>
      <c r="O81" s="4">
        <f t="shared" ca="1" si="42"/>
        <v>20</v>
      </c>
      <c r="P81" s="22">
        <f t="shared" ca="1" si="43"/>
        <v>202210</v>
      </c>
      <c r="Q81" s="22">
        <f t="shared" ca="1" si="44"/>
        <v>202210</v>
      </c>
      <c r="R81" s="22">
        <f t="shared" ca="1" si="62"/>
        <v>2666480</v>
      </c>
      <c r="S81" s="22">
        <f t="shared" ca="1" si="63"/>
        <v>666670</v>
      </c>
      <c r="T81" s="22">
        <f t="shared" ca="1" si="64"/>
        <v>666670</v>
      </c>
      <c r="U81" s="22">
        <f t="shared" ca="1" si="77"/>
        <v>202210.23333333334</v>
      </c>
      <c r="V81" s="22">
        <f t="shared" ca="1" si="78"/>
        <v>202210.23333333334</v>
      </c>
      <c r="W81" s="22">
        <f t="shared" ca="1" si="65"/>
        <v>2600000</v>
      </c>
      <c r="X81" s="22">
        <f t="shared" ca="1" si="66"/>
        <v>2600000</v>
      </c>
      <c r="Y81" s="22">
        <f t="shared" ca="1" si="45"/>
        <v>2963000</v>
      </c>
      <c r="Z81" s="22">
        <f t="shared" ca="1" si="79"/>
        <v>224693.73333333334</v>
      </c>
      <c r="AA81" s="22">
        <f t="shared" ca="1" si="46"/>
        <v>224690</v>
      </c>
      <c r="AB81" s="22">
        <f t="shared" ca="1" si="35"/>
        <v>93327800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2666480</v>
      </c>
      <c r="AJ81" s="22">
        <f t="shared" ca="1" si="80"/>
        <v>0</v>
      </c>
      <c r="AK81" s="22">
        <f t="shared" ca="1" si="81"/>
        <v>0</v>
      </c>
      <c r="AL81" s="69">
        <f t="shared" ca="1" si="69"/>
        <v>10</v>
      </c>
      <c r="AM81" s="69">
        <f t="shared" ca="1" si="52"/>
        <v>10</v>
      </c>
      <c r="AN81" s="4">
        <f t="shared" ca="1" si="70"/>
        <v>2028</v>
      </c>
      <c r="AO81" s="4">
        <f t="shared" ca="1" si="53"/>
        <v>2028</v>
      </c>
      <c r="AP81" s="4">
        <f t="shared" ca="1" si="54"/>
        <v>1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1</v>
      </c>
      <c r="AZ81" s="19"/>
      <c r="BA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ca="1" si="58"/>
        <v>47077</v>
      </c>
      <c r="C82" s="401"/>
      <c r="D82" s="443">
        <f ca="1">IF(N82=0,IF(N81=1,SUM(D$25:E81)," "),IF(N82=0," ",IF(N83=1,D$25,IF(N83=0,D$10-D$25*(M$14-1)," "))))</f>
        <v>666670</v>
      </c>
      <c r="E82" s="443"/>
      <c r="F82" s="84">
        <f ca="1">IF(N82=0,IF(N81=1,SUM(F$25:F81)," "),IF(M$1=1,P82,IF(M$1=2,Q82," ")))</f>
        <v>158880</v>
      </c>
      <c r="G82" s="84">
        <v>0</v>
      </c>
      <c r="H82" s="84">
        <f t="shared" ca="1" si="59"/>
        <v>825550</v>
      </c>
      <c r="I82" s="84">
        <f t="shared" ca="1" si="60"/>
        <v>740740</v>
      </c>
      <c r="J82" s="84">
        <f t="shared" ca="1" si="41"/>
        <v>176550</v>
      </c>
      <c r="K82" s="84">
        <v>0</v>
      </c>
      <c r="L82" s="84">
        <f t="shared" ca="1" si="61"/>
        <v>917290</v>
      </c>
      <c r="M82" s="4">
        <v>58</v>
      </c>
      <c r="N82" s="4">
        <f t="shared" ca="1" si="34"/>
        <v>1</v>
      </c>
      <c r="O82" s="4">
        <f t="shared" ca="1" si="42"/>
        <v>20</v>
      </c>
      <c r="P82" s="22">
        <f t="shared" ca="1" si="43"/>
        <v>158880</v>
      </c>
      <c r="Q82" s="22">
        <f t="shared" ca="1" si="44"/>
        <v>158880</v>
      </c>
      <c r="R82" s="22">
        <f t="shared" ca="1" si="62"/>
        <v>1999810</v>
      </c>
      <c r="S82" s="22">
        <f t="shared" ca="1" si="63"/>
        <v>666670</v>
      </c>
      <c r="T82" s="22">
        <f t="shared" ca="1" si="64"/>
        <v>666670</v>
      </c>
      <c r="U82" s="22">
        <f t="shared" ca="1" si="77"/>
        <v>158876.68333333332</v>
      </c>
      <c r="V82" s="22">
        <f t="shared" ca="1" si="78"/>
        <v>158876.68333333332</v>
      </c>
      <c r="W82" s="22">
        <f t="shared" ca="1" si="65"/>
        <v>2600000</v>
      </c>
      <c r="X82" s="22">
        <f t="shared" ca="1" si="66"/>
        <v>2600000</v>
      </c>
      <c r="Y82" s="22">
        <f t="shared" ca="1" si="45"/>
        <v>2222260</v>
      </c>
      <c r="Z82" s="22">
        <f t="shared" ca="1" si="79"/>
        <v>176545.63333333333</v>
      </c>
      <c r="AA82" s="22">
        <f t="shared" ca="1" si="46"/>
        <v>176550</v>
      </c>
      <c r="AB82" s="22">
        <f t="shared" ca="1" si="35"/>
        <v>73327700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1999810</v>
      </c>
      <c r="AJ82" s="22">
        <f t="shared" ca="1" si="80"/>
        <v>0</v>
      </c>
      <c r="AK82" s="22">
        <f t="shared" ca="1" si="81"/>
        <v>0</v>
      </c>
      <c r="AL82" s="69">
        <f t="shared" ca="1" si="69"/>
        <v>11</v>
      </c>
      <c r="AM82" s="69">
        <f t="shared" ca="1" si="52"/>
        <v>11</v>
      </c>
      <c r="AN82" s="4">
        <f t="shared" ca="1" si="70"/>
        <v>2028</v>
      </c>
      <c r="AO82" s="4">
        <f t="shared" ca="1" si="53"/>
        <v>2028</v>
      </c>
      <c r="AP82" s="4">
        <f t="shared" ca="1" si="54"/>
        <v>1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19"/>
      <c r="AU82" s="19"/>
      <c r="AV82" s="19"/>
      <c r="AW82" s="19"/>
      <c r="AX82" s="19"/>
      <c r="AY82" s="4">
        <f t="shared" ca="1" si="57"/>
        <v>1</v>
      </c>
      <c r="AZ82" s="19"/>
      <c r="BA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ca="1" si="58"/>
        <v>47107</v>
      </c>
      <c r="C83" s="401"/>
      <c r="D83" s="443">
        <f ca="1">IF(N83=0,IF(N82=1,SUM(D$25:E82)," "),IF(N83=0," ",IF(N84=1,D$25,IF(N84=0,D$10-D$25*(M$14-1)," "))))</f>
        <v>666670</v>
      </c>
      <c r="E83" s="443"/>
      <c r="F83" s="84">
        <f ca="1">IF(N83=0,IF(N82=1,SUM(F$25:F82)," "),IF(M$1=1,P83,IF(M$1=2,Q83," ")))</f>
        <v>115540</v>
      </c>
      <c r="G83" s="84">
        <v>0</v>
      </c>
      <c r="H83" s="84">
        <f t="shared" ca="1" si="59"/>
        <v>782210</v>
      </c>
      <c r="I83" s="84">
        <f t="shared" ca="1" si="60"/>
        <v>740740</v>
      </c>
      <c r="J83" s="84">
        <f t="shared" ca="1" si="41"/>
        <v>128400</v>
      </c>
      <c r="K83" s="84">
        <v>0</v>
      </c>
      <c r="L83" s="84">
        <f t="shared" ca="1" si="61"/>
        <v>869140</v>
      </c>
      <c r="M83" s="4">
        <v>59</v>
      </c>
      <c r="N83" s="4">
        <f t="shared" ca="1" si="34"/>
        <v>1</v>
      </c>
      <c r="O83" s="4">
        <f t="shared" ca="1" si="42"/>
        <v>20</v>
      </c>
      <c r="P83" s="22">
        <f t="shared" ca="1" si="43"/>
        <v>115540</v>
      </c>
      <c r="Q83" s="22">
        <f t="shared" ca="1" si="44"/>
        <v>115540</v>
      </c>
      <c r="R83" s="22">
        <f t="shared" ca="1" si="62"/>
        <v>1333140</v>
      </c>
      <c r="S83" s="22">
        <f t="shared" ca="1" si="63"/>
        <v>666670</v>
      </c>
      <c r="T83" s="22">
        <f t="shared" ca="1" si="64"/>
        <v>666670</v>
      </c>
      <c r="U83" s="22">
        <f t="shared" ca="1" si="77"/>
        <v>115543.13333333333</v>
      </c>
      <c r="V83" s="22">
        <f t="shared" ca="1" si="78"/>
        <v>115543.13333333333</v>
      </c>
      <c r="W83" s="22">
        <f t="shared" ca="1" si="65"/>
        <v>2600000</v>
      </c>
      <c r="X83" s="22">
        <f t="shared" ca="1" si="66"/>
        <v>2600000</v>
      </c>
      <c r="Y83" s="22">
        <f t="shared" ca="1" si="45"/>
        <v>1481520</v>
      </c>
      <c r="Z83" s="22">
        <f t="shared" ca="1" si="79"/>
        <v>128397.53333333333</v>
      </c>
      <c r="AA83" s="22">
        <f t="shared" ca="1" si="46"/>
        <v>128400</v>
      </c>
      <c r="AB83" s="22">
        <f t="shared" ca="1" si="35"/>
        <v>53327600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1333140</v>
      </c>
      <c r="AJ83" s="22">
        <f t="shared" ca="1" si="80"/>
        <v>0</v>
      </c>
      <c r="AK83" s="22">
        <f t="shared" ca="1" si="81"/>
        <v>0</v>
      </c>
      <c r="AL83" s="69">
        <f t="shared" ca="1" si="69"/>
        <v>12</v>
      </c>
      <c r="AM83" s="69">
        <f t="shared" ca="1" si="52"/>
        <v>12</v>
      </c>
      <c r="AN83" s="4">
        <f t="shared" ca="1" si="70"/>
        <v>2028</v>
      </c>
      <c r="AO83" s="4">
        <f t="shared" ca="1" si="53"/>
        <v>2028</v>
      </c>
      <c r="AP83" s="4">
        <f t="shared" ca="1" si="54"/>
        <v>1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1</v>
      </c>
      <c r="AZ83" s="19"/>
      <c r="BA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ca="1" si="58"/>
        <v>47120</v>
      </c>
      <c r="C84" s="401"/>
      <c r="D84" s="443">
        <f ca="1">IF(N84=0,IF(N83=1,SUM(D$25:E83)," "),IF(N84=0," ",IF(N85=1,D$25,IF(N85=0,D$10-D$25*(M$14-1)," "))))</f>
        <v>666470</v>
      </c>
      <c r="E84" s="443"/>
      <c r="F84" s="84">
        <f ca="1">IF(N84=0,IF(N83=1,SUM(F$25:F83)," "),IF(M$1=1,P84,IF(M$1=2,Q84," ")))</f>
        <v>75100</v>
      </c>
      <c r="G84" s="84">
        <v>0</v>
      </c>
      <c r="H84" s="84">
        <f t="shared" ca="1" si="59"/>
        <v>741570</v>
      </c>
      <c r="I84" s="84">
        <f t="shared" ca="1" si="60"/>
        <v>740780</v>
      </c>
      <c r="J84" s="84">
        <f t="shared" ca="1" si="41"/>
        <v>83460</v>
      </c>
      <c r="K84" s="84">
        <v>0</v>
      </c>
      <c r="L84" s="84">
        <f t="shared" ca="1" si="61"/>
        <v>824240</v>
      </c>
      <c r="M84" s="4">
        <v>60</v>
      </c>
      <c r="N84" s="4">
        <f t="shared" ca="1" si="34"/>
        <v>1</v>
      </c>
      <c r="O84" s="4">
        <f t="shared" ca="1" si="42"/>
        <v>2</v>
      </c>
      <c r="P84" s="22">
        <f t="shared" ca="1" si="43"/>
        <v>75100</v>
      </c>
      <c r="Q84" s="22">
        <f t="shared" ca="1" si="44"/>
        <v>75100</v>
      </c>
      <c r="R84" s="22">
        <f t="shared" ca="1" si="62"/>
        <v>666470</v>
      </c>
      <c r="S84" s="22">
        <f t="shared" ca="1" si="63"/>
        <v>666470</v>
      </c>
      <c r="T84" s="22">
        <f t="shared" ca="1" si="64"/>
        <v>666470</v>
      </c>
      <c r="U84" s="22">
        <f t="shared" ca="1" si="77"/>
        <v>75097.62</v>
      </c>
      <c r="V84" s="22">
        <f t="shared" ca="1" si="78"/>
        <v>75097.62</v>
      </c>
      <c r="W84" s="22">
        <f t="shared" ca="1" si="65"/>
        <v>2773333.333333333</v>
      </c>
      <c r="X84" s="22">
        <f t="shared" ca="1" si="66"/>
        <v>2773330</v>
      </c>
      <c r="Y84" s="22">
        <f t="shared" ca="1" si="45"/>
        <v>740780</v>
      </c>
      <c r="Z84" s="22">
        <f t="shared" ca="1" si="79"/>
        <v>83459.48</v>
      </c>
      <c r="AA84" s="22">
        <f t="shared" ca="1" si="46"/>
        <v>83460</v>
      </c>
      <c r="AB84" s="22">
        <f t="shared" ca="1" si="35"/>
        <v>1332940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666470</v>
      </c>
      <c r="AJ84" s="22">
        <f t="shared" ca="1" si="80"/>
        <v>0</v>
      </c>
      <c r="AK84" s="22">
        <f t="shared" ca="1" si="81"/>
        <v>0</v>
      </c>
      <c r="AL84" s="69">
        <f t="shared" ca="1" si="69"/>
        <v>13</v>
      </c>
      <c r="AM84" s="69">
        <f t="shared" ca="1" si="52"/>
        <v>1</v>
      </c>
      <c r="AN84" s="4">
        <f t="shared" ca="1" si="70"/>
        <v>2028</v>
      </c>
      <c r="AO84" s="4">
        <f t="shared" ca="1" si="53"/>
        <v>2029</v>
      </c>
      <c r="AP84" s="4">
        <f t="shared" ca="1" si="54"/>
        <v>1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1</v>
      </c>
      <c r="AZ84" s="19"/>
      <c r="BA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>ИТОГО</v>
      </c>
      <c r="C85" s="401"/>
      <c r="D85" s="443">
        <f ca="1">IF(N85=0,IF(N84=1,SUM(D$25:E84)," "),IF(N85=0," ",IF(N86=1,D$25,IF(N86=0,D$10-D$25*(M$14-1)," "))))</f>
        <v>40000000</v>
      </c>
      <c r="E85" s="443"/>
      <c r="F85" s="84">
        <f ca="1">IF(N85=0,IF(N84=1,SUM(F$25:F84)," "),IF(M$1=1,P85,IF(M$1=2,Q85," ")))</f>
        <v>80746920</v>
      </c>
      <c r="G85" s="84">
        <v>0</v>
      </c>
      <c r="H85" s="84">
        <f t="shared" ca="1" si="59"/>
        <v>120746920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>
        <f t="shared" ca="1" si="63"/>
        <v>40000000</v>
      </c>
      <c r="T85" s="22">
        <f t="shared" ca="1" si="64"/>
        <v>40000000</v>
      </c>
      <c r="U85" s="22">
        <f ca="1">IF(N86=1,R84*D$11*20/36000+R85*D$11*10/36000,IF(N86=0,IF(N85=0,0,IF(D64&gt;20,R84*D$11*20/36000+R85*D$11*(Q$12-20)/36000,R85*D$11*Q$12/36000))))</f>
        <v>0</v>
      </c>
      <c r="V85" s="22">
        <f ca="1">IF(N86=1,R84*D$11*20/36000+R85*D$11*10/36000,IF(N86=0,IF(N85=0,0,IF(D64&gt;20,R84*D$11*20/36000+R85*D$11*(Q$12-20)/36000,R85*D$11*Q$12/36000))))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IF(N86=1,Y84*G$12*20/36000+Y85*G$12*10/36000,IF(N86=0,IF(N85=0,0,Y85*G$12*Q$12/36000)))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A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84">
        <f t="shared" si="60"/>
        <v>0</v>
      </c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80746920</v>
      </c>
      <c r="Q86" s="71">
        <f ca="1">SUM(Q25:Q85)</f>
        <v>80746920</v>
      </c>
      <c r="R86" s="71">
        <f ca="1">SUM(R25:R85)</f>
        <v>1219994100</v>
      </c>
      <c r="S86" s="71"/>
      <c r="T86" s="71"/>
      <c r="U86" s="71">
        <f ca="1">SUM(U25:U85)</f>
        <v>80746957.50333336</v>
      </c>
      <c r="V86" s="71">
        <f ca="1">SUM(V25:V85)</f>
        <v>80746957.50333336</v>
      </c>
      <c r="W86" s="71">
        <f ca="1">SUM(W25:W85)</f>
        <v>155913333.33333334</v>
      </c>
      <c r="X86" s="71">
        <f ca="1">SUM(X25:X85)</f>
        <v>155913330</v>
      </c>
      <c r="Y86" s="71"/>
      <c r="Z86" s="71"/>
      <c r="AA86" s="71"/>
      <c r="AB86" s="71">
        <f ca="1">SUM(AB25:AB85)</f>
        <v>37234499040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1219994100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B86" s="43"/>
      <c r="BC86" s="43"/>
      <c r="BD86" s="43"/>
    </row>
    <row r="87" spans="1:141" ht="88.5" hidden="1" customHeight="1">
      <c r="A87" s="28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7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B92" s="24"/>
      <c r="BC92" s="24"/>
      <c r="BD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B93" s="24"/>
      <c r="BC93" s="24"/>
      <c r="BD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B94" s="24"/>
      <c r="BC94" s="24"/>
      <c r="BD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B95" s="24"/>
      <c r="BC95" s="24"/>
      <c r="BD95" s="24"/>
    </row>
    <row r="96" spans="1:141" s="34" customFormat="1" ht="25.5" hidden="1" customHeight="1">
      <c r="A96" s="32">
        <f t="shared" ref="A96:A103" si="82">IF(LEFT(B96,1)="I",1,0)</f>
        <v>1</v>
      </c>
      <c r="B96" s="46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469"/>
      <c r="D96" s="469"/>
      <c r="E96" s="469"/>
      <c r="F96" s="469"/>
      <c r="G96" s="469"/>
      <c r="H96" s="469"/>
      <c r="I96" s="469"/>
      <c r="J96" s="469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B96" s="122"/>
      <c r="BC96" s="122"/>
      <c r="BD96" s="122"/>
    </row>
    <row r="97" spans="1:56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B97" s="122"/>
      <c r="BC97" s="122"/>
      <c r="BD97" s="122"/>
    </row>
    <row r="98" spans="1:56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B98" s="122"/>
      <c r="BC98" s="122"/>
      <c r="BD98" s="122"/>
    </row>
    <row r="99" spans="1:56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B99" s="122"/>
      <c r="BC99" s="122"/>
      <c r="BD99" s="122"/>
    </row>
    <row r="100" spans="1:56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B100" s="122"/>
      <c r="BC100" s="122"/>
      <c r="BD100" s="122"/>
    </row>
    <row r="101" spans="1:56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B101" s="122"/>
      <c r="BC101" s="122"/>
      <c r="BD101" s="122"/>
    </row>
    <row r="102" spans="1:56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B102" s="122"/>
      <c r="BC102" s="122"/>
      <c r="BD102" s="122"/>
    </row>
    <row r="103" spans="1:56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B103" s="122"/>
      <c r="BC103" s="122"/>
      <c r="BD103" s="122"/>
    </row>
    <row r="104" spans="1:56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B104" s="122"/>
      <c r="BC104" s="122"/>
      <c r="BD104" s="122"/>
    </row>
    <row r="105" spans="1:56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B105" s="122"/>
      <c r="BC105" s="122"/>
      <c r="BD105" s="122"/>
    </row>
    <row r="106" spans="1:56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B106" s="122"/>
      <c r="BC106" s="122"/>
      <c r="BD106" s="122"/>
    </row>
    <row r="107" spans="1:56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B107" s="122"/>
      <c r="BC107" s="122"/>
      <c r="BD107" s="122"/>
    </row>
    <row r="108" spans="1:56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B108" s="122"/>
      <c r="BC108" s="122"/>
      <c r="BD108" s="122"/>
    </row>
    <row r="109" spans="1:56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B109" s="122"/>
      <c r="BC109" s="122"/>
      <c r="BD109" s="122"/>
    </row>
    <row r="110" spans="1:56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B110" s="122"/>
      <c r="BC110" s="122"/>
      <c r="BD110" s="122"/>
    </row>
    <row r="111" spans="1:56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B111" s="122"/>
      <c r="BC111" s="122"/>
      <c r="BD111" s="122"/>
    </row>
    <row r="112" spans="1:56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B112" s="122"/>
      <c r="BC112" s="122"/>
      <c r="BD112" s="122"/>
    </row>
    <row r="113" spans="1:56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B113" s="122"/>
      <c r="BC113" s="122"/>
      <c r="BD113" s="122"/>
    </row>
    <row r="114" spans="1:56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B114" s="122"/>
      <c r="BC114" s="122"/>
      <c r="BD114" s="122"/>
    </row>
    <row r="115" spans="1:56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B115" s="122"/>
      <c r="BC115" s="122"/>
      <c r="BD115" s="122"/>
    </row>
    <row r="116" spans="1:56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B116" s="122"/>
      <c r="BC116" s="122"/>
      <c r="BD116" s="122"/>
    </row>
    <row r="117" spans="1:56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B117" s="122"/>
      <c r="BC117" s="122"/>
      <c r="BD117" s="122"/>
    </row>
    <row r="118" spans="1:56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B118" s="122"/>
      <c r="BC118" s="122"/>
      <c r="BD118" s="122"/>
    </row>
    <row r="119" spans="1:56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B119" s="122"/>
      <c r="BC119" s="122"/>
      <c r="BD119" s="122"/>
    </row>
    <row r="120" spans="1:56" s="34" customFormat="1" ht="37.5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B120" s="122"/>
      <c r="BC120" s="122"/>
      <c r="BD120" s="122"/>
    </row>
    <row r="121" spans="1:56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B121" s="122"/>
      <c r="BC121" s="122"/>
      <c r="BD121" s="122"/>
    </row>
    <row r="122" spans="1:56" s="34" customFormat="1" ht="36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B122" s="122"/>
      <c r="BC122" s="122"/>
      <c r="BD122" s="122"/>
    </row>
    <row r="123" spans="1:56" s="34" customFormat="1" ht="56.2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B123" s="122"/>
      <c r="BC123" s="122"/>
      <c r="BD123" s="122"/>
    </row>
    <row r="124" spans="1:56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B124" s="122"/>
      <c r="BC124" s="122"/>
      <c r="BD124" s="122"/>
    </row>
    <row r="125" spans="1:56" s="34" customFormat="1" ht="54.75" customHeight="1">
      <c r="A125" s="32"/>
      <c r="B125" s="456" t="s">
        <v>201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B125" s="122"/>
      <c r="BC125" s="122"/>
      <c r="BD125" s="122"/>
    </row>
    <row r="126" spans="1:56" s="34" customFormat="1" ht="46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B126" s="122"/>
      <c r="BC126" s="122"/>
      <c r="BD126" s="122"/>
    </row>
    <row r="127" spans="1:56" s="34" customFormat="1" ht="32.2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B127" s="122"/>
      <c r="BC127" s="122"/>
      <c r="BD127" s="122"/>
    </row>
    <row r="128" spans="1:56" s="34" customFormat="1" ht="38.2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B128" s="122"/>
      <c r="BC128" s="122"/>
      <c r="BD128" s="122"/>
    </row>
    <row r="129" spans="1:56" s="34" customFormat="1" ht="26.2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B129" s="122"/>
      <c r="BC129" s="122"/>
      <c r="BD129" s="122"/>
    </row>
    <row r="130" spans="1:56" s="34" customFormat="1" ht="38.25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B130" s="122"/>
      <c r="BC130" s="122"/>
      <c r="BD130" s="122"/>
    </row>
    <row r="131" spans="1:56" s="34" customFormat="1" ht="39.7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B131" s="122"/>
      <c r="BC131" s="122"/>
      <c r="BD131" s="122"/>
    </row>
    <row r="132" spans="1:56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B132" s="122"/>
      <c r="BC132" s="122"/>
      <c r="BD132" s="122"/>
    </row>
    <row r="133" spans="1:56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B133" s="122"/>
      <c r="BC133" s="122"/>
      <c r="BD133" s="122"/>
    </row>
    <row r="134" spans="1:56" s="34" customFormat="1" ht="18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B134" s="122"/>
      <c r="BC134" s="122"/>
      <c r="BD134" s="122"/>
    </row>
    <row r="135" spans="1:56" s="34" customFormat="1" ht="30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B135" s="122"/>
      <c r="BC135" s="122"/>
      <c r="BD135" s="122"/>
    </row>
    <row r="136" spans="1:56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B136" s="122"/>
      <c r="BC136" s="122"/>
      <c r="BD136" s="122"/>
    </row>
    <row r="137" spans="1:56" s="34" customFormat="1" ht="48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B137" s="122"/>
      <c r="BC137" s="122"/>
      <c r="BD137" s="122"/>
    </row>
    <row r="138" spans="1:56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B138" s="122"/>
      <c r="BC138" s="122"/>
      <c r="BD138" s="122"/>
    </row>
    <row r="139" spans="1:56" s="34" customFormat="1" ht="11.2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B139" s="122"/>
      <c r="BC139" s="122"/>
      <c r="BD139" s="122"/>
    </row>
    <row r="140" spans="1:56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B140" s="122"/>
      <c r="BC140" s="122"/>
      <c r="BD140" s="122"/>
    </row>
    <row r="141" spans="1:56" s="34" customFormat="1" ht="1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B141" s="122"/>
      <c r="BC141" s="122"/>
      <c r="BD141" s="122"/>
    </row>
    <row r="142" spans="1:56" s="34" customFormat="1" ht="32.2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B142" s="122"/>
      <c r="BC142" s="122"/>
      <c r="BD142" s="122"/>
    </row>
    <row r="143" spans="1:56" s="34" customFormat="1" ht="35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B143" s="122"/>
      <c r="BC143" s="122"/>
      <c r="BD143" s="122"/>
    </row>
    <row r="144" spans="1:56" s="34" customFormat="1" ht="39.7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B144" s="122"/>
      <c r="BC144" s="122"/>
      <c r="BD144" s="122"/>
    </row>
    <row r="145" spans="1:56" s="34" customFormat="1" ht="52.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B145" s="122"/>
      <c r="BC145" s="122"/>
      <c r="BD145" s="122"/>
    </row>
    <row r="146" spans="1:56" s="34" customFormat="1" ht="27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B146" s="122"/>
      <c r="BC146" s="122"/>
      <c r="BD146" s="122"/>
    </row>
    <row r="147" spans="1:56" s="34" customFormat="1" ht="80.2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B147" s="122"/>
      <c r="BC147" s="122"/>
      <c r="BD147" s="122"/>
    </row>
    <row r="148" spans="1:56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B148" s="122"/>
      <c r="BC148" s="122"/>
      <c r="BD148" s="122"/>
    </row>
    <row r="149" spans="1:56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6" ht="16.5" thickBot="1">
      <c r="A150" s="2"/>
      <c r="B150" s="465">
        <f ca="1">IF(A150=0,TODAY(),A150)</f>
        <v>45294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N1:Q1"/>
    <mergeCell ref="B7:C7"/>
    <mergeCell ref="D7:F7"/>
    <mergeCell ref="B5:I5"/>
    <mergeCell ref="F1:H4"/>
    <mergeCell ref="B15:C15"/>
    <mergeCell ref="D15:E15"/>
    <mergeCell ref="B8:C8"/>
    <mergeCell ref="D8:F8"/>
    <mergeCell ref="B10:C10"/>
    <mergeCell ref="D10:E10"/>
    <mergeCell ref="B13:C13"/>
    <mergeCell ref="D13:F13"/>
    <mergeCell ref="M11:P11"/>
    <mergeCell ref="B12:C12"/>
    <mergeCell ref="D12:E12"/>
    <mergeCell ref="M12:P12"/>
    <mergeCell ref="B11:C11"/>
    <mergeCell ref="D11:E11"/>
    <mergeCell ref="D17:F17"/>
    <mergeCell ref="D19:F19"/>
    <mergeCell ref="D22:E22"/>
    <mergeCell ref="B25:C25"/>
    <mergeCell ref="D20:F20"/>
    <mergeCell ref="B14:C14"/>
    <mergeCell ref="D14:E14"/>
    <mergeCell ref="D18:F18"/>
    <mergeCell ref="B16:C16"/>
    <mergeCell ref="D25:E25"/>
    <mergeCell ref="B18:C18"/>
    <mergeCell ref="B17:C17"/>
    <mergeCell ref="D16:E16"/>
    <mergeCell ref="B34:C34"/>
    <mergeCell ref="D34:E34"/>
    <mergeCell ref="D21:F21"/>
    <mergeCell ref="B26:C26"/>
    <mergeCell ref="B33:C33"/>
    <mergeCell ref="D33:E33"/>
    <mergeCell ref="B23:C24"/>
    <mergeCell ref="D23:H23"/>
    <mergeCell ref="B32:C32"/>
    <mergeCell ref="D32:E32"/>
    <mergeCell ref="D24:E24"/>
    <mergeCell ref="D26:E26"/>
    <mergeCell ref="B27:C27"/>
    <mergeCell ref="D27:E27"/>
    <mergeCell ref="B28:C28"/>
    <mergeCell ref="B29:C29"/>
    <mergeCell ref="D29:E29"/>
    <mergeCell ref="D28:E28"/>
    <mergeCell ref="B31:C31"/>
    <mergeCell ref="D31:E31"/>
    <mergeCell ref="B30:C30"/>
    <mergeCell ref="D30:E30"/>
    <mergeCell ref="B35:C35"/>
    <mergeCell ref="D35:E35"/>
    <mergeCell ref="B43:C43"/>
    <mergeCell ref="D43:E43"/>
    <mergeCell ref="B40:C40"/>
    <mergeCell ref="D40:E40"/>
    <mergeCell ref="B41:C41"/>
    <mergeCell ref="D41:E41"/>
    <mergeCell ref="B39:C39"/>
    <mergeCell ref="B36:C36"/>
    <mergeCell ref="D44:E44"/>
    <mergeCell ref="B45:C45"/>
    <mergeCell ref="D45:E45"/>
    <mergeCell ref="B46:C46"/>
    <mergeCell ref="D46:E46"/>
    <mergeCell ref="B44:C44"/>
    <mergeCell ref="D36:E36"/>
    <mergeCell ref="B42:C42"/>
    <mergeCell ref="D42:E42"/>
    <mergeCell ref="B37:C37"/>
    <mergeCell ref="D37:E37"/>
    <mergeCell ref="B38:C38"/>
    <mergeCell ref="D38:E38"/>
    <mergeCell ref="D39:E39"/>
    <mergeCell ref="B58:C58"/>
    <mergeCell ref="D58:E58"/>
    <mergeCell ref="B54:C54"/>
    <mergeCell ref="D54:E54"/>
    <mergeCell ref="B55:C55"/>
    <mergeCell ref="D55:E55"/>
    <mergeCell ref="B51:C51"/>
    <mergeCell ref="D51:E51"/>
    <mergeCell ref="B47:C47"/>
    <mergeCell ref="D47:E47"/>
    <mergeCell ref="B48:C48"/>
    <mergeCell ref="D48:E48"/>
    <mergeCell ref="B49:C49"/>
    <mergeCell ref="D49:E49"/>
    <mergeCell ref="B50:C50"/>
    <mergeCell ref="D50:E50"/>
    <mergeCell ref="B52:C52"/>
    <mergeCell ref="D52:E52"/>
    <mergeCell ref="B57:C57"/>
    <mergeCell ref="D57:E57"/>
    <mergeCell ref="B53:C53"/>
    <mergeCell ref="D53:E53"/>
    <mergeCell ref="B56:C56"/>
    <mergeCell ref="D56:E56"/>
    <mergeCell ref="B69:C69"/>
    <mergeCell ref="B70:C70"/>
    <mergeCell ref="B68:C68"/>
    <mergeCell ref="D68:E68"/>
    <mergeCell ref="B66:C66"/>
    <mergeCell ref="D66:E66"/>
    <mergeCell ref="B67:C67"/>
    <mergeCell ref="B59:C59"/>
    <mergeCell ref="D59:E59"/>
    <mergeCell ref="D62:E62"/>
    <mergeCell ref="B63:C63"/>
    <mergeCell ref="D63:E63"/>
    <mergeCell ref="B60:C60"/>
    <mergeCell ref="D60:E60"/>
    <mergeCell ref="B61:C61"/>
    <mergeCell ref="D61:E61"/>
    <mergeCell ref="B62:C62"/>
    <mergeCell ref="P94:Q94"/>
    <mergeCell ref="N94:O94"/>
    <mergeCell ref="D85:E85"/>
    <mergeCell ref="D82:E82"/>
    <mergeCell ref="B93:K93"/>
    <mergeCell ref="B82:C82"/>
    <mergeCell ref="B92:J92"/>
    <mergeCell ref="B74:C74"/>
    <mergeCell ref="D79:E79"/>
    <mergeCell ref="B76:C76"/>
    <mergeCell ref="D76:E76"/>
    <mergeCell ref="B79:C79"/>
    <mergeCell ref="D74:E74"/>
    <mergeCell ref="B75:C75"/>
    <mergeCell ref="D75:E75"/>
    <mergeCell ref="B78:C78"/>
    <mergeCell ref="D78:E78"/>
    <mergeCell ref="B89:H89"/>
    <mergeCell ref="B87:K87"/>
    <mergeCell ref="D84:E84"/>
    <mergeCell ref="D83:E83"/>
    <mergeCell ref="B83:C83"/>
    <mergeCell ref="B150:C150"/>
    <mergeCell ref="D150:F150"/>
    <mergeCell ref="G150:H150"/>
    <mergeCell ref="B110:K110"/>
    <mergeCell ref="B111:K111"/>
    <mergeCell ref="B112:K112"/>
    <mergeCell ref="I136:L136"/>
    <mergeCell ref="B144:H144"/>
    <mergeCell ref="I143:L143"/>
    <mergeCell ref="B137:H137"/>
    <mergeCell ref="B149:L149"/>
    <mergeCell ref="B147:L147"/>
    <mergeCell ref="B148:L148"/>
    <mergeCell ref="B145:H145"/>
    <mergeCell ref="I145:L145"/>
    <mergeCell ref="I146:L146"/>
    <mergeCell ref="B119:K119"/>
    <mergeCell ref="I135:L135"/>
    <mergeCell ref="B130:L130"/>
    <mergeCell ref="B133:L133"/>
    <mergeCell ref="B134:L134"/>
    <mergeCell ref="B131:L131"/>
    <mergeCell ref="B132:L132"/>
    <mergeCell ref="I138:L138"/>
    <mergeCell ref="I23:L23"/>
    <mergeCell ref="D67:E67"/>
    <mergeCell ref="D81:E81"/>
    <mergeCell ref="B86:C86"/>
    <mergeCell ref="D86:E86"/>
    <mergeCell ref="B84:C84"/>
    <mergeCell ref="B85:C85"/>
    <mergeCell ref="B80:C80"/>
    <mergeCell ref="D80:E80"/>
    <mergeCell ref="B77:C77"/>
    <mergeCell ref="D77:E77"/>
    <mergeCell ref="B81:C81"/>
    <mergeCell ref="B64:C64"/>
    <mergeCell ref="D73:E73"/>
    <mergeCell ref="B73:C73"/>
    <mergeCell ref="B72:C72"/>
    <mergeCell ref="D72:E72"/>
    <mergeCell ref="B71:C71"/>
    <mergeCell ref="D71:E71"/>
    <mergeCell ref="D70:E70"/>
    <mergeCell ref="D64:E64"/>
    <mergeCell ref="B65:C65"/>
    <mergeCell ref="D65:E65"/>
    <mergeCell ref="D69:E69"/>
    <mergeCell ref="B96:J96"/>
    <mergeCell ref="B102:K102"/>
    <mergeCell ref="B124:L124"/>
    <mergeCell ref="B127:L127"/>
    <mergeCell ref="B128:L128"/>
    <mergeCell ref="B118:K118"/>
    <mergeCell ref="B114:K114"/>
    <mergeCell ref="B115:K115"/>
    <mergeCell ref="B116:K116"/>
    <mergeCell ref="B117:K117"/>
    <mergeCell ref="B126:L126"/>
    <mergeCell ref="B106:K106"/>
    <mergeCell ref="B103:K103"/>
    <mergeCell ref="B104:K104"/>
    <mergeCell ref="B105:K105"/>
    <mergeCell ref="B97:K97"/>
    <mergeCell ref="B101:K101"/>
    <mergeCell ref="B98:K98"/>
    <mergeCell ref="B99:K99"/>
    <mergeCell ref="B100:K100"/>
    <mergeCell ref="B107:K107"/>
    <mergeCell ref="B108:K108"/>
    <mergeCell ref="B109:K109"/>
    <mergeCell ref="B146:H146"/>
    <mergeCell ref="B113:K113"/>
    <mergeCell ref="B125:L125"/>
    <mergeCell ref="B122:L122"/>
    <mergeCell ref="B141:L141"/>
    <mergeCell ref="B129:L129"/>
    <mergeCell ref="I137:L137"/>
    <mergeCell ref="B135:H135"/>
    <mergeCell ref="I142:L142"/>
    <mergeCell ref="B120:L120"/>
    <mergeCell ref="B121:L121"/>
    <mergeCell ref="B123:L123"/>
    <mergeCell ref="I144:L144"/>
    <mergeCell ref="B136:H136"/>
    <mergeCell ref="B140:L140"/>
    <mergeCell ref="B139:L139"/>
    <mergeCell ref="B138:H138"/>
    <mergeCell ref="B143:H143"/>
    <mergeCell ref="B142:H142"/>
  </mergeCells>
  <phoneticPr fontId="22" type="noConversion"/>
  <conditionalFormatting sqref="A11 A14:A15">
    <cfRule type="cellIs" dxfId="329" priority="34" stopIfTrue="1" operator="greaterThan">
      <formula>61</formula>
    </cfRule>
    <cfRule type="expression" dxfId="328" priority="35" stopIfTrue="1">
      <formula>$A$24</formula>
    </cfRule>
  </conditionalFormatting>
  <conditionalFormatting sqref="B26:C85 D48:H85">
    <cfRule type="expression" dxfId="327" priority="1" stopIfTrue="1">
      <formula>$N26</formula>
    </cfRule>
  </conditionalFormatting>
  <conditionalFormatting sqref="B18:F18">
    <cfRule type="expression" dxfId="326" priority="26" stopIfTrue="1">
      <formula>$M$8</formula>
    </cfRule>
  </conditionalFormatting>
  <conditionalFormatting sqref="B25:H25">
    <cfRule type="expression" dxfId="325" priority="7" stopIfTrue="1">
      <formula>$N$25</formula>
    </cfRule>
  </conditionalFormatting>
  <conditionalFormatting sqref="B96:I119">
    <cfRule type="expression" dxfId="324" priority="4" stopIfTrue="1">
      <formula>A96</formula>
    </cfRule>
  </conditionalFormatting>
  <conditionalFormatting sqref="D12:E12">
    <cfRule type="expression" dxfId="323" priority="33" stopIfTrue="1">
      <formula>$A$24</formula>
    </cfRule>
  </conditionalFormatting>
  <conditionalFormatting sqref="D26:H26">
    <cfRule type="expression" dxfId="322" priority="8" stopIfTrue="1">
      <formula>$N$26</formula>
    </cfRule>
  </conditionalFormatting>
  <conditionalFormatting sqref="D27:H27">
    <cfRule type="expression" dxfId="321" priority="9" stopIfTrue="1">
      <formula>$N$27</formula>
    </cfRule>
  </conditionalFormatting>
  <conditionalFormatting sqref="D28:H28">
    <cfRule type="expression" dxfId="320" priority="10" stopIfTrue="1">
      <formula>$N$28</formula>
    </cfRule>
  </conditionalFormatting>
  <conditionalFormatting sqref="D29:H29">
    <cfRule type="expression" dxfId="319" priority="11" stopIfTrue="1">
      <formula>$N$29</formula>
    </cfRule>
  </conditionalFormatting>
  <conditionalFormatting sqref="D30:H30">
    <cfRule type="expression" dxfId="318" priority="12" stopIfTrue="1">
      <formula>$N$30</formula>
    </cfRule>
  </conditionalFormatting>
  <conditionalFormatting sqref="D31:H31">
    <cfRule type="expression" dxfId="317" priority="13" stopIfTrue="1">
      <formula>$N$31</formula>
    </cfRule>
  </conditionalFormatting>
  <conditionalFormatting sqref="D32:H32">
    <cfRule type="expression" dxfId="316" priority="14" stopIfTrue="1">
      <formula>$N$32</formula>
    </cfRule>
  </conditionalFormatting>
  <conditionalFormatting sqref="D33:H33">
    <cfRule type="expression" dxfId="315" priority="15" stopIfTrue="1">
      <formula>$N$33</formula>
    </cfRule>
  </conditionalFormatting>
  <conditionalFormatting sqref="D34:H34">
    <cfRule type="expression" dxfId="314" priority="16" stopIfTrue="1">
      <formula>$N$34</formula>
    </cfRule>
  </conditionalFormatting>
  <conditionalFormatting sqref="D35:H35">
    <cfRule type="expression" dxfId="313" priority="17" stopIfTrue="1">
      <formula>$N$35</formula>
    </cfRule>
  </conditionalFormatting>
  <conditionalFormatting sqref="D36:H36">
    <cfRule type="expression" dxfId="312" priority="18" stopIfTrue="1">
      <formula>$N$36</formula>
    </cfRule>
  </conditionalFormatting>
  <conditionalFormatting sqref="D37:H37">
    <cfRule type="expression" dxfId="311" priority="19" stopIfTrue="1">
      <formula>$N$37</formula>
    </cfRule>
  </conditionalFormatting>
  <conditionalFormatting sqref="D38:H38">
    <cfRule type="expression" dxfId="310" priority="20" stopIfTrue="1">
      <formula>$N$38</formula>
    </cfRule>
  </conditionalFormatting>
  <conditionalFormatting sqref="D39:H39">
    <cfRule type="expression" dxfId="309" priority="21" stopIfTrue="1">
      <formula>$N$39</formula>
    </cfRule>
  </conditionalFormatting>
  <conditionalFormatting sqref="D40:H40">
    <cfRule type="expression" dxfId="308" priority="22" stopIfTrue="1">
      <formula>$N$40</formula>
    </cfRule>
  </conditionalFormatting>
  <conditionalFormatting sqref="D41:H41">
    <cfRule type="expression" dxfId="307" priority="23" stopIfTrue="1">
      <formula>$N$41</formula>
    </cfRule>
  </conditionalFormatting>
  <conditionalFormatting sqref="D42:H42">
    <cfRule type="expression" dxfId="306" priority="24" stopIfTrue="1">
      <formula>$N$42</formula>
    </cfRule>
  </conditionalFormatting>
  <conditionalFormatting sqref="D43:H43">
    <cfRule type="expression" dxfId="305" priority="28" stopIfTrue="1">
      <formula>$N$43</formula>
    </cfRule>
  </conditionalFormatting>
  <conditionalFormatting sqref="D44:H44">
    <cfRule type="expression" dxfId="304" priority="29" stopIfTrue="1">
      <formula>$N$44</formula>
    </cfRule>
  </conditionalFormatting>
  <conditionalFormatting sqref="D45:H45">
    <cfRule type="expression" dxfId="303" priority="30" stopIfTrue="1">
      <formula>$N$45</formula>
    </cfRule>
  </conditionalFormatting>
  <conditionalFormatting sqref="D46:H46">
    <cfRule type="expression" dxfId="302" priority="31" stopIfTrue="1">
      <formula>$N$46</formula>
    </cfRule>
  </conditionalFormatting>
  <conditionalFormatting sqref="D47:H47">
    <cfRule type="expression" dxfId="301" priority="32" stopIfTrue="1">
      <formula>$N$47</formula>
    </cfRule>
  </conditionalFormatting>
  <conditionalFormatting sqref="F10 D11:E11">
    <cfRule type="expression" dxfId="300" priority="25" stopIfTrue="1">
      <formula>$M$5</formula>
    </cfRule>
  </conditionalFormatting>
  <conditionalFormatting sqref="G10:L10">
    <cfRule type="expression" dxfId="299" priority="27" stopIfTrue="1">
      <formula>$A$1</formula>
    </cfRule>
  </conditionalFormatting>
  <conditionalFormatting sqref="I24:K24">
    <cfRule type="expression" dxfId="298" priority="39" stopIfTrue="1">
      <formula>$D$15</formula>
    </cfRule>
  </conditionalFormatting>
  <conditionalFormatting sqref="I23:L23 L24">
    <cfRule type="expression" dxfId="297" priority="38" stopIfTrue="1">
      <formula>$D$15</formula>
    </cfRule>
  </conditionalFormatting>
  <conditionalFormatting sqref="I25:L85 I86">
    <cfRule type="expression" dxfId="296" priority="6" stopIfTrue="1">
      <formula>$AY25</formula>
    </cfRule>
  </conditionalFormatting>
  <conditionalFormatting sqref="J96:J119">
    <cfRule type="expression" dxfId="295" priority="5" stopIfTrue="1">
      <formula>H96</formula>
    </cfRule>
  </conditionalFormatting>
  <conditionalFormatting sqref="K96:K119">
    <cfRule type="expression" dxfId="294" priority="3" stopIfTrue="1">
      <formula>H96</formula>
    </cfRule>
  </conditionalFormatting>
  <conditionalFormatting sqref="L96:L119">
    <cfRule type="expression" dxfId="293" priority="2" stopIfTrue="1">
      <formula>H96</formula>
    </cfRule>
  </conditionalFormatting>
  <dataValidations count="2">
    <dataValidation type="list" allowBlank="1" showInputMessage="1" showErrorMessage="1" sqref="D14:E14" xr:uid="{00000000-0002-0000-0C00-000000000000}">
      <formula1>$X$10:$X$15</formula1>
    </dataValidation>
    <dataValidation type="list" allowBlank="1" showInputMessage="1" showErrorMessage="1" sqref="D15:E15" xr:uid="{00000000-0002-0000-0C00-000001000000}">
      <formula1>$Y$9:$Y$13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P193"/>
  <sheetViews>
    <sheetView zoomScale="90" zoomScaleNormal="90" workbookViewId="0">
      <selection activeCell="B5" sqref="B5:I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42578125" style="21" customWidth="1"/>
    <col min="9" max="10" width="16.5703125" style="21" customWidth="1"/>
    <col min="11" max="11" width="16.5703125" style="21" hidden="1" customWidth="1"/>
    <col min="12" max="12" width="21.5703125" style="21" customWidth="1"/>
    <col min="13" max="15" width="9.28515625" style="4" bestFit="1" customWidth="1"/>
    <col min="16" max="16" width="13.140625" style="4" customWidth="1"/>
    <col min="17" max="17" width="11.5703125" style="4" customWidth="1"/>
    <col min="18" max="19" width="13.5703125" style="4" customWidth="1"/>
    <col min="20" max="21" width="12.42578125" style="19" customWidth="1"/>
    <col min="22" max="22" width="12.28515625" style="4" bestFit="1" customWidth="1"/>
    <col min="23" max="25" width="12" style="4" customWidth="1"/>
    <col min="26" max="29" width="14" style="4" customWidth="1"/>
    <col min="30" max="30" width="12.7109375" style="4" customWidth="1"/>
    <col min="31" max="31" width="14.42578125" style="4" customWidth="1"/>
    <col min="32" max="32" width="12.42578125" style="4" customWidth="1"/>
    <col min="33" max="39" width="12.28515625" style="4" customWidth="1"/>
    <col min="40" max="40" width="13.85546875" style="4" customWidth="1"/>
    <col min="41" max="41" width="12.140625" style="4" customWidth="1"/>
    <col min="42" max="42" width="12" style="4" customWidth="1"/>
    <col min="43" max="50" width="9.140625" style="4"/>
    <col min="51" max="55" width="9.140625" style="19"/>
    <col min="56" max="56" width="9.140625" style="4"/>
    <col min="57" max="60" width="9.140625" style="19"/>
    <col min="61" max="61" width="9.140625" style="118"/>
    <col min="62" max="66" width="9.140625" style="19"/>
    <col min="67" max="146" width="9.140625" style="20"/>
    <col min="147" max="16384" width="9.140625" style="21"/>
  </cols>
  <sheetData>
    <row r="1" spans="1:66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  <c r="BI1" s="73"/>
    </row>
    <row r="2" spans="1:66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N2" s="46"/>
      <c r="O2" s="46"/>
      <c r="P2" s="46"/>
      <c r="Q2" s="46"/>
      <c r="R2" s="46"/>
      <c r="S2" s="46"/>
      <c r="T2" s="47"/>
      <c r="U2" s="47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7"/>
      <c r="AZ2" s="47"/>
      <c r="BA2" s="47"/>
      <c r="BB2" s="47"/>
      <c r="BC2" s="47"/>
      <c r="BD2" s="46"/>
      <c r="BE2" s="47"/>
      <c r="BF2" s="47"/>
      <c r="BG2" s="47"/>
      <c r="BH2" s="47"/>
      <c r="BI2" s="113"/>
      <c r="BJ2" s="47"/>
      <c r="BK2" s="47"/>
      <c r="BL2" s="47"/>
      <c r="BM2" s="47"/>
      <c r="BN2" s="47"/>
    </row>
    <row r="3" spans="1:66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  <c r="BI3" s="113"/>
    </row>
    <row r="4" spans="1:66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N4" s="46"/>
      <c r="O4" s="46"/>
      <c r="P4" s="46"/>
      <c r="Q4" s="46"/>
      <c r="R4" s="46"/>
      <c r="S4" s="46"/>
      <c r="T4" s="47"/>
      <c r="U4" s="47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7"/>
      <c r="AZ4" s="47"/>
      <c r="BA4" s="47"/>
      <c r="BB4" s="47"/>
      <c r="BC4" s="47"/>
      <c r="BD4" s="46"/>
      <c r="BE4" s="47"/>
      <c r="BF4" s="47"/>
      <c r="BG4" s="47"/>
      <c r="BH4" s="47"/>
      <c r="BI4" s="113"/>
      <c r="BJ4" s="47"/>
      <c r="BK4" s="47"/>
      <c r="BL4" s="47"/>
      <c r="BM4" s="47"/>
      <c r="BN4" s="47"/>
    </row>
    <row r="5" spans="1:66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6">
        <f>IF(M1=0,1,0)</f>
        <v>0</v>
      </c>
      <c r="N5" s="46"/>
      <c r="O5" s="46"/>
      <c r="P5" s="46"/>
      <c r="Q5" s="46"/>
      <c r="R5" s="46"/>
      <c r="S5" s="46"/>
      <c r="T5" s="47"/>
      <c r="U5" s="47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7"/>
      <c r="AZ5" s="47"/>
      <c r="BA5" s="47"/>
      <c r="BB5" s="47"/>
      <c r="BC5" s="47"/>
      <c r="BD5" s="46"/>
      <c r="BE5" s="47"/>
      <c r="BF5" s="47"/>
      <c r="BG5" s="47"/>
      <c r="BH5" s="47"/>
      <c r="BI5" s="113"/>
      <c r="BJ5" s="47"/>
      <c r="BK5" s="47"/>
      <c r="BL5" s="47"/>
      <c r="BM5" s="47"/>
      <c r="BN5" s="47"/>
    </row>
    <row r="6" spans="1:66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M6" s="46"/>
      <c r="N6" s="46"/>
      <c r="O6" s="46"/>
      <c r="P6" s="46"/>
      <c r="Q6" s="46"/>
      <c r="R6" s="46"/>
      <c r="S6" s="46"/>
      <c r="T6" s="47"/>
      <c r="U6" s="47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7"/>
      <c r="AZ6" s="47"/>
      <c r="BA6" s="47"/>
      <c r="BB6" s="47"/>
      <c r="BC6" s="47"/>
      <c r="BD6" s="46"/>
      <c r="BE6" s="47"/>
      <c r="BF6" s="47"/>
      <c r="BG6" s="47"/>
      <c r="BH6" s="47"/>
      <c r="BI6" s="113"/>
      <c r="BJ6" s="47"/>
      <c r="BK6" s="47"/>
      <c r="BL6" s="47"/>
      <c r="BM6" s="47"/>
      <c r="BN6" s="47"/>
    </row>
    <row r="7" spans="1:66" ht="15" customHeight="1">
      <c r="A7" s="7"/>
      <c r="B7" s="424" t="s">
        <v>2</v>
      </c>
      <c r="C7" s="425"/>
      <c r="D7" s="339"/>
      <c r="E7" s="339"/>
      <c r="F7" s="340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O7" s="46"/>
      <c r="P7" s="46"/>
      <c r="Q7" s="46"/>
      <c r="R7" s="46"/>
      <c r="S7" s="46"/>
      <c r="T7" s="47"/>
      <c r="U7" s="47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7"/>
      <c r="AZ7" s="47"/>
      <c r="BA7" s="47"/>
      <c r="BB7" s="47"/>
      <c r="BC7" s="47"/>
      <c r="BD7" s="46"/>
      <c r="BE7" s="47"/>
      <c r="BF7" s="47"/>
      <c r="BG7" s="47"/>
      <c r="BH7" s="47"/>
      <c r="BI7" s="113"/>
      <c r="BJ7" s="47"/>
      <c r="BK7" s="47"/>
      <c r="BL7" s="47"/>
      <c r="BM7" s="47"/>
      <c r="BN7" s="47"/>
    </row>
    <row r="8" spans="1:66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6">
        <f>IF(H8=1,0,IF(D8&gt;1,IF(D8&lt;999999999999,1,0),0))</f>
        <v>1</v>
      </c>
      <c r="N8" s="46">
        <f>IF(D8=0,0,IF(H8=1,0,IF(M8=1,0,1)))</f>
        <v>0</v>
      </c>
      <c r="O8" s="46">
        <f>N8+M8+H8</f>
        <v>1</v>
      </c>
      <c r="P8" s="46"/>
      <c r="Q8" s="46"/>
      <c r="R8" s="46"/>
      <c r="S8" s="46"/>
      <c r="T8" s="47"/>
      <c r="U8" s="47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7"/>
      <c r="AZ8" s="47"/>
      <c r="BA8" s="47"/>
      <c r="BB8" s="47"/>
      <c r="BC8" s="47"/>
      <c r="BD8" s="46"/>
      <c r="BE8" s="47"/>
      <c r="BF8" s="47"/>
      <c r="BG8" s="47"/>
      <c r="BH8" s="47"/>
      <c r="BI8" s="113"/>
      <c r="BJ8" s="47"/>
      <c r="BK8" s="47"/>
      <c r="BL8" s="47"/>
      <c r="BM8" s="47"/>
      <c r="BN8" s="47"/>
    </row>
    <row r="9" spans="1:66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M9" s="46"/>
      <c r="N9" s="46"/>
      <c r="O9" s="54"/>
      <c r="BI9" s="114"/>
    </row>
    <row r="10" spans="1:66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12000000</v>
      </c>
      <c r="E10" s="450"/>
      <c r="F10" s="11" t="s">
        <v>189</v>
      </c>
      <c r="G10" s="12" t="s">
        <v>7</v>
      </c>
      <c r="H10" s="13">
        <f ca="1">F22+G22+A109+D10</f>
        <v>23328530</v>
      </c>
      <c r="I10" s="40"/>
      <c r="J10" s="40"/>
      <c r="K10" s="40"/>
      <c r="L10" s="40"/>
      <c r="BI10" s="114"/>
    </row>
    <row r="11" spans="1:66" ht="15" customHeight="1">
      <c r="A11" s="17">
        <v>23.5</v>
      </c>
      <c r="B11" s="408" t="s">
        <v>8</v>
      </c>
      <c r="C11" s="409"/>
      <c r="D11" s="413">
        <f>A11*2+18</f>
        <v>65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6">
        <f ca="1">IF(DAY(D16)=31,31,30)</f>
        <v>30</v>
      </c>
      <c r="S11" s="46"/>
      <c r="T11" s="47"/>
      <c r="U11" s="47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7"/>
      <c r="AZ11" s="47"/>
      <c r="BA11" s="47"/>
      <c r="BB11" s="47"/>
      <c r="BC11" s="47"/>
      <c r="BD11" s="46"/>
      <c r="BE11" s="47"/>
      <c r="BF11" s="47"/>
      <c r="BG11" s="47"/>
      <c r="BH11" s="47"/>
      <c r="BI11" s="115"/>
      <c r="BJ11" s="47"/>
      <c r="BK11" s="47"/>
      <c r="BL11" s="47"/>
      <c r="BM11" s="47"/>
      <c r="BN11" s="47"/>
    </row>
    <row r="12" spans="1:66" ht="15" hidden="1" customHeight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 ca="1">DATE(YEAR(0),MONTH(0),DAY(D16)-1)</f>
        <v>2</v>
      </c>
      <c r="BI12" s="115"/>
    </row>
    <row r="13" spans="1:66" ht="30.75" customHeight="1">
      <c r="A13" s="16" t="s">
        <v>12</v>
      </c>
      <c r="B13" s="345" t="s">
        <v>181</v>
      </c>
      <c r="C13" s="346"/>
      <c r="D13" s="415" t="s">
        <v>182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R13" s="46"/>
      <c r="S13" s="46"/>
      <c r="T13" s="47"/>
      <c r="U13" s="47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7"/>
      <c r="AZ13" s="47"/>
      <c r="BA13" s="47"/>
      <c r="BB13" s="47"/>
      <c r="BC13" s="47"/>
      <c r="BD13" s="46"/>
      <c r="BE13" s="47"/>
      <c r="BF13" s="47"/>
      <c r="BG13" s="47"/>
      <c r="BH13" s="47"/>
      <c r="BI13" s="115"/>
      <c r="BJ13" s="47"/>
      <c r="BK13" s="47"/>
      <c r="BL13" s="47"/>
      <c r="BM13" s="47"/>
      <c r="BN13" s="47"/>
    </row>
    <row r="14" spans="1:66" ht="15" customHeight="1">
      <c r="A14" s="17">
        <f ca="1">IF(DAY(D16)&lt;=21,D14,D14+1)</f>
        <v>72</v>
      </c>
      <c r="B14" s="408" t="s">
        <v>13</v>
      </c>
      <c r="C14" s="409"/>
      <c r="D14" s="413">
        <v>72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 ca="1">IF(M1=1,IF(F10="USD",0,A14),IF(M1=2,A14," "))</f>
        <v>72</v>
      </c>
      <c r="N14" s="46"/>
      <c r="O14" s="46"/>
      <c r="P14" s="46"/>
      <c r="Q14" s="46"/>
      <c r="R14" s="46"/>
      <c r="S14" s="46"/>
      <c r="T14" s="47"/>
      <c r="U14" s="47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7"/>
      <c r="AZ14" s="47"/>
      <c r="BA14" s="47"/>
      <c r="BB14" s="47"/>
      <c r="BC14" s="47"/>
      <c r="BD14" s="46"/>
      <c r="BE14" s="47"/>
      <c r="BF14" s="47"/>
      <c r="BG14" s="47"/>
      <c r="BH14" s="47"/>
      <c r="BI14" s="115"/>
      <c r="BJ14" s="47"/>
      <c r="BK14" s="47"/>
      <c r="BL14" s="47"/>
      <c r="BM14" s="47"/>
      <c r="BN14" s="47"/>
    </row>
    <row r="15" spans="1:66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46"/>
      <c r="N15" s="46"/>
      <c r="O15" s="46"/>
      <c r="P15" s="46"/>
      <c r="Q15" s="46"/>
      <c r="R15" s="46"/>
      <c r="S15" s="46"/>
      <c r="T15" s="47"/>
      <c r="U15" s="47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7"/>
      <c r="AZ15" s="47"/>
      <c r="BA15" s="47"/>
      <c r="BB15" s="47"/>
      <c r="BC15" s="47"/>
      <c r="BD15" s="46"/>
      <c r="BE15" s="47"/>
      <c r="BF15" s="47"/>
      <c r="BG15" s="47"/>
      <c r="BH15" s="47"/>
      <c r="BI15" s="115"/>
      <c r="BJ15" s="47"/>
      <c r="BK15" s="47"/>
      <c r="BL15" s="47"/>
      <c r="BM15" s="47"/>
      <c r="BN15" s="47"/>
    </row>
    <row r="16" spans="1:66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 ca="1">A14-D15</f>
        <v>69</v>
      </c>
      <c r="N16" s="46"/>
      <c r="O16" s="46"/>
      <c r="P16" s="46"/>
      <c r="Q16" s="46"/>
      <c r="R16" s="46"/>
      <c r="S16" s="46"/>
      <c r="T16" s="47"/>
      <c r="U16" s="47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7"/>
      <c r="AZ16" s="47"/>
      <c r="BA16" s="47"/>
      <c r="BB16" s="47"/>
      <c r="BC16" s="47"/>
      <c r="BD16" s="46"/>
      <c r="BE16" s="47"/>
      <c r="BF16" s="47"/>
      <c r="BG16" s="47"/>
      <c r="BH16" s="47"/>
      <c r="BI16" s="115"/>
      <c r="BJ16" s="47"/>
      <c r="BK16" s="47"/>
      <c r="BL16" s="47"/>
      <c r="BM16" s="47"/>
      <c r="BN16" s="47"/>
    </row>
    <row r="17" spans="1:146" ht="15" customHeight="1" thickBot="1">
      <c r="A17" s="4">
        <f ca="1">IF(A14&gt;73,1,0)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M17" s="46"/>
      <c r="N17" s="46"/>
      <c r="O17" s="46"/>
      <c r="P17" s="46"/>
      <c r="Q17" s="46"/>
      <c r="R17" s="46"/>
      <c r="S17" s="46"/>
      <c r="T17" s="47"/>
      <c r="U17" s="47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7"/>
      <c r="AZ17" s="47"/>
      <c r="BA17" s="47"/>
      <c r="BB17" s="47"/>
      <c r="BC17" s="47"/>
      <c r="BD17" s="46"/>
      <c r="BE17" s="47"/>
      <c r="BF17" s="47"/>
      <c r="BG17" s="47"/>
      <c r="BH17" s="47"/>
      <c r="BI17" s="115"/>
      <c r="BJ17" s="47"/>
      <c r="BK17" s="47"/>
      <c r="BL17" s="47"/>
      <c r="BM17" s="47"/>
      <c r="BN17" s="47"/>
    </row>
    <row r="18" spans="1:146" ht="13.5" thickBot="1">
      <c r="A18" s="4"/>
      <c r="B18" s="444" t="s">
        <v>18</v>
      </c>
      <c r="C18" s="445"/>
      <c r="D18" s="482" t="s">
        <v>19</v>
      </c>
      <c r="E18" s="483"/>
      <c r="F18" s="484"/>
      <c r="G18" s="4"/>
      <c r="H18" s="4"/>
      <c r="I18" s="4"/>
      <c r="J18" s="4"/>
      <c r="K18" s="4"/>
      <c r="L18" s="4"/>
      <c r="M18" s="46"/>
      <c r="N18" s="46"/>
      <c r="O18" s="46"/>
      <c r="P18" s="46"/>
      <c r="Q18" s="46"/>
      <c r="R18" s="46"/>
      <c r="S18" s="46"/>
      <c r="T18" s="47"/>
      <c r="U18" s="47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7"/>
      <c r="AZ18" s="47"/>
      <c r="BA18" s="47"/>
      <c r="BB18" s="47"/>
      <c r="BC18" s="47"/>
      <c r="BD18" s="46"/>
      <c r="BE18" s="47"/>
      <c r="BF18" s="47"/>
      <c r="BG18" s="47"/>
      <c r="BH18" s="47"/>
      <c r="BI18" s="115"/>
      <c r="BJ18" s="47"/>
      <c r="BK18" s="47"/>
      <c r="BL18" s="47"/>
      <c r="BM18" s="47"/>
      <c r="BN18" s="47"/>
    </row>
    <row r="19" spans="1:146">
      <c r="A19" s="4"/>
      <c r="B19" s="4"/>
      <c r="C19" s="4"/>
      <c r="D19" s="272" t="s">
        <v>17</v>
      </c>
      <c r="E19" s="272"/>
      <c r="F19" s="272"/>
      <c r="G19" s="4"/>
      <c r="H19" s="4"/>
      <c r="I19" s="4"/>
      <c r="J19" s="4"/>
      <c r="K19" s="4"/>
      <c r="L19" s="4"/>
      <c r="M19" s="46"/>
      <c r="N19" s="46"/>
      <c r="O19" s="46"/>
      <c r="P19" s="46"/>
      <c r="Q19" s="46"/>
      <c r="R19" s="46"/>
      <c r="S19" s="46"/>
      <c r="T19" s="47"/>
      <c r="U19" s="47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7"/>
      <c r="AZ19" s="47"/>
      <c r="BA19" s="47"/>
      <c r="BB19" s="47"/>
      <c r="BC19" s="47"/>
      <c r="BD19" s="46"/>
      <c r="BE19" s="47"/>
      <c r="BF19" s="47"/>
      <c r="BG19" s="47"/>
      <c r="BH19" s="47"/>
      <c r="BI19" s="115"/>
      <c r="BJ19" s="47"/>
      <c r="BK19" s="47"/>
      <c r="BL19" s="47"/>
      <c r="BM19" s="47"/>
      <c r="BN19" s="47"/>
    </row>
    <row r="20" spans="1:146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M20" s="46"/>
      <c r="N20" s="46"/>
      <c r="O20" s="46"/>
      <c r="P20" s="46"/>
      <c r="Q20" s="46"/>
      <c r="R20" s="46"/>
      <c r="S20" s="46"/>
      <c r="T20" s="47"/>
      <c r="U20" s="47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7"/>
      <c r="AZ20" s="47"/>
      <c r="BA20" s="47"/>
      <c r="BB20" s="47"/>
      <c r="BC20" s="47"/>
      <c r="BD20" s="46"/>
      <c r="BE20" s="47"/>
      <c r="BF20" s="47"/>
      <c r="BG20" s="47"/>
      <c r="BH20" s="47"/>
      <c r="BI20" s="115"/>
      <c r="BJ20" s="47"/>
      <c r="BK20" s="47"/>
      <c r="BL20" s="47"/>
      <c r="BM20" s="47"/>
      <c r="BN20" s="47"/>
    </row>
    <row r="21" spans="1:146">
      <c r="A21" s="4"/>
      <c r="B21" s="4"/>
      <c r="C21" s="4"/>
      <c r="D21" s="272" t="s">
        <v>20</v>
      </c>
      <c r="E21" s="272"/>
      <c r="F21" s="272"/>
      <c r="G21" s="4"/>
      <c r="H21" s="4"/>
      <c r="I21" s="4"/>
      <c r="J21" s="4"/>
      <c r="K21" s="4"/>
      <c r="L21" s="4"/>
      <c r="M21" s="46"/>
      <c r="N21" s="46"/>
      <c r="O21" s="46"/>
      <c r="P21" s="46"/>
      <c r="Q21" s="46"/>
      <c r="R21" s="46"/>
      <c r="S21" s="46"/>
      <c r="T21" s="47"/>
      <c r="U21" s="47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7"/>
      <c r="AZ21" s="47"/>
      <c r="BA21" s="47"/>
      <c r="BB21" s="47"/>
      <c r="BC21" s="47"/>
      <c r="BD21" s="46"/>
      <c r="BE21" s="47"/>
      <c r="BF21" s="47"/>
      <c r="BG21" s="47"/>
      <c r="BH21" s="47"/>
      <c r="BI21" s="115"/>
      <c r="BJ21" s="47"/>
      <c r="BK21" s="47"/>
      <c r="BL21" s="47"/>
      <c r="BM21" s="47"/>
      <c r="BN21" s="47"/>
    </row>
    <row r="22" spans="1:146" ht="15" customHeight="1">
      <c r="A22" s="4"/>
      <c r="B22" s="25"/>
      <c r="C22" s="25"/>
      <c r="D22" s="404">
        <f ca="1">IF(A14=73,(SUM(D26:E49)+SUM(D54:E102)),(SUM(D26:E102)/2))</f>
        <v>12000000</v>
      </c>
      <c r="E22" s="272"/>
      <c r="F22" s="22">
        <f ca="1">IF(A14=73,(SUM(F26:F49)/2+SUM(F54:F102)/2),(SUM(F26:F102)/4))</f>
        <v>11328530</v>
      </c>
      <c r="G22" s="22">
        <f ca="1">IF(A14=73,(SUM(G26:G49)/2+SUM(G54:G102)/2),(SUM(G26:G102)/4))</f>
        <v>0</v>
      </c>
      <c r="H22" s="22">
        <f ca="1">IF(A14=72,(SUM(H26:H49)+SUM(H54:H102)),(SUM(H26:H49)+SUM(H54:H102)))</f>
        <v>69314120</v>
      </c>
      <c r="I22" s="22"/>
      <c r="J22" s="22"/>
      <c r="K22" s="22"/>
      <c r="L22" s="22"/>
      <c r="M22" s="46"/>
      <c r="N22" s="46"/>
      <c r="O22" s="46"/>
      <c r="P22" s="46"/>
      <c r="Q22" s="46"/>
      <c r="R22" s="46"/>
      <c r="S22" s="46"/>
      <c r="T22" s="47"/>
      <c r="U22" s="47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7"/>
      <c r="AZ22" s="47"/>
      <c r="BA22" s="47"/>
      <c r="BB22" s="47"/>
      <c r="BC22" s="47"/>
      <c r="BD22" s="46"/>
      <c r="BE22" s="47"/>
      <c r="BF22" s="47"/>
      <c r="BG22" s="47"/>
      <c r="BH22" s="47"/>
      <c r="BI22" s="115"/>
      <c r="BJ22" s="47"/>
      <c r="BK22" s="47"/>
      <c r="BL22" s="47"/>
      <c r="BM22" s="47"/>
      <c r="BN22" s="47"/>
    </row>
    <row r="23" spans="1:146" ht="15" customHeight="1">
      <c r="A23" s="4"/>
      <c r="B23" s="409" t="s">
        <v>84</v>
      </c>
      <c r="C23" s="486"/>
      <c r="D23" s="486"/>
      <c r="E23" s="486"/>
      <c r="F23" s="486"/>
      <c r="G23" s="486"/>
      <c r="H23" s="486"/>
      <c r="I23" s="485"/>
      <c r="J23" s="485"/>
      <c r="K23" s="485"/>
      <c r="L23" s="485"/>
      <c r="M23" s="46"/>
      <c r="N23" s="46"/>
      <c r="O23" s="46"/>
      <c r="P23" s="46"/>
      <c r="Q23" s="46"/>
      <c r="R23" s="46"/>
      <c r="S23" s="46"/>
      <c r="T23" s="47"/>
      <c r="U23" s="47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7"/>
      <c r="AZ23" s="47"/>
      <c r="BA23" s="47"/>
      <c r="BB23" s="47"/>
      <c r="BC23" s="47"/>
      <c r="BD23" s="46"/>
      <c r="BE23" s="47"/>
      <c r="BF23" s="47"/>
      <c r="BG23" s="47"/>
      <c r="BH23" s="47"/>
      <c r="BI23" s="115"/>
      <c r="BJ23" s="47"/>
      <c r="BK23" s="47"/>
      <c r="BL23" s="47"/>
      <c r="BM23" s="47"/>
      <c r="BN23" s="47"/>
    </row>
    <row r="24" spans="1:146" ht="16.5" customHeight="1">
      <c r="A24" s="4"/>
      <c r="B24" s="487" t="s">
        <v>21</v>
      </c>
      <c r="C24" s="488"/>
      <c r="D24" s="479" t="s">
        <v>140</v>
      </c>
      <c r="E24" s="480"/>
      <c r="F24" s="480"/>
      <c r="G24" s="480"/>
      <c r="H24" s="481"/>
      <c r="I24" s="271" t="s">
        <v>141</v>
      </c>
      <c r="J24" s="271"/>
      <c r="K24" s="271"/>
      <c r="L24" s="271"/>
      <c r="M24" s="46"/>
      <c r="N24" s="46"/>
      <c r="O24" s="46"/>
      <c r="P24" s="46"/>
      <c r="Q24" s="46"/>
      <c r="R24" s="46"/>
      <c r="S24" s="46"/>
      <c r="T24" s="47"/>
      <c r="U24" s="47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7"/>
      <c r="AZ24" s="47"/>
      <c r="BA24" s="47"/>
      <c r="BB24" s="47"/>
      <c r="BC24" s="47"/>
      <c r="BD24" s="46"/>
      <c r="BE24" s="47"/>
      <c r="BF24" s="47"/>
      <c r="BG24" s="47"/>
      <c r="BH24" s="47"/>
      <c r="BI24" s="115"/>
      <c r="BJ24" s="47"/>
      <c r="BK24" s="47"/>
      <c r="BL24" s="47"/>
      <c r="BM24" s="47"/>
      <c r="BN24" s="47"/>
    </row>
    <row r="25" spans="1:146" ht="39.75" customHeight="1">
      <c r="A25" s="4">
        <f ca="1">IF(A14&lt;D14,1,IF(ABS(A14-D14)&gt;1,1,0))</f>
        <v>0</v>
      </c>
      <c r="B25" s="349"/>
      <c r="C25" s="350"/>
      <c r="D25" s="273" t="s">
        <v>22</v>
      </c>
      <c r="E25" s="274"/>
      <c r="F25" s="88" t="s">
        <v>23</v>
      </c>
      <c r="G25" s="88" t="s">
        <v>24</v>
      </c>
      <c r="H25" s="89" t="s">
        <v>25</v>
      </c>
      <c r="I25" s="76" t="s">
        <v>22</v>
      </c>
      <c r="J25" s="76" t="s">
        <v>23</v>
      </c>
      <c r="K25" s="76" t="s">
        <v>24</v>
      </c>
      <c r="L25" s="76" t="s">
        <v>25</v>
      </c>
      <c r="M25" s="46"/>
      <c r="N25" s="48" t="s">
        <v>26</v>
      </c>
      <c r="O25" s="48" t="s">
        <v>27</v>
      </c>
      <c r="P25" s="48" t="s">
        <v>28</v>
      </c>
      <c r="Q25" s="48" t="s">
        <v>29</v>
      </c>
      <c r="R25" s="48" t="s">
        <v>30</v>
      </c>
      <c r="S25" s="48">
        <v>2</v>
      </c>
      <c r="T25" s="52"/>
      <c r="U25" s="52"/>
      <c r="V25" s="76" t="s">
        <v>31</v>
      </c>
      <c r="W25" s="76" t="s">
        <v>32</v>
      </c>
      <c r="X25" s="76"/>
      <c r="Y25" s="76"/>
      <c r="Z25" s="76" t="s">
        <v>142</v>
      </c>
      <c r="AA25" s="76"/>
      <c r="AB25" s="76"/>
      <c r="AC25" s="76"/>
      <c r="AD25" s="76" t="s">
        <v>142</v>
      </c>
      <c r="AE25" s="76" t="s">
        <v>33</v>
      </c>
      <c r="AF25" s="76" t="s">
        <v>28</v>
      </c>
      <c r="AG25" s="76" t="s">
        <v>29</v>
      </c>
      <c r="AH25" s="76" t="s">
        <v>143</v>
      </c>
      <c r="AI25" s="76"/>
      <c r="AJ25" s="76"/>
      <c r="AK25" s="76"/>
      <c r="AL25" s="76"/>
      <c r="AM25" s="76" t="s">
        <v>143</v>
      </c>
      <c r="AN25" s="76" t="s">
        <v>30</v>
      </c>
      <c r="AO25" s="76" t="s">
        <v>31</v>
      </c>
      <c r="AP25" s="76" t="s">
        <v>32</v>
      </c>
      <c r="AQ25" s="46"/>
      <c r="AR25" s="46"/>
      <c r="AS25" s="46"/>
      <c r="AT25" s="46"/>
      <c r="AU25" s="46"/>
      <c r="AV25" s="46"/>
      <c r="AW25" s="46"/>
      <c r="AX25" s="46"/>
      <c r="AY25" s="47"/>
      <c r="AZ25" s="46">
        <f ca="1">IF(N25=0,0,IF(F10="USD",ROUND(D10/M14,2),IF(F10="бел. рублей",ROUND(D10/M14,0)," ")))</f>
        <v>166667</v>
      </c>
      <c r="BA25" s="90" t="str">
        <f ca="1">RIGHT(AZ25)</f>
        <v>7</v>
      </c>
      <c r="BB25" s="46">
        <f ca="1">VALUE(BA25)</f>
        <v>7</v>
      </c>
      <c r="BC25" s="46">
        <f ca="1">10-BB25</f>
        <v>3</v>
      </c>
      <c r="BD25" s="46">
        <f>IF(D$15=0,0,IF(N25=1,1,0))</f>
        <v>0</v>
      </c>
      <c r="BE25" s="47"/>
      <c r="BF25" s="91"/>
      <c r="BG25" s="47"/>
      <c r="BH25" s="47"/>
      <c r="BI25" s="73"/>
      <c r="BJ25" s="47"/>
      <c r="BK25" s="47"/>
      <c r="BL25" s="47"/>
      <c r="BM25" s="47"/>
      <c r="BN25" s="47"/>
    </row>
    <row r="26" spans="1:146" s="24" customFormat="1" ht="15" customHeight="1">
      <c r="A26" s="4">
        <v>1</v>
      </c>
      <c r="B26" s="268">
        <f ca="1">IF(N26=0,IF(N25=1,"ИТОГО"," "),DATE(YEAR(D16),MONTH(D16)+1,O26))</f>
        <v>45342</v>
      </c>
      <c r="C26" s="401"/>
      <c r="D26" s="443">
        <f ca="1">IF(N26=0,0,IF(F10="USD",ROUND(D11/100*2,2),IF(F10="бел. рублей",IF(D10/100*2&lt;&gt;0,IF(VALUE(RIGHT(ROUND(D10/100*2,0)))&lt;=5,ROUND(D10/100*2,0)-VALUE(RIGHT(ROUND(D10/100*2,0))),ROUND(D10/100*2,0)+10-VALUE(RIGHT(ROUND(D10/100*2,0)))),0)," ")))</f>
        <v>240000</v>
      </c>
      <c r="E26" s="443"/>
      <c r="F26" s="84">
        <f ca="1">IF(M1=1,P26,IF(M1=2,Q26," "))</f>
        <v>585000</v>
      </c>
      <c r="G26" s="84">
        <f ca="1">IF(M1=1,AF26,IF(M1=2,AG26," "))</f>
        <v>0</v>
      </c>
      <c r="H26" s="84">
        <f ca="1">SUM(D26:G26)+A104</f>
        <v>825000</v>
      </c>
      <c r="I26" s="84">
        <f>U26</f>
        <v>240000</v>
      </c>
      <c r="J26" s="84">
        <f ca="1">AC26</f>
        <v>585000</v>
      </c>
      <c r="K26" s="84">
        <f ca="1">AL26</f>
        <v>0</v>
      </c>
      <c r="L26" s="84">
        <f ca="1">SUM(I26:K26)</f>
        <v>825000</v>
      </c>
      <c r="M26" s="46">
        <v>1</v>
      </c>
      <c r="N26" s="46">
        <f ca="1">IF(M1=1,IF(M14&gt;0,1,0),IF(M1=2,IF(M14&gt;0,1,0),0))</f>
        <v>1</v>
      </c>
      <c r="O26" s="46">
        <f t="shared" ref="O26:O31" ca="1" si="0">IF(M26=A$14,IF(DATE(YEAR(0),MONTH(0),DAY(D$16)-1)&lt;AW26,DATE(YEAR(0),MONTH(0),DAY(D$16)-1),AW26),AW26)</f>
        <v>20</v>
      </c>
      <c r="P26" s="74">
        <f ca="1">IF(V26&lt;&gt;0,IF(VALUE(RIGHT(ROUND(V26,0)))&lt;=5,ROUND(V26,0)-VALUE(RIGHT(ROUND(V26,0))),ROUND(V26,0)+10-VALUE(RIGHT(ROUND(V26,0)))),0)</f>
        <v>585000</v>
      </c>
      <c r="Q26" s="74">
        <f ca="1">IF(W26&lt;&gt;0,IF(VALUE(RIGHT(ROUND(W26,0)))&lt;=5,ROUND(W26,0)-VALUE(RIGHT(ROUND(W26,0))),ROUND(W26,0)+10-VALUE(RIGHT(ROUND(W26,0)))),0)</f>
        <v>585000</v>
      </c>
      <c r="R26" s="74">
        <f>D10</f>
        <v>12000000</v>
      </c>
      <c r="S26" s="74">
        <f>R26</f>
        <v>12000000</v>
      </c>
      <c r="T26" s="92">
        <f>S26/100*2</f>
        <v>240000</v>
      </c>
      <c r="U26" s="47">
        <f>IF(VALUE(RIGHT(ROUND(T26,0)))&lt;=5,ROUND(T26,0)-VALUE(RIGHT(ROUND(T26,0))),ROUND(T26,0)+10-VALUE(RIGHT(ROUND(T26,0))))</f>
        <v>240000</v>
      </c>
      <c r="V26" s="74">
        <f ca="1">R26*Q11*D11/36000</f>
        <v>585000</v>
      </c>
      <c r="W26" s="74">
        <f ca="1">R26*Q11*D11/36000</f>
        <v>585000</v>
      </c>
      <c r="X26" s="74"/>
      <c r="Y26" s="74"/>
      <c r="Z26" s="74">
        <f ca="1">IF(D10*Q11*D11/36000&lt;&gt;0,IF(VALUE(RIGHT(ROUND(D10*Q11*D11/36000,0)))&lt;=5,ROUND(D10*Q11*D11/36000,0)-VALUE(RIGHT(ROUND(D10*Q11*D11/36000,0))),ROUND(D10*Q11*D11/36000,0)+10-VALUE(RIGHT(ROUND(D10*Q11*D11/36000,0)))),0)</f>
        <v>585000</v>
      </c>
      <c r="AA26" s="74">
        <f t="shared" ref="AA26:AA49" si="1">IF(M26&lt;=(D$15+1),D$10,AA25-I25)</f>
        <v>12000000</v>
      </c>
      <c r="AB26" s="74">
        <f ca="1">IF(D10*Q11*D11/36000&lt;&gt;0,IF(VALUE(RIGHT(ROUND(D10*Q11*D11/36000,0)))&lt;=5,ROUND(D10*Q11*D11/36000,0)-VALUE(RIGHT(ROUND(D10*Q11*D11/36000,0))),ROUND(D10*Q11*D11/36000,0)+10-VALUE(RIGHT(ROUND(D10*Q11*D11/36000,0)))),0)</f>
        <v>585000</v>
      </c>
      <c r="AC26" s="74">
        <f ca="1">IF(AB26&lt;&gt;0,IF(VALUE(RIGHT(ROUND(AB26,0)))&lt;=5,ROUND(AB26,0)-VALUE(RIGHT(ROUND(AB26,0))),ROUND(AB26,0)+10-VALUE(RIGHT(ROUND(AB26,0)))),0)</f>
        <v>585000</v>
      </c>
      <c r="AD26" s="74">
        <f ca="1">IF(D10*Q11*D11/36000&lt;&gt;0,IF(VALUE(RIGHT(ROUND(D10*Q11*D11/36000,0)))&lt;=5,ROUND(D10*Q11*D11/36000,0)-VALUE(RIGHT(ROUND(D10*Q11*D11/36000,0))),ROUND(D10*Q11*D11/36000,0)+10-VALUE(RIGHT(ROUND(D10*Q11*D11/36000,0)))),0)</f>
        <v>585000</v>
      </c>
      <c r="AE26" s="74">
        <f ca="1">R26*Q11</f>
        <v>324000000</v>
      </c>
      <c r="AF26" s="74">
        <f ca="1">IF(AO26&lt;&gt;0,IF(VALUE(RIGHT(ROUND(AO26,0)))&lt;=5,ROUND(AO26,0)-VALUE(RIGHT(ROUND(AO26,0))),ROUND(AO26,0)+10-VALUE(RIGHT(ROUND(AO26,0)))),0)</f>
        <v>0</v>
      </c>
      <c r="AG26" s="74">
        <f ca="1">IF(AP26&lt;&gt;0,IF(VALUE(RIGHT(ROUND(AP26,0)))&lt;=5,ROUND(AP26,0)-VALUE(RIGHT(ROUND(AP26,0))),ROUND(AP26,0)+10-VALUE(RIGHT(ROUND(AP26,0)))),0)</f>
        <v>0</v>
      </c>
      <c r="AH26" s="74">
        <f ca="1">AN26*Q11*G12/36000</f>
        <v>0</v>
      </c>
      <c r="AI26" s="74">
        <f ca="1">AA26*Q11*G12/36000</f>
        <v>0</v>
      </c>
      <c r="AJ26" s="74"/>
      <c r="AK26" s="74"/>
      <c r="AL26" s="74">
        <f ca="1">IF(AI26&lt;&gt;0,IF(VALUE(RIGHT(ROUND(AI26,0)))&lt;=5,ROUND(AI26,0)-VALUE(RIGHT(ROUND(AI26,0))),ROUND(AI26,0)+10-VALUE(RIGHT(ROUND(AI26,0)))),0)</f>
        <v>0</v>
      </c>
      <c r="AM26" s="74">
        <f ca="1">IF(AH26&lt;&gt;0,IF(VALUE(RIGHT(ROUND(AH26,0)))&lt;=5,ROUND(AH26,0)-VALUE(RIGHT(ROUND(AH26,0))),ROUND(AH26,0)+10-VALUE(RIGHT(ROUND(AH26,0)))),0)</f>
        <v>0</v>
      </c>
      <c r="AN26" s="74">
        <f t="shared" ref="AN26:AN49" si="2">R26</f>
        <v>12000000</v>
      </c>
      <c r="AO26" s="74">
        <f ca="1">AN26*Q11*G12/36000</f>
        <v>0</v>
      </c>
      <c r="AP26" s="74">
        <f ca="1">AN26*Q11*G12/36000</f>
        <v>0</v>
      </c>
      <c r="AQ26" s="90">
        <f ca="1">IF(N26=0,0,MONTH(D16)+1)</f>
        <v>2</v>
      </c>
      <c r="AR26" s="90">
        <f t="shared" ref="AR26:AR49" ca="1" si="3">IF(AQ26=13,1,AQ26)</f>
        <v>2</v>
      </c>
      <c r="AS26" s="46">
        <f ca="1">IF(N26=0,0,YEAR(D16))</f>
        <v>2024</v>
      </c>
      <c r="AT26" s="46">
        <f t="shared" ref="AT26:AT49" ca="1" si="4">IF(AR26=1,AS26+1,AS26)</f>
        <v>2024</v>
      </c>
      <c r="AU26" s="46">
        <f t="shared" ref="AU26:AU49" ca="1" si="5">IF((AS26/2012)=1,1,IF((AS26/2016)=1,1,IF((AS26/2020)=1,1,IF((AS26/2024)=1,1,IF((AS26/2028)=1,1,IF((AS26/2032)=1,1,0))))))</f>
        <v>1</v>
      </c>
      <c r="AV26" s="46">
        <f t="shared" ref="AV26:AV49" ca="1" si="6">IF(AR26=2,IF(AU26=1,29,28),30)</f>
        <v>29</v>
      </c>
      <c r="AW26" s="46">
        <f t="shared" ref="AW26:AW49" si="7">IF(C$25=30,AV26,20)</f>
        <v>20</v>
      </c>
      <c r="AX26" s="46"/>
      <c r="AY26" s="47"/>
      <c r="AZ26" s="46">
        <f ca="1">ROUNDUP(D$10/(A$14-D$15),0)</f>
        <v>173914</v>
      </c>
      <c r="BA26" s="74">
        <f ca="1">IF(AZ26&lt;&gt;0,IF(VALUE(RIGHT(ROUND(AZ26,0)))&lt;=5,ROUND(AZ26,0)-VALUE(RIGHT(ROUND(AZ26,0))),ROUND(AZ26,0)+10-VALUE(RIGHT(ROUND(AZ26,0)))),0)</f>
        <v>173910</v>
      </c>
      <c r="BB26" s="46"/>
      <c r="BC26" s="46"/>
      <c r="BD26" s="46">
        <f t="shared" ref="BD26:BD89" ca="1" si="8">IF(D$15=0,0,IF(N26=1,1,0))</f>
        <v>1</v>
      </c>
      <c r="BE26" s="47"/>
      <c r="BF26" s="91">
        <f>M26-D$15</f>
        <v>-2</v>
      </c>
      <c r="BG26" s="47"/>
      <c r="BH26" s="47"/>
      <c r="BI26" s="73"/>
      <c r="BJ26" s="47"/>
      <c r="BK26" s="47"/>
      <c r="BL26" s="47"/>
      <c r="BM26" s="47"/>
      <c r="BN26" s="47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</row>
    <row r="27" spans="1:146" s="24" customFormat="1" ht="15" customHeight="1">
      <c r="A27" s="4">
        <f t="shared" ref="A27:A49" si="9">A26+1</f>
        <v>2</v>
      </c>
      <c r="B27" s="268">
        <f ca="1">IF(N27=0,IF(N26=1,"ИТОГО"," "),DATE(YEAR(B26),MONTH(B26)+1,O27))</f>
        <v>45371</v>
      </c>
      <c r="C27" s="401"/>
      <c r="D27" s="443">
        <f ca="1">IF(N27=0,IF(N26=1,D26," "),IF(N27=0,0,IF(N28=1,IF(R27/100*2&lt;&gt;0,AY27,0),IF(N28=0,IF((R27+R27/100*2)&lt;&gt;0,AZ27,0)," "))))</f>
        <v>235200</v>
      </c>
      <c r="E27" s="443"/>
      <c r="F27" s="84">
        <f ca="1">IF(N27=0,IF(N26=1,F26," "),IF(M1=1,P27,IF(M1=2,Q27," ")))</f>
        <v>645670</v>
      </c>
      <c r="G27" s="84">
        <f ca="1">IF(N27=0,IF(N26=1,G26," "),IF(M1=1,AF27,IF(M1=2,AG27," ")))</f>
        <v>0</v>
      </c>
      <c r="H27" s="84">
        <f t="shared" ref="H27:H49" ca="1" si="10">IF(SUM(D27:G27)=0," ",SUM(D27:G27))</f>
        <v>880870</v>
      </c>
      <c r="I27" s="84">
        <f t="shared" ref="I27:I49" si="11">U27</f>
        <v>240000</v>
      </c>
      <c r="J27" s="84">
        <f t="shared" ref="J27:J49" ca="1" si="12">AC27</f>
        <v>650000</v>
      </c>
      <c r="K27" s="84">
        <f t="shared" ref="K27:K49" ca="1" si="13">AL27</f>
        <v>0</v>
      </c>
      <c r="L27" s="84">
        <f ca="1">IF(SUM(D27:G27)=0," ",SUM(I27:K27))</f>
        <v>890000</v>
      </c>
      <c r="M27" s="46">
        <f t="shared" ref="M27:M49" si="14">M26+1</f>
        <v>2</v>
      </c>
      <c r="N27" s="46">
        <f ca="1">IF(M1=1,IF(M14&gt;1,1,0),IF(M1=2,IF(M14&gt;1,1,0),0))</f>
        <v>1</v>
      </c>
      <c r="O27" s="46">
        <f t="shared" ca="1" si="0"/>
        <v>20</v>
      </c>
      <c r="P27" s="74">
        <f t="shared" ref="P27:P49" ca="1" si="15">IF(V27&lt;&gt;0,IF(VALUE(RIGHT(ROUND(V27,0)))&lt;=5,ROUND(V27,0)-VALUE(RIGHT(ROUND(V27,0))),ROUND(V27,0)+10-VALUE(RIGHT(ROUND(V27,0)))),0)</f>
        <v>645670</v>
      </c>
      <c r="Q27" s="74">
        <f t="shared" ref="Q27:Q49" ca="1" si="16">IF(W27&lt;&gt;0,IF(VALUE(RIGHT(ROUND(W27,0)))&lt;=5,ROUND(W27,0)-VALUE(RIGHT(ROUND(W27,0))),ROUND(W27,0)+10-VALUE(RIGHT(ROUND(W27,0)))),0)</f>
        <v>645670</v>
      </c>
      <c r="R27" s="74">
        <f t="shared" ref="R27:R49" ca="1" si="17">IF(N27=0,0,R26-D26)</f>
        <v>11760000</v>
      </c>
      <c r="S27" s="74">
        <f t="shared" ref="S27:S49" si="18">IF(M27&lt;=D$15,D$10,S26-I26)</f>
        <v>12000000</v>
      </c>
      <c r="T27" s="92">
        <f t="shared" ref="T27:T49" si="19">S27/100*2</f>
        <v>240000</v>
      </c>
      <c r="U27" s="47">
        <f t="shared" ref="U27:U49" si="20">IF(VALUE(RIGHT(ROUND(T27,0)))&lt;=5,ROUND(T27,0)-VALUE(RIGHT(ROUND(T27,0))),ROUND(T27,0)+10-VALUE(RIGHT(ROUND(T27,0))))</f>
        <v>240000</v>
      </c>
      <c r="V27" s="74">
        <f ca="1">IF(N28=1,R26*D11*20/36000+R27*D11*10/36000,IF(N28=0,IF(N27=0,0,R27*D11*Q12/36000+R26*D11*20/36000+R27*D11*10/36000)))</f>
        <v>645666.66666666663</v>
      </c>
      <c r="W27" s="93">
        <f ca="1">IF(N28=1,R26*D11*20/36000+R27*D11*10/36000,IF(N28=0,IF(N27=0,0,R27*D11*Q12/36000+R26*D11*20/36000+R27*D11*10/36000)))</f>
        <v>645666.66666666663</v>
      </c>
      <c r="X27" s="93"/>
      <c r="Y27" s="93"/>
      <c r="Z27" s="22">
        <f t="shared" ref="Z27:Z48" ca="1" si="21">IF(N28=1,$D$10*$D$11*20/36000+$D$10*$D$11*10/36000,IF(N28=0,IF(N27=0,0,$D$10*$D$11*$Q$12/36000+$D$10*$D$11*20/36000+$D$10*$D$11*10/36000)))</f>
        <v>650000</v>
      </c>
      <c r="AA27" s="22">
        <f t="shared" si="1"/>
        <v>12000000</v>
      </c>
      <c r="AB27" s="22">
        <f t="shared" ref="AB27:AB48" ca="1" si="22">IF(N28=1,AA26*D$11*20/36000+AA27*D$11*10/36000,IF(N28=0,IF(N27=0,0,AA27*D$11*Q$12/36000+AA26*D$11*20/36000+AA27*D$11*10/36000)))</f>
        <v>650000</v>
      </c>
      <c r="AC27" s="22">
        <f t="shared" ref="AC27:AC86" ca="1" si="23">IF(AB27&lt;&gt;0,IF(VALUE(RIGHT(ROUND(AB27,0)))&lt;=5,ROUND(AB27,0)-VALUE(RIGHT(ROUND(AB27,0))),ROUND(AB27,0)+10-VALUE(RIGHT(ROUND(AB27,0)))),0)</f>
        <v>650000</v>
      </c>
      <c r="AD27" s="22">
        <f ca="1">IF(Z27&lt;&gt;0,IF(VALUE(RIGHT(ROUND(Z27,0)))&lt;=5,ROUND(Z27,0)-VALUE(RIGHT(ROUND(Z27,0))),ROUND(Z27,0)+10-VALUE(RIGHT(ROUND(Z27,0)))),0)</f>
        <v>650000</v>
      </c>
      <c r="AE27" s="22">
        <f ca="1">IF(R28=0,R27*Q12,(R26*20+R27*10))</f>
        <v>357600000</v>
      </c>
      <c r="AF27" s="22">
        <f t="shared" ref="AF27:AF49" ca="1" si="24">IF(AO27&lt;&gt;0,IF(VALUE(RIGHT(ROUND(AO27,0)))&lt;=5,ROUND(AO27,0)-VALUE(RIGHT(ROUND(AO27,0))),ROUND(AO27,0)+10-VALUE(RIGHT(ROUND(AO27,0)))),0)</f>
        <v>0</v>
      </c>
      <c r="AG27" s="22">
        <f t="shared" ref="AG27:AG49" ca="1" si="25">IF(AP27&lt;&gt;0,IF(VALUE(RIGHT(ROUND(AP27,0)))&lt;=5,ROUND(AP27,0)-VALUE(RIGHT(ROUND(AP27,0))),ROUND(AP27,0)+10-VALUE(RIGHT(ROUND(AP27,0)))),0)</f>
        <v>0</v>
      </c>
      <c r="AH27" s="22">
        <f t="shared" ref="AH27:AH48" ca="1" si="26">IF(N28=1,D$10*G$12*20/36000+D$10*G$12*10/36000,IF(N28=0,IF(N27=0,0,D$10*G$12*Q$12/36000+D$10*G$12*20/36000+D$10*G$12*10/36000)))</f>
        <v>0</v>
      </c>
      <c r="AI27" s="22">
        <f t="shared" ref="AI27:AI48" ca="1" si="27">IF(N28=1,AA26*G$12*20/36000+AA27*G$12*10/36000,IF(N28=0,IF(N27=0,0,AA27*G$12*Q$12/36000+AA26*G$12*20/36000+AA27*G$12*10/36000)))</f>
        <v>0</v>
      </c>
      <c r="AJ27" s="22"/>
      <c r="AK27" s="22"/>
      <c r="AL27" s="22">
        <f t="shared" ref="AL27:AL86" ca="1" si="28">IF(AI27&lt;&gt;0,IF(VALUE(RIGHT(ROUND(AI27,0)))&lt;=5,ROUND(AI27,0)-VALUE(RIGHT(ROUND(AI27,0))),ROUND(AI27,0)+10-VALUE(RIGHT(ROUND(AI27,0)))),0)</f>
        <v>0</v>
      </c>
      <c r="AM27" s="22">
        <f t="shared" ref="AM27:AM90" ca="1" si="29">IF(AH27&lt;&gt;0,IF(VALUE(RIGHT(ROUND(AH27,0)))&lt;=5,ROUND(AH27,0)-VALUE(RIGHT(ROUND(AH27,0))),ROUND(AH27,0)+10-VALUE(RIGHT(ROUND(AH27,0)))),0)</f>
        <v>0</v>
      </c>
      <c r="AN27" s="22">
        <f t="shared" ca="1" si="2"/>
        <v>11760000</v>
      </c>
      <c r="AO27" s="22">
        <f ca="1">IF(N28=1,AN26*G12*20/36000+AN27*G12*10/36000,IF(N28=0,IF(N27=0,0,AN27*G12*Q12/36000+AN26*G12*20/36000+AN27*G12*10/36000)))</f>
        <v>0</v>
      </c>
      <c r="AP27" s="22">
        <f ca="1">IF(N28=1,AN26*G12*20/36000+AN27*G12*10/36000,IF(N28=0,IF(N27=0,0,AN27*G12*Q12/36000+AN26*G12*20/36000+AN27*G12*10/36000)))</f>
        <v>0</v>
      </c>
      <c r="AQ27" s="69">
        <f t="shared" ref="AQ27:AQ49" ca="1" si="30">IF(N27=0,0,MONTH(B26)+1)</f>
        <v>3</v>
      </c>
      <c r="AR27" s="69">
        <f t="shared" ca="1" si="3"/>
        <v>3</v>
      </c>
      <c r="AS27" s="4">
        <f t="shared" ref="AS27:AS49" ca="1" si="31">IF(N27=0,0,YEAR(B26))</f>
        <v>2024</v>
      </c>
      <c r="AT27" s="4">
        <f t="shared" ca="1" si="4"/>
        <v>2024</v>
      </c>
      <c r="AU27" s="4">
        <f t="shared" ca="1" si="5"/>
        <v>1</v>
      </c>
      <c r="AV27" s="4">
        <f t="shared" ca="1" si="6"/>
        <v>30</v>
      </c>
      <c r="AW27" s="4">
        <f t="shared" si="7"/>
        <v>20</v>
      </c>
      <c r="AX27" s="4">
        <f t="shared" ref="AX27:AX49" ca="1" si="32">AV26</f>
        <v>29</v>
      </c>
      <c r="AY27" s="19">
        <f ca="1">IF(VALUE(RIGHT(ROUND(R27/100*2,0)))&lt;=5,ROUND(R27/100*2,0)-VALUE(RIGHT(ROUND(R27/100*2,0))),ROUND(R27/100*2,0)+10-VALUE(RIGHT(ROUND(R27/100*2,0))))</f>
        <v>235200</v>
      </c>
      <c r="AZ27" s="4"/>
      <c r="BA27" s="22"/>
      <c r="BB27" s="4"/>
      <c r="BC27" s="4"/>
      <c r="BD27" s="4">
        <f t="shared" ca="1" si="8"/>
        <v>1</v>
      </c>
      <c r="BE27" s="19"/>
      <c r="BF27" s="94">
        <f t="shared" ref="BF27:BF52" si="33">M27-D$15</f>
        <v>-1</v>
      </c>
      <c r="BG27" s="19"/>
      <c r="BH27" s="19"/>
      <c r="BI27" s="120"/>
      <c r="BJ27" s="19"/>
      <c r="BK27" s="19"/>
      <c r="BL27" s="19"/>
      <c r="BM27" s="19"/>
      <c r="BN27" s="19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</row>
    <row r="28" spans="1:146" s="24" customFormat="1" ht="15" customHeight="1">
      <c r="A28" s="4">
        <f t="shared" si="9"/>
        <v>3</v>
      </c>
      <c r="B28" s="268">
        <f ca="1">IF(N28=0,IF(N27=1,"ИТОГО"," "),DATE(YEAR(B27),MONTH(B27)+1,O28))</f>
        <v>45402</v>
      </c>
      <c r="C28" s="401"/>
      <c r="D28" s="443">
        <f ca="1">IF(N28=0,IF(N27=1,SUM(D$26:D27)," "),IF(N28=0,0,IF(N29=1,IF(R28/100*2&lt;&gt;0,AY28,0),IF(N29=0,IF((R28+R28/100*2)&lt;&gt;0,AZ28,0)," "))))</f>
        <v>230500</v>
      </c>
      <c r="E28" s="443"/>
      <c r="F28" s="84">
        <f ca="1">IF(N28=0,IF(N27=1,F26+F27," "),IF(M1=1,P28,IF(M1=2,Q28," ")))</f>
        <v>632750</v>
      </c>
      <c r="G28" s="84">
        <f ca="1">IF(N28=0,IF(N27=1,G26+G27," "),IF(M1=1,AF28,IF(M1=2,AG28," ")))</f>
        <v>0</v>
      </c>
      <c r="H28" s="84">
        <f t="shared" ca="1" si="10"/>
        <v>863250</v>
      </c>
      <c r="I28" s="84">
        <f t="shared" si="11"/>
        <v>240000</v>
      </c>
      <c r="J28" s="84">
        <f t="shared" ca="1" si="12"/>
        <v>650000</v>
      </c>
      <c r="K28" s="84">
        <f t="shared" ca="1" si="13"/>
        <v>0</v>
      </c>
      <c r="L28" s="84">
        <f t="shared" ref="L28:L49" ca="1" si="34">IF(SUM(D28:G28)=0," ",SUM(I28:K28))</f>
        <v>890000</v>
      </c>
      <c r="M28" s="4">
        <f t="shared" si="14"/>
        <v>3</v>
      </c>
      <c r="N28" s="4">
        <f ca="1">IF(M1=1,IF(M14&gt;2,1,0),IF(M1=2,IF(M14&gt;2,1,0),0))</f>
        <v>1</v>
      </c>
      <c r="O28" s="4">
        <f t="shared" ca="1" si="0"/>
        <v>20</v>
      </c>
      <c r="P28" s="22">
        <f t="shared" ca="1" si="15"/>
        <v>632750</v>
      </c>
      <c r="Q28" s="22">
        <f t="shared" ca="1" si="16"/>
        <v>632750</v>
      </c>
      <c r="R28" s="22">
        <f t="shared" ca="1" si="17"/>
        <v>11524800</v>
      </c>
      <c r="S28" s="22">
        <f t="shared" si="18"/>
        <v>12000000</v>
      </c>
      <c r="T28" s="95">
        <f t="shared" si="19"/>
        <v>240000</v>
      </c>
      <c r="U28" s="19">
        <f t="shared" si="20"/>
        <v>240000</v>
      </c>
      <c r="V28" s="22">
        <f ca="1">IF(N29=1,R27*D11*20/36000+R28*D11*10/36000,IF(N29=0,IF(N28=0,0,R28*D11*Q12/36000+R27*D11*20/36000+R28*D11*10/36000)))</f>
        <v>632753.33333333337</v>
      </c>
      <c r="W28" s="22">
        <f ca="1">IF(N29=1,R27*D11*20/36000+R28*D11*10/36000,IF(N29=0,IF(N28=0,0,R28*D11*Q12/36000+R27*D11*20/36000+R28*D11*10/36000)))</f>
        <v>632753.33333333337</v>
      </c>
      <c r="X28" s="22"/>
      <c r="Y28" s="22"/>
      <c r="Z28" s="22">
        <f t="shared" ca="1" si="21"/>
        <v>650000</v>
      </c>
      <c r="AA28" s="22">
        <f t="shared" si="1"/>
        <v>12000000</v>
      </c>
      <c r="AB28" s="22">
        <f t="shared" ca="1" si="22"/>
        <v>650000</v>
      </c>
      <c r="AC28" s="22">
        <f t="shared" ca="1" si="23"/>
        <v>650000</v>
      </c>
      <c r="AD28" s="22">
        <f t="shared" ref="AD28:AD91" ca="1" si="35">IF(Z28&lt;&gt;0,IF(VALUE(RIGHT(ROUND(Z28,0)))&lt;=5,ROUND(Z28,0)-VALUE(RIGHT(ROUND(Z28,0))),ROUND(Z28,0)+10-VALUE(RIGHT(ROUND(Z28,0)))),0)</f>
        <v>650000</v>
      </c>
      <c r="AE28" s="22">
        <f ca="1">IF(R29=0,R28*Q12,(R27*20+R28*10))</f>
        <v>350448000</v>
      </c>
      <c r="AF28" s="22">
        <f t="shared" ca="1" si="24"/>
        <v>0</v>
      </c>
      <c r="AG28" s="22">
        <f t="shared" ca="1" si="25"/>
        <v>0</v>
      </c>
      <c r="AH28" s="22">
        <f t="shared" ca="1" si="26"/>
        <v>0</v>
      </c>
      <c r="AI28" s="22">
        <f t="shared" ca="1" si="27"/>
        <v>0</v>
      </c>
      <c r="AJ28" s="22"/>
      <c r="AK28" s="22"/>
      <c r="AL28" s="22">
        <f t="shared" ca="1" si="28"/>
        <v>0</v>
      </c>
      <c r="AM28" s="22">
        <f t="shared" ca="1" si="29"/>
        <v>0</v>
      </c>
      <c r="AN28" s="22">
        <f t="shared" ca="1" si="2"/>
        <v>11524800</v>
      </c>
      <c r="AO28" s="22">
        <f ca="1">IF(N29=1,AN27*G12*20/36000+AN28*G12*10/36000,IF(N29=0,IF(N28=0,0,AN28*G12*Q12/36000+AN27*G12*20/36000+AN28*G12*10/36000)))</f>
        <v>0</v>
      </c>
      <c r="AP28" s="22">
        <f ca="1">IF(N29=1,AN27*G12*20/36000+AN28*G12*10/36000,IF(N29=0,IF(N28=0,0,AN28*G12*Q12/36000+AN27*G12*20/36000+AN28*G12*10/36000)))</f>
        <v>0</v>
      </c>
      <c r="AQ28" s="69">
        <f t="shared" ca="1" si="30"/>
        <v>4</v>
      </c>
      <c r="AR28" s="69">
        <f t="shared" ca="1" si="3"/>
        <v>4</v>
      </c>
      <c r="AS28" s="4">
        <f t="shared" ca="1" si="31"/>
        <v>2024</v>
      </c>
      <c r="AT28" s="4">
        <f t="shared" ca="1" si="4"/>
        <v>2024</v>
      </c>
      <c r="AU28" s="4">
        <f t="shared" ca="1" si="5"/>
        <v>1</v>
      </c>
      <c r="AV28" s="4">
        <f t="shared" ca="1" si="6"/>
        <v>30</v>
      </c>
      <c r="AW28" s="4">
        <f t="shared" si="7"/>
        <v>20</v>
      </c>
      <c r="AX28" s="4">
        <f t="shared" ca="1" si="32"/>
        <v>30</v>
      </c>
      <c r="AY28" s="19">
        <f t="shared" ref="AY28:AY49" ca="1" si="36">IF(VALUE(RIGHT(ROUND(R28/100*2,0)))&lt;=5,ROUND(R28/100*2,0)-VALUE(RIGHT(ROUND(R28/100*2,0))),ROUND(R28/100*2,0)+10-VALUE(RIGHT(ROUND(R28/100*2,0))))</f>
        <v>230500</v>
      </c>
      <c r="AZ28" s="19"/>
      <c r="BA28" s="19"/>
      <c r="BB28" s="19"/>
      <c r="BC28" s="19"/>
      <c r="BD28" s="4">
        <f t="shared" ca="1" si="8"/>
        <v>1</v>
      </c>
      <c r="BE28" s="19"/>
      <c r="BF28" s="94">
        <f t="shared" si="33"/>
        <v>0</v>
      </c>
      <c r="BG28" s="19"/>
      <c r="BH28" s="19"/>
      <c r="BI28" s="120"/>
      <c r="BJ28" s="19"/>
      <c r="BK28" s="19"/>
      <c r="BL28" s="19"/>
      <c r="BM28" s="19"/>
      <c r="BN28" s="19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</row>
    <row r="29" spans="1:146" s="24" customFormat="1" ht="15" customHeight="1">
      <c r="A29" s="4">
        <f t="shared" si="9"/>
        <v>4</v>
      </c>
      <c r="B29" s="268">
        <f ca="1">IF(N29=0,IF(N28=1,"ИТОГО"," "),DATE(YEAR(B28),MONTH(B28)+1,O29))</f>
        <v>45432</v>
      </c>
      <c r="C29" s="401"/>
      <c r="D29" s="443">
        <f ca="1">IF(N29=0,IF(N28=1,SUM(D$26:D28)," "),IF(N29=0,0,IF(N30=1,IF(R29/100*2&lt;&gt;0,AY29,0),IF(N30=0,IF((R29+R29/100*2)&lt;&gt;0,AZ29,0)," "))))</f>
        <v>225890</v>
      </c>
      <c r="E29" s="443"/>
      <c r="F29" s="84">
        <f ca="1">IF(N29=0,IF(N28=1,F26+F27+F28," "),IF(M1=1,P29,IF(M1=2,Q29," ")))</f>
        <v>620100</v>
      </c>
      <c r="G29" s="84">
        <f ca="1">IF(N29=0,IF(N28=1,G26+G27+G28," "),IF(M1=1,AF29,IF(M1=2,AG29," ")))</f>
        <v>0</v>
      </c>
      <c r="H29" s="84">
        <f t="shared" ca="1" si="10"/>
        <v>845990</v>
      </c>
      <c r="I29" s="84">
        <f t="shared" si="11"/>
        <v>235200</v>
      </c>
      <c r="J29" s="84">
        <f t="shared" ca="1" si="12"/>
        <v>650000</v>
      </c>
      <c r="K29" s="84">
        <f t="shared" ca="1" si="13"/>
        <v>0</v>
      </c>
      <c r="L29" s="84">
        <f t="shared" ca="1" si="34"/>
        <v>885200</v>
      </c>
      <c r="M29" s="4">
        <f t="shared" si="14"/>
        <v>4</v>
      </c>
      <c r="N29" s="4">
        <f ca="1">IF(M1=1,IF(M14&gt;3,1,0),IF(M1=2,IF(M14&gt;3,1,0),0))</f>
        <v>1</v>
      </c>
      <c r="O29" s="4">
        <f t="shared" ca="1" si="0"/>
        <v>20</v>
      </c>
      <c r="P29" s="22">
        <f t="shared" ca="1" si="15"/>
        <v>620100</v>
      </c>
      <c r="Q29" s="22">
        <f t="shared" ca="1" si="16"/>
        <v>620100</v>
      </c>
      <c r="R29" s="22">
        <f t="shared" ca="1" si="17"/>
        <v>11294300</v>
      </c>
      <c r="S29" s="22">
        <f t="shared" si="18"/>
        <v>11760000</v>
      </c>
      <c r="T29" s="95">
        <f t="shared" si="19"/>
        <v>235200</v>
      </c>
      <c r="U29" s="19">
        <f t="shared" si="20"/>
        <v>235200</v>
      </c>
      <c r="V29" s="22">
        <f ca="1">IF(N30=1,R28*D11*20/36000+R29*D11*10/36000,IF(N30=0,IF(N29=0,0,R29*D11*Q12/36000+R28*D11*20/36000+R29*D11*10/36000)))</f>
        <v>620098.1944444445</v>
      </c>
      <c r="W29" s="22">
        <f ca="1">IF(N30=1,R28*D11*20/36000+R29*D11*10/36000,IF(N30=0,IF(N29=0,0,R29*D11*Q12/36000+R28*D11*20/36000+R29*D11*10/36000)))</f>
        <v>620098.1944444445</v>
      </c>
      <c r="X29" s="22"/>
      <c r="Y29" s="22"/>
      <c r="Z29" s="22">
        <f t="shared" ca="1" si="21"/>
        <v>650000</v>
      </c>
      <c r="AA29" s="22">
        <f t="shared" si="1"/>
        <v>12000000</v>
      </c>
      <c r="AB29" s="22">
        <f t="shared" ca="1" si="22"/>
        <v>650000</v>
      </c>
      <c r="AC29" s="22">
        <f t="shared" ca="1" si="23"/>
        <v>650000</v>
      </c>
      <c r="AD29" s="22">
        <f t="shared" ca="1" si="35"/>
        <v>650000</v>
      </c>
      <c r="AE29" s="22">
        <f ca="1">IF(R30=0,R29*Q12,(R28*20+R29*10))</f>
        <v>343439000</v>
      </c>
      <c r="AF29" s="22">
        <f t="shared" ca="1" si="24"/>
        <v>0</v>
      </c>
      <c r="AG29" s="22">
        <f t="shared" ca="1" si="25"/>
        <v>0</v>
      </c>
      <c r="AH29" s="22">
        <f t="shared" ca="1" si="26"/>
        <v>0</v>
      </c>
      <c r="AI29" s="22">
        <f t="shared" ca="1" si="27"/>
        <v>0</v>
      </c>
      <c r="AJ29" s="22"/>
      <c r="AK29" s="22"/>
      <c r="AL29" s="22">
        <f t="shared" ca="1" si="28"/>
        <v>0</v>
      </c>
      <c r="AM29" s="22">
        <f t="shared" ca="1" si="29"/>
        <v>0</v>
      </c>
      <c r="AN29" s="22">
        <f t="shared" ca="1" si="2"/>
        <v>11294300</v>
      </c>
      <c r="AO29" s="22">
        <f ca="1">IF(N30=1,AN28*G12*20/36000+AN29*G12*10/36000,IF(N30=0,IF(N29=0,0,AN29*G12*Q12/36000+AN28*G12*20/36000+AN29*G12*10/36000)))</f>
        <v>0</v>
      </c>
      <c r="AP29" s="22">
        <f ca="1">IF(N30=1,AN28*G12*20/36000+AN29*G12*10/36000,IF(N30=0,IF(N29=0,0,AN29*G12*Q12/36000+AN28*G12*20/36000+AN29*G12*10/36000)))</f>
        <v>0</v>
      </c>
      <c r="AQ29" s="69">
        <f t="shared" ca="1" si="30"/>
        <v>5</v>
      </c>
      <c r="AR29" s="69">
        <f t="shared" ca="1" si="3"/>
        <v>5</v>
      </c>
      <c r="AS29" s="4">
        <f t="shared" ca="1" si="31"/>
        <v>2024</v>
      </c>
      <c r="AT29" s="4">
        <f t="shared" ca="1" si="4"/>
        <v>2024</v>
      </c>
      <c r="AU29" s="4">
        <f t="shared" ca="1" si="5"/>
        <v>1</v>
      </c>
      <c r="AV29" s="4">
        <f t="shared" ca="1" si="6"/>
        <v>30</v>
      </c>
      <c r="AW29" s="4">
        <f t="shared" si="7"/>
        <v>20</v>
      </c>
      <c r="AX29" s="4">
        <f t="shared" ca="1" si="32"/>
        <v>30</v>
      </c>
      <c r="AY29" s="19">
        <f t="shared" ca="1" si="36"/>
        <v>225890</v>
      </c>
      <c r="AZ29" s="19"/>
      <c r="BA29" s="19"/>
      <c r="BB29" s="19"/>
      <c r="BC29" s="19"/>
      <c r="BD29" s="4">
        <f t="shared" ca="1" si="8"/>
        <v>1</v>
      </c>
      <c r="BE29" s="19"/>
      <c r="BF29" s="94">
        <f t="shared" si="33"/>
        <v>1</v>
      </c>
      <c r="BG29" s="19"/>
      <c r="BH29" s="19"/>
      <c r="BI29" s="120"/>
      <c r="BJ29" s="19"/>
      <c r="BK29" s="19"/>
      <c r="BL29" s="19"/>
      <c r="BM29" s="19"/>
      <c r="BN29" s="19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</row>
    <row r="30" spans="1:146" s="24" customFormat="1" ht="15" customHeight="1">
      <c r="A30" s="4">
        <f t="shared" si="9"/>
        <v>5</v>
      </c>
      <c r="B30" s="268">
        <f ca="1">IF(N30=0,IF(N29=1,"ИТОГО"," "),DATE(YEAR(B29),MONTH(B29)+1,O30))</f>
        <v>45463</v>
      </c>
      <c r="C30" s="401"/>
      <c r="D30" s="443">
        <f ca="1">IF(N30=0,IF(N29=1,SUM(D$26:D29)," "),IF(N30=0,0,IF(N31=1,IF(R30/100*2&lt;&gt;0,AY30,0),IF(N31=0,IF((R30+R30/100*2)&lt;&gt;0,AZ30,0)," "))))</f>
        <v>221370</v>
      </c>
      <c r="E30" s="443"/>
      <c r="F30" s="84">
        <f ca="1">IF(N30=0,IF(N29=1,F26+F27+F28+F29," "),IF(M1=1,P30,IF(M1=2,Q30," ")))</f>
        <v>607700</v>
      </c>
      <c r="G30" s="84">
        <f ca="1">IF(N30=0,IF(N29=1,G26+G27+G28+G29," "),IF(M1=1,AF30,IF(M1=2,AG30," ")))</f>
        <v>0</v>
      </c>
      <c r="H30" s="84">
        <f t="shared" ca="1" si="10"/>
        <v>829070</v>
      </c>
      <c r="I30" s="84">
        <f t="shared" si="11"/>
        <v>230500</v>
      </c>
      <c r="J30" s="84">
        <f t="shared" ca="1" si="12"/>
        <v>645750</v>
      </c>
      <c r="K30" s="84">
        <f t="shared" ca="1" si="13"/>
        <v>0</v>
      </c>
      <c r="L30" s="84">
        <f t="shared" ca="1" si="34"/>
        <v>876250</v>
      </c>
      <c r="M30" s="4">
        <f t="shared" si="14"/>
        <v>5</v>
      </c>
      <c r="N30" s="4">
        <f ca="1">IF(M1=1,IF(M14&gt;4,1,0),IF(M1=2,IF(M14&gt;4,1,0),0))</f>
        <v>1</v>
      </c>
      <c r="O30" s="4">
        <f t="shared" ca="1" si="0"/>
        <v>20</v>
      </c>
      <c r="P30" s="22">
        <f t="shared" ca="1" si="15"/>
        <v>607700</v>
      </c>
      <c r="Q30" s="22">
        <f t="shared" ca="1" si="16"/>
        <v>607700</v>
      </c>
      <c r="R30" s="22">
        <f t="shared" ca="1" si="17"/>
        <v>11068410</v>
      </c>
      <c r="S30" s="22">
        <f t="shared" si="18"/>
        <v>11524800</v>
      </c>
      <c r="T30" s="95">
        <f t="shared" si="19"/>
        <v>230496</v>
      </c>
      <c r="U30" s="19">
        <f t="shared" si="20"/>
        <v>230500</v>
      </c>
      <c r="V30" s="22">
        <f ca="1">IF(N31=1,R29*D11*20/36000+R30*D11*10/36000,IF(N31=0,IF(N30=0,0,R30*D11*Q12/36000+R29*D11*20/36000+R30*D11*10/36000)))</f>
        <v>607696.01388888888</v>
      </c>
      <c r="W30" s="22">
        <f ca="1">IF(N31=1,R29*D11*20/36000+R30*D11*10/36000,IF(N31=0,IF(N30=0,0,R30*D11*Q12/36000+R29*D11*20/36000+R30*D11*10/36000)))</f>
        <v>607696.01388888888</v>
      </c>
      <c r="X30" s="22"/>
      <c r="Y30" s="22"/>
      <c r="Z30" s="22">
        <f t="shared" ca="1" si="21"/>
        <v>650000</v>
      </c>
      <c r="AA30" s="22">
        <f t="shared" si="1"/>
        <v>11764800</v>
      </c>
      <c r="AB30" s="22">
        <f t="shared" ca="1" si="22"/>
        <v>645753.33333333326</v>
      </c>
      <c r="AC30" s="22">
        <f t="shared" ca="1" si="23"/>
        <v>645750</v>
      </c>
      <c r="AD30" s="22">
        <f t="shared" ca="1" si="35"/>
        <v>650000</v>
      </c>
      <c r="AE30" s="22">
        <f ca="1">IF(R31=0,R30*Q12,(R29*20+R30*10))</f>
        <v>336570100</v>
      </c>
      <c r="AF30" s="22">
        <f t="shared" ca="1" si="24"/>
        <v>0</v>
      </c>
      <c r="AG30" s="22">
        <f t="shared" ca="1" si="25"/>
        <v>0</v>
      </c>
      <c r="AH30" s="22">
        <f t="shared" ca="1" si="26"/>
        <v>0</v>
      </c>
      <c r="AI30" s="22">
        <f t="shared" ca="1" si="27"/>
        <v>0</v>
      </c>
      <c r="AJ30" s="22"/>
      <c r="AK30" s="22"/>
      <c r="AL30" s="22">
        <f t="shared" ca="1" si="28"/>
        <v>0</v>
      </c>
      <c r="AM30" s="22">
        <f t="shared" ca="1" si="29"/>
        <v>0</v>
      </c>
      <c r="AN30" s="22">
        <f t="shared" ca="1" si="2"/>
        <v>11068410</v>
      </c>
      <c r="AO30" s="22">
        <f ca="1">IF(N31=1,AN29*G12*20/36000+AN30*G12*10/36000,IF(N31=0,IF(N30=0,0,AN30*G12*Q12/36000+AN29*G12*20/36000+AN30*G12*10/36000)))</f>
        <v>0</v>
      </c>
      <c r="AP30" s="22">
        <f ca="1">IF(N31=1,AN29*G12*20/36000+AN30*G12*10/36000,IF(N31=0,IF(N30=0,0,AN30*G12*Q12/36000+AN29*G12*20/36000+AN30*G12*10/36000)))</f>
        <v>0</v>
      </c>
      <c r="AQ30" s="69">
        <f t="shared" ca="1" si="30"/>
        <v>6</v>
      </c>
      <c r="AR30" s="69">
        <f t="shared" ca="1" si="3"/>
        <v>6</v>
      </c>
      <c r="AS30" s="4">
        <f t="shared" ca="1" si="31"/>
        <v>2024</v>
      </c>
      <c r="AT30" s="4">
        <f t="shared" ca="1" si="4"/>
        <v>2024</v>
      </c>
      <c r="AU30" s="4">
        <f t="shared" ca="1" si="5"/>
        <v>1</v>
      </c>
      <c r="AV30" s="4">
        <f t="shared" ca="1" si="6"/>
        <v>30</v>
      </c>
      <c r="AW30" s="4">
        <f t="shared" si="7"/>
        <v>20</v>
      </c>
      <c r="AX30" s="4">
        <f t="shared" ca="1" si="32"/>
        <v>30</v>
      </c>
      <c r="AY30" s="19">
        <f t="shared" ca="1" si="36"/>
        <v>221370</v>
      </c>
      <c r="AZ30" s="19"/>
      <c r="BA30" s="19"/>
      <c r="BB30" s="19"/>
      <c r="BC30" s="19"/>
      <c r="BD30" s="4">
        <f t="shared" ca="1" si="8"/>
        <v>1</v>
      </c>
      <c r="BE30" s="19"/>
      <c r="BF30" s="94">
        <f t="shared" si="33"/>
        <v>2</v>
      </c>
      <c r="BG30" s="19"/>
      <c r="BH30" s="19"/>
      <c r="BI30" s="120"/>
      <c r="BJ30" s="19"/>
      <c r="BK30" s="19"/>
      <c r="BL30" s="19"/>
      <c r="BM30" s="19"/>
      <c r="BN30" s="19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</row>
    <row r="31" spans="1:146" s="24" customFormat="1" ht="15" customHeight="1">
      <c r="A31" s="4">
        <f t="shared" si="9"/>
        <v>6</v>
      </c>
      <c r="B31" s="268">
        <f ca="1">IF(N31=0,IF(N30=1,"ИТОГО"," "),DATE(YEAR(B30),MONTH(B30)+1,O31))</f>
        <v>45493</v>
      </c>
      <c r="C31" s="401"/>
      <c r="D31" s="443">
        <f ca="1">IF(N31=0,IF(N30=1,SUM(D$26:D30)," "),IF(N31=0,0,IF(N32=1,IF(R31/100*2&lt;&gt;0,AY31,0),IF(N32=0,IF((R31+R31/100*2)&lt;&gt;0,AZ31,0)," "))))</f>
        <v>216940</v>
      </c>
      <c r="E31" s="443"/>
      <c r="F31" s="84">
        <f ca="1">IF(N31=0,IF(N30=1,F26+F27+F28+F29+F30," "),IF(M1=1,P31,IF(M1=2,Q31," ")))</f>
        <v>595540</v>
      </c>
      <c r="G31" s="84">
        <f ca="1">IF(N31=0,IF(N30=1,G26+G27+G28+G29+G30," "),IF(M1=1,AF31,IF(M1=2,AG31," ")))</f>
        <v>0</v>
      </c>
      <c r="H31" s="84">
        <f t="shared" ca="1" si="10"/>
        <v>812480</v>
      </c>
      <c r="I31" s="84">
        <f t="shared" si="11"/>
        <v>225890</v>
      </c>
      <c r="J31" s="84">
        <f t="shared" ca="1" si="12"/>
        <v>633100</v>
      </c>
      <c r="K31" s="84">
        <f t="shared" ca="1" si="13"/>
        <v>0</v>
      </c>
      <c r="L31" s="84">
        <f t="shared" ca="1" si="34"/>
        <v>858990</v>
      </c>
      <c r="M31" s="4">
        <f t="shared" si="14"/>
        <v>6</v>
      </c>
      <c r="N31" s="4">
        <f ca="1">IF(M1=1,IF(M14&gt;5,1,0),IF(M1=2,IF(M14&gt;5,1,0),0))</f>
        <v>1</v>
      </c>
      <c r="O31" s="4">
        <f t="shared" ca="1" si="0"/>
        <v>20</v>
      </c>
      <c r="P31" s="22">
        <f t="shared" ca="1" si="15"/>
        <v>595540</v>
      </c>
      <c r="Q31" s="22">
        <f t="shared" ca="1" si="16"/>
        <v>595540</v>
      </c>
      <c r="R31" s="22">
        <f t="shared" ca="1" si="17"/>
        <v>10847040</v>
      </c>
      <c r="S31" s="22">
        <f t="shared" si="18"/>
        <v>11294300</v>
      </c>
      <c r="T31" s="95">
        <f t="shared" si="19"/>
        <v>225886</v>
      </c>
      <c r="U31" s="19">
        <f t="shared" si="20"/>
        <v>225890</v>
      </c>
      <c r="V31" s="22">
        <f ca="1">IF(N32=1,R30*D11*20/36000+R31*D11*10/36000,IF(N32=0,IF(N31=0,0,R31*D11*Q12/36000+R30*D11*20/36000+R31*D11*10/36000)))</f>
        <v>595541.91666666663</v>
      </c>
      <c r="W31" s="22">
        <f ca="1">IF(N32=1,R30*D11*20/36000+R31*D11*10/36000,IF(N32=0,IF(N31=0,0,R31*D11*Q12/36000+R30*D11*20/36000+R31*D11*10/36000)))</f>
        <v>595541.91666666663</v>
      </c>
      <c r="X31" s="22"/>
      <c r="Y31" s="22"/>
      <c r="Z31" s="22">
        <f t="shared" ca="1" si="21"/>
        <v>650000</v>
      </c>
      <c r="AA31" s="22">
        <f t="shared" si="1"/>
        <v>11534300</v>
      </c>
      <c r="AB31" s="22">
        <f t="shared" ca="1" si="22"/>
        <v>633098.1944444445</v>
      </c>
      <c r="AC31" s="22">
        <f t="shared" ca="1" si="23"/>
        <v>633100</v>
      </c>
      <c r="AD31" s="22">
        <f t="shared" ca="1" si="35"/>
        <v>650000</v>
      </c>
      <c r="AE31" s="22">
        <f ca="1">IF(R32=0,R31*Q12,(R30*20+R31*10))</f>
        <v>329838600</v>
      </c>
      <c r="AF31" s="22">
        <f t="shared" ca="1" si="24"/>
        <v>0</v>
      </c>
      <c r="AG31" s="22">
        <f t="shared" ca="1" si="25"/>
        <v>0</v>
      </c>
      <c r="AH31" s="22">
        <f t="shared" ca="1" si="26"/>
        <v>0</v>
      </c>
      <c r="AI31" s="22">
        <f t="shared" ca="1" si="27"/>
        <v>0</v>
      </c>
      <c r="AJ31" s="22"/>
      <c r="AK31" s="22"/>
      <c r="AL31" s="22">
        <f t="shared" ca="1" si="28"/>
        <v>0</v>
      </c>
      <c r="AM31" s="22">
        <f t="shared" ca="1" si="29"/>
        <v>0</v>
      </c>
      <c r="AN31" s="22">
        <f t="shared" ca="1" si="2"/>
        <v>10847040</v>
      </c>
      <c r="AO31" s="22">
        <f ca="1">IF(N32=1,AN30*G12*20/36000+AN31*G12*10/36000,IF(N32=0,IF(N31=0,0,AN31*G12*Q12/36000+AN30*G12*20/36000+AN31*G12*10/36000)))</f>
        <v>0</v>
      </c>
      <c r="AP31" s="22">
        <f ca="1">IF(N32=1,AN30*G12*20/36000+AN31*G12*10/36000,IF(N32=0,IF(N31=0,0,AN31*G12*Q12/36000+AN30*G12*20/36000+AN31*G12*10/36000)))</f>
        <v>0</v>
      </c>
      <c r="AQ31" s="69">
        <f t="shared" ca="1" si="30"/>
        <v>7</v>
      </c>
      <c r="AR31" s="69">
        <f t="shared" ca="1" si="3"/>
        <v>7</v>
      </c>
      <c r="AS31" s="4">
        <f t="shared" ca="1" si="31"/>
        <v>2024</v>
      </c>
      <c r="AT31" s="4">
        <f t="shared" ca="1" si="4"/>
        <v>2024</v>
      </c>
      <c r="AU31" s="4">
        <f t="shared" ca="1" si="5"/>
        <v>1</v>
      </c>
      <c r="AV31" s="4">
        <f t="shared" ca="1" si="6"/>
        <v>30</v>
      </c>
      <c r="AW31" s="4">
        <f t="shared" si="7"/>
        <v>20</v>
      </c>
      <c r="AX31" s="4">
        <f t="shared" ca="1" si="32"/>
        <v>30</v>
      </c>
      <c r="AY31" s="19">
        <f t="shared" ca="1" si="36"/>
        <v>216940</v>
      </c>
      <c r="AZ31" s="19"/>
      <c r="BA31" s="19"/>
      <c r="BB31" s="19"/>
      <c r="BC31" s="19"/>
      <c r="BD31" s="4">
        <f t="shared" ca="1" si="8"/>
        <v>1</v>
      </c>
      <c r="BE31" s="19"/>
      <c r="BF31" s="94">
        <f t="shared" si="33"/>
        <v>3</v>
      </c>
      <c r="BG31" s="19"/>
      <c r="BH31" s="19"/>
      <c r="BI31" s="120"/>
      <c r="BJ31" s="19"/>
      <c r="BK31" s="19"/>
      <c r="BL31" s="19"/>
      <c r="BM31" s="19"/>
      <c r="BN31" s="19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</row>
    <row r="32" spans="1:146" s="24" customFormat="1" ht="15" customHeight="1">
      <c r="A32" s="19">
        <f t="shared" si="9"/>
        <v>7</v>
      </c>
      <c r="B32" s="268">
        <f ca="1">IF(N32=0,IF(N31=1,"ИТОГО"," "),IF(M32=M$14,DATE(YEAR(B31),MONTH(B31),O32),DATE(YEAR(B31),MONTH(B31)+1,O32)))</f>
        <v>45524</v>
      </c>
      <c r="C32" s="401"/>
      <c r="D32" s="443">
        <f ca="1">IF(N32=0,IF(N31=1,SUM(D$26:D31)," "),IF(N32=0,0,IF(N33=1,IF(R32/100*2&lt;&gt;0,AY32,0),IF(N33=0,IF((R32+R32/100*2)&lt;&gt;0,AZ32,0)," "))))</f>
        <v>212600</v>
      </c>
      <c r="E32" s="443"/>
      <c r="F32" s="84">
        <f ca="1">IF(N32=0,IF(N31=1,F26+F27+F28+F29+F30+F31," "),IF(M1=1,P32,IF(M1=2,Q32," ")))</f>
        <v>583630</v>
      </c>
      <c r="G32" s="84">
        <f ca="1">IF(N32=0,IF(N31=1,G26+G27+G28+G29+G30+G31," "),IF(M1=1,AF32,IF(M1=2,AG32," ")))</f>
        <v>0</v>
      </c>
      <c r="H32" s="84">
        <f t="shared" ca="1" si="10"/>
        <v>796230</v>
      </c>
      <c r="I32" s="84">
        <f t="shared" si="11"/>
        <v>221370</v>
      </c>
      <c r="J32" s="84">
        <f t="shared" ca="1" si="12"/>
        <v>620700</v>
      </c>
      <c r="K32" s="84">
        <f t="shared" ca="1" si="13"/>
        <v>0</v>
      </c>
      <c r="L32" s="84">
        <f t="shared" ca="1" si="34"/>
        <v>842070</v>
      </c>
      <c r="M32" s="4">
        <f t="shared" si="14"/>
        <v>7</v>
      </c>
      <c r="N32" s="4">
        <f ca="1">IF(M1=1,IF(M14&gt;6,1,0),IF(M1=2,IF(M14&gt;6,1,0),0))</f>
        <v>1</v>
      </c>
      <c r="O32" s="4">
        <f ca="1">IF(M32=A$14,IF(MONTH(B31)=-2,AX32,DATE(YEAR(0),MONTH(0),DAY(D$16)-1)),AW32)</f>
        <v>20</v>
      </c>
      <c r="P32" s="22">
        <f t="shared" ca="1" si="15"/>
        <v>583630</v>
      </c>
      <c r="Q32" s="22">
        <f t="shared" ca="1" si="16"/>
        <v>583630</v>
      </c>
      <c r="R32" s="22">
        <f t="shared" ca="1" si="17"/>
        <v>10630100</v>
      </c>
      <c r="S32" s="22">
        <f t="shared" si="18"/>
        <v>11068410</v>
      </c>
      <c r="T32" s="95">
        <f t="shared" si="19"/>
        <v>221368.2</v>
      </c>
      <c r="U32" s="19">
        <f t="shared" si="20"/>
        <v>221370</v>
      </c>
      <c r="V32" s="22">
        <f ca="1">IF(N33=1,R31*D11*20/36000+R32*D11*10/36000,IF(N33=0,IF(N32=0,0,R32*D11*Q12/36000)))</f>
        <v>583631.02777777775</v>
      </c>
      <c r="W32" s="22">
        <f ca="1">IF(N33=1,R31*D11*20/36000+R32*D11*10/36000,IF(N33=0,IF(N32=0,0,R32*D11*Q12/36000)))</f>
        <v>583631.02777777775</v>
      </c>
      <c r="X32" s="22"/>
      <c r="Y32" s="22"/>
      <c r="Z32" s="22">
        <f t="shared" ca="1" si="21"/>
        <v>650000</v>
      </c>
      <c r="AA32" s="22">
        <f t="shared" si="1"/>
        <v>11308410</v>
      </c>
      <c r="AB32" s="22">
        <f t="shared" ca="1" si="22"/>
        <v>620696.01388888888</v>
      </c>
      <c r="AC32" s="22">
        <f t="shared" ca="1" si="23"/>
        <v>620700</v>
      </c>
      <c r="AD32" s="22">
        <f t="shared" ca="1" si="35"/>
        <v>650000</v>
      </c>
      <c r="AE32" s="22">
        <f ca="1">IF(R33=0,R32*Q12,(R31*20+R32*10))</f>
        <v>323241800</v>
      </c>
      <c r="AF32" s="22">
        <f t="shared" ca="1" si="24"/>
        <v>0</v>
      </c>
      <c r="AG32" s="22">
        <f t="shared" ca="1" si="25"/>
        <v>0</v>
      </c>
      <c r="AH32" s="22">
        <f t="shared" ca="1" si="26"/>
        <v>0</v>
      </c>
      <c r="AI32" s="22">
        <f t="shared" ca="1" si="27"/>
        <v>0</v>
      </c>
      <c r="AJ32" s="22"/>
      <c r="AK32" s="22"/>
      <c r="AL32" s="22">
        <f t="shared" ca="1" si="28"/>
        <v>0</v>
      </c>
      <c r="AM32" s="22">
        <f t="shared" ca="1" si="29"/>
        <v>0</v>
      </c>
      <c r="AN32" s="22">
        <f t="shared" ca="1" si="2"/>
        <v>10630100</v>
      </c>
      <c r="AO32" s="22">
        <f ca="1">IF(N33=1,AN31*G$12*20/36000+AN32*G$12*10/36000,IF(N33=0,IF(N32=0,0,AN32*G$12*Q$12/36000)))</f>
        <v>0</v>
      </c>
      <c r="AP32" s="22">
        <f ca="1">IF(N33=1,AN31*G$12*20/36000+AN32*G$12*10/36000,IF(N33=0,IF(N32=0,0,AN32*G$12*Q$12/36000)))</f>
        <v>0</v>
      </c>
      <c r="AQ32" s="69">
        <f t="shared" ca="1" si="30"/>
        <v>8</v>
      </c>
      <c r="AR32" s="69">
        <f t="shared" ca="1" si="3"/>
        <v>8</v>
      </c>
      <c r="AS32" s="4">
        <f t="shared" ca="1" si="31"/>
        <v>2024</v>
      </c>
      <c r="AT32" s="4">
        <f t="shared" ca="1" si="4"/>
        <v>2024</v>
      </c>
      <c r="AU32" s="4">
        <f t="shared" ca="1" si="5"/>
        <v>1</v>
      </c>
      <c r="AV32" s="4">
        <f t="shared" ca="1" si="6"/>
        <v>30</v>
      </c>
      <c r="AW32" s="4">
        <f t="shared" si="7"/>
        <v>20</v>
      </c>
      <c r="AX32" s="4">
        <f t="shared" ca="1" si="32"/>
        <v>30</v>
      </c>
      <c r="AY32" s="19">
        <f t="shared" ca="1" si="36"/>
        <v>212600</v>
      </c>
      <c r="AZ32" s="19"/>
      <c r="BA32" s="19"/>
      <c r="BB32" s="19"/>
      <c r="BC32" s="19"/>
      <c r="BD32" s="4">
        <f t="shared" ca="1" si="8"/>
        <v>1</v>
      </c>
      <c r="BE32" s="19"/>
      <c r="BF32" s="94">
        <f t="shared" si="33"/>
        <v>4</v>
      </c>
      <c r="BG32" s="19"/>
      <c r="BH32" s="19"/>
      <c r="BI32" s="120"/>
      <c r="BJ32" s="19"/>
      <c r="BK32" s="19"/>
      <c r="BL32" s="19"/>
      <c r="BM32" s="19"/>
      <c r="BN32" s="19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</row>
    <row r="33" spans="1:146" s="24" customFormat="1" ht="15" customHeight="1">
      <c r="A33" s="4">
        <f t="shared" si="9"/>
        <v>8</v>
      </c>
      <c r="B33" s="268">
        <f ca="1">IF(N33=0,IF(N32=1,"ИТОГО"," "),DATE(YEAR(B32),MONTH(B32)+1,O33))</f>
        <v>45555</v>
      </c>
      <c r="C33" s="401"/>
      <c r="D33" s="443">
        <f ca="1">IF(N33=0,IF(N32=1,SUM(D$26:D32)," "),IF(N33=0,0,IF(N34=1,IF(R33/100*2&lt;&gt;0,AY33,0),IF(N34=0,IF((R33+R33/100*2)&lt;&gt;0,AZ33,0)," "))))</f>
        <v>208350</v>
      </c>
      <c r="E33" s="443"/>
      <c r="F33" s="84">
        <f ca="1">IF(N33=0,IF(N32=1,F26+F27+F28+F29+F30+F31+F32," "),IF(M1=1,P33,IF(M1=2,Q33," ")))</f>
        <v>571960</v>
      </c>
      <c r="G33" s="84">
        <f ca="1">IF(N33=0,IF(N32=1,G26+G27+G28+G29+G30+G31+G32," "),IF(M1=1,AF33,IF(M1=2,AG33," ")))</f>
        <v>0</v>
      </c>
      <c r="H33" s="84">
        <f t="shared" ca="1" si="10"/>
        <v>780310</v>
      </c>
      <c r="I33" s="84">
        <f t="shared" si="11"/>
        <v>216940</v>
      </c>
      <c r="J33" s="84">
        <f t="shared" ca="1" si="12"/>
        <v>608540</v>
      </c>
      <c r="K33" s="84">
        <f t="shared" ca="1" si="13"/>
        <v>0</v>
      </c>
      <c r="L33" s="84">
        <f t="shared" ca="1" si="34"/>
        <v>825480</v>
      </c>
      <c r="M33" s="4">
        <f t="shared" si="14"/>
        <v>8</v>
      </c>
      <c r="N33" s="4">
        <f ca="1">IF(M1=1,IF(M14&gt;7,1,0),IF(M1=2,IF(M14&gt;7,1,0),0))</f>
        <v>1</v>
      </c>
      <c r="O33" s="4">
        <f ca="1">IF(M33=A$14,IF(DATE(YEAR(0),MONTH(0),DAY(D$16)-1)&lt;AW33,DATE(YEAR(0),MONTH(0),DAY(D$16)-1),AW33),AW33)</f>
        <v>20</v>
      </c>
      <c r="P33" s="22">
        <f t="shared" ca="1" si="15"/>
        <v>571960</v>
      </c>
      <c r="Q33" s="22">
        <f t="shared" ca="1" si="16"/>
        <v>571960</v>
      </c>
      <c r="R33" s="22">
        <f t="shared" ca="1" si="17"/>
        <v>10417500</v>
      </c>
      <c r="S33" s="22">
        <f t="shared" si="18"/>
        <v>10847040</v>
      </c>
      <c r="T33" s="95">
        <f t="shared" si="19"/>
        <v>216940.79999999999</v>
      </c>
      <c r="U33" s="19">
        <f t="shared" si="20"/>
        <v>216940</v>
      </c>
      <c r="V33" s="22">
        <f ca="1">IF(N34=1,R32*D11*20/36000+R33*D11*10/36000,IF(N34=0,IF(N33=0,0,R33*D11*Q12/36000+R32*D11*20/36000+R33*D11*10/36000)))</f>
        <v>571958.47222222225</v>
      </c>
      <c r="W33" s="22">
        <f ca="1">IF(N34=1,R32*D11*20/36000+R33*D11*10/36000,IF(N34=0,IF(N33=0,0,R33*D11*Q12/36000+R32*D11*20/36000+R33*D11*10/36000)))</f>
        <v>571958.47222222225</v>
      </c>
      <c r="X33" s="22"/>
      <c r="Y33" s="22"/>
      <c r="Z33" s="22">
        <f t="shared" ca="1" si="21"/>
        <v>650000</v>
      </c>
      <c r="AA33" s="22">
        <f t="shared" si="1"/>
        <v>11087040</v>
      </c>
      <c r="AB33" s="22">
        <f t="shared" ca="1" si="22"/>
        <v>608541.91666666663</v>
      </c>
      <c r="AC33" s="22">
        <f t="shared" ca="1" si="23"/>
        <v>608540</v>
      </c>
      <c r="AD33" s="22">
        <f t="shared" ca="1" si="35"/>
        <v>650000</v>
      </c>
      <c r="AE33" s="22">
        <f ca="1">IF(R34=0,R33*Q12,(R32*20+R33*10))</f>
        <v>316777000</v>
      </c>
      <c r="AF33" s="22">
        <f t="shared" ca="1" si="24"/>
        <v>0</v>
      </c>
      <c r="AG33" s="22">
        <f t="shared" ca="1" si="25"/>
        <v>0</v>
      </c>
      <c r="AH33" s="22">
        <f t="shared" ca="1" si="26"/>
        <v>0</v>
      </c>
      <c r="AI33" s="22">
        <f t="shared" ca="1" si="27"/>
        <v>0</v>
      </c>
      <c r="AJ33" s="22"/>
      <c r="AK33" s="22"/>
      <c r="AL33" s="22">
        <f t="shared" ca="1" si="28"/>
        <v>0</v>
      </c>
      <c r="AM33" s="22">
        <f t="shared" ca="1" si="29"/>
        <v>0</v>
      </c>
      <c r="AN33" s="22">
        <f t="shared" ca="1" si="2"/>
        <v>10417500</v>
      </c>
      <c r="AO33" s="22">
        <f ca="1">IF(N34=1,AN32*G12*20/36000+AN33*G12*10/36000,IF(N34=0,IF(N33=0,0,AN33*G12*Q12/36000+AN32*G12*20/36000+AN33*G12*10/36000)))</f>
        <v>0</v>
      </c>
      <c r="AP33" s="22">
        <f ca="1">IF(N34=1,AN32*G12*20/36000+AN33*G12*10/36000,IF(N34=0,IF(N33=0,0,AN33*G12*Q12/36000+AN32*G12*20/36000+AN33*G12*10/36000)))</f>
        <v>0</v>
      </c>
      <c r="AQ33" s="69">
        <f t="shared" ca="1" si="30"/>
        <v>9</v>
      </c>
      <c r="AR33" s="69">
        <f t="shared" ca="1" si="3"/>
        <v>9</v>
      </c>
      <c r="AS33" s="4">
        <f t="shared" ca="1" si="31"/>
        <v>2024</v>
      </c>
      <c r="AT33" s="4">
        <f t="shared" ca="1" si="4"/>
        <v>2024</v>
      </c>
      <c r="AU33" s="4">
        <f t="shared" ca="1" si="5"/>
        <v>1</v>
      </c>
      <c r="AV33" s="4">
        <f t="shared" ca="1" si="6"/>
        <v>30</v>
      </c>
      <c r="AW33" s="4">
        <f t="shared" si="7"/>
        <v>20</v>
      </c>
      <c r="AX33" s="4">
        <f t="shared" ca="1" si="32"/>
        <v>30</v>
      </c>
      <c r="AY33" s="19">
        <f t="shared" ca="1" si="36"/>
        <v>208350</v>
      </c>
      <c r="AZ33" s="19"/>
      <c r="BA33" s="19"/>
      <c r="BB33" s="19"/>
      <c r="BC33" s="19"/>
      <c r="BD33" s="4">
        <f t="shared" ca="1" si="8"/>
        <v>1</v>
      </c>
      <c r="BE33" s="19"/>
      <c r="BF33" s="94">
        <f t="shared" si="33"/>
        <v>5</v>
      </c>
      <c r="BG33" s="19"/>
      <c r="BH33" s="19"/>
      <c r="BI33" s="120"/>
      <c r="BJ33" s="19"/>
      <c r="BK33" s="19"/>
      <c r="BL33" s="19"/>
      <c r="BM33" s="19"/>
      <c r="BN33" s="19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</row>
    <row r="34" spans="1:146" s="24" customFormat="1" ht="15" customHeight="1">
      <c r="A34" s="4">
        <f t="shared" si="9"/>
        <v>9</v>
      </c>
      <c r="B34" s="268">
        <f ca="1">IF(N34=0,IF(N33=1,"ИТОГО"," "),DATE(YEAR(B33),MONTH(B33)+1,O34))</f>
        <v>45585</v>
      </c>
      <c r="C34" s="401"/>
      <c r="D34" s="443">
        <f ca="1">IF(N34=0,IF(N33=1,SUM(D$26:D33)," "),IF(N34=0,0,IF(N35=1,IF(R34/100*2&lt;&gt;0,AY34,0),IF(N35=0,IF((R34+R34/100*2)&lt;&gt;0,AZ34,0)," "))))</f>
        <v>204180</v>
      </c>
      <c r="E34" s="443"/>
      <c r="F34" s="84">
        <f ca="1">IF(N34=0,IF(N33=1,F26+F27+F28+F29+F30+F31+F32+F33," "),IF(M1=1,P34,IF(M1=2,Q34," ")))</f>
        <v>560520</v>
      </c>
      <c r="G34" s="84">
        <f ca="1">IF(N34=0,IF(N33=1,G26+G27+G28+G29+G30+G31+G32+G33," "),IF(M1=1,AF34,IF(M1=2,AG34," ")))</f>
        <v>0</v>
      </c>
      <c r="H34" s="84">
        <f t="shared" ca="1" si="10"/>
        <v>764700</v>
      </c>
      <c r="I34" s="84">
        <f t="shared" si="11"/>
        <v>212600</v>
      </c>
      <c r="J34" s="84">
        <f t="shared" ca="1" si="12"/>
        <v>596630</v>
      </c>
      <c r="K34" s="84">
        <f t="shared" ca="1" si="13"/>
        <v>0</v>
      </c>
      <c r="L34" s="84">
        <f t="shared" ca="1" si="34"/>
        <v>809230</v>
      </c>
      <c r="M34" s="4">
        <f t="shared" si="14"/>
        <v>9</v>
      </c>
      <c r="N34" s="4">
        <f ca="1">IF(M1=1,IF(M14&gt;8,1,0),IF(M1=2,IF(M14&gt;8,1,0),0))</f>
        <v>1</v>
      </c>
      <c r="O34" s="4">
        <f ca="1">IF(M34=A$14,IF(DATE(YEAR(0),MONTH(0),DAY(D$16)-1)&lt;AW34,DATE(YEAR(0),MONTH(0),DAY(D$16)-1),AW34),AW34)</f>
        <v>20</v>
      </c>
      <c r="P34" s="22">
        <f t="shared" ca="1" si="15"/>
        <v>560520</v>
      </c>
      <c r="Q34" s="22">
        <f t="shared" ca="1" si="16"/>
        <v>560520</v>
      </c>
      <c r="R34" s="22">
        <f t="shared" ca="1" si="17"/>
        <v>10209150</v>
      </c>
      <c r="S34" s="22">
        <f t="shared" si="18"/>
        <v>10630100</v>
      </c>
      <c r="T34" s="95">
        <f t="shared" si="19"/>
        <v>212602</v>
      </c>
      <c r="U34" s="19">
        <f t="shared" si="20"/>
        <v>212600</v>
      </c>
      <c r="V34" s="22">
        <f ca="1">IF(N35=1,R33*D11*20/36000+R34*D11*10/36000,IF(N35=0,IF(N34=0,0,R34*D11*Q12/36000+R33*D11*20/36000+R34*D11*10/36000)))</f>
        <v>560519.375</v>
      </c>
      <c r="W34" s="22">
        <f ca="1">IF(N35=1,R33*D11*20/36000+R34*D11*10/36000,IF(N35=0,IF(N34=0,0,R34*D11*Q12/36000+R33*D11*20/36000+R34*D11*10/36000)))</f>
        <v>560519.375</v>
      </c>
      <c r="X34" s="22"/>
      <c r="Y34" s="22"/>
      <c r="Z34" s="22">
        <f t="shared" ca="1" si="21"/>
        <v>650000</v>
      </c>
      <c r="AA34" s="22">
        <f t="shared" si="1"/>
        <v>10870100</v>
      </c>
      <c r="AB34" s="22">
        <f t="shared" ca="1" si="22"/>
        <v>596631.02777777775</v>
      </c>
      <c r="AC34" s="22">
        <f t="shared" ca="1" si="23"/>
        <v>596630</v>
      </c>
      <c r="AD34" s="22">
        <f t="shared" ca="1" si="35"/>
        <v>650000</v>
      </c>
      <c r="AE34" s="22">
        <f ca="1">IF(R35=0,R34*Q12,(R33*20+R34*10))</f>
        <v>310441500</v>
      </c>
      <c r="AF34" s="22">
        <f t="shared" ca="1" si="24"/>
        <v>0</v>
      </c>
      <c r="AG34" s="22">
        <f t="shared" ca="1" si="25"/>
        <v>0</v>
      </c>
      <c r="AH34" s="22">
        <f t="shared" ca="1" si="26"/>
        <v>0</v>
      </c>
      <c r="AI34" s="22">
        <f t="shared" ca="1" si="27"/>
        <v>0</v>
      </c>
      <c r="AJ34" s="22"/>
      <c r="AK34" s="22"/>
      <c r="AL34" s="22">
        <f t="shared" ca="1" si="28"/>
        <v>0</v>
      </c>
      <c r="AM34" s="22">
        <f t="shared" ca="1" si="29"/>
        <v>0</v>
      </c>
      <c r="AN34" s="22">
        <f t="shared" ca="1" si="2"/>
        <v>10209150</v>
      </c>
      <c r="AO34" s="22">
        <f ca="1">IF(N35=1,AN33*G12*20/36000+AN34*G12*10/36000,IF(N35=0,IF(N34=0,0,AN34*G12*Q12/36000+AN33*G12*20/36000+AN34*G12*10/36000)))</f>
        <v>0</v>
      </c>
      <c r="AP34" s="22">
        <f ca="1">IF(N35=1,AN33*G12*20/36000+AN34*G12*10/36000,IF(N35=0,IF(N34=0,0,AN34*G12*Q12/36000+AN33*G12*20/36000+AN34*G12*10/36000)))</f>
        <v>0</v>
      </c>
      <c r="AQ34" s="69">
        <f t="shared" ca="1" si="30"/>
        <v>10</v>
      </c>
      <c r="AR34" s="69">
        <f t="shared" ca="1" si="3"/>
        <v>10</v>
      </c>
      <c r="AS34" s="4">
        <f t="shared" ca="1" si="31"/>
        <v>2024</v>
      </c>
      <c r="AT34" s="4">
        <f t="shared" ca="1" si="4"/>
        <v>2024</v>
      </c>
      <c r="AU34" s="4">
        <f t="shared" ca="1" si="5"/>
        <v>1</v>
      </c>
      <c r="AV34" s="4">
        <f t="shared" ca="1" si="6"/>
        <v>30</v>
      </c>
      <c r="AW34" s="4">
        <f t="shared" si="7"/>
        <v>20</v>
      </c>
      <c r="AX34" s="4">
        <f t="shared" ca="1" si="32"/>
        <v>30</v>
      </c>
      <c r="AY34" s="19">
        <f t="shared" ca="1" si="36"/>
        <v>204180</v>
      </c>
      <c r="AZ34" s="19"/>
      <c r="BA34" s="19"/>
      <c r="BB34" s="19"/>
      <c r="BC34" s="19"/>
      <c r="BD34" s="4">
        <f t="shared" ca="1" si="8"/>
        <v>1</v>
      </c>
      <c r="BE34" s="19"/>
      <c r="BF34" s="94">
        <f t="shared" si="33"/>
        <v>6</v>
      </c>
      <c r="BG34" s="19"/>
      <c r="BH34" s="19"/>
      <c r="BI34" s="120"/>
      <c r="BJ34" s="19"/>
      <c r="BK34" s="19"/>
      <c r="BL34" s="19"/>
      <c r="BM34" s="19"/>
      <c r="BN34" s="19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</row>
    <row r="35" spans="1:146" s="24" customFormat="1" ht="15" customHeight="1">
      <c r="A35" s="4">
        <f t="shared" si="9"/>
        <v>10</v>
      </c>
      <c r="B35" s="268">
        <f ca="1">IF(N35=0,IF(N34=1,"ИТОГО"," "),DATE(YEAR(B34),MONTH(B34)+1,O35))</f>
        <v>45616</v>
      </c>
      <c r="C35" s="401"/>
      <c r="D35" s="443">
        <f ca="1">IF(N35=0,IF(N34=1,SUM(D$26:D34)," "),IF(N35=0,0,IF(N36=1,IF(R35/100*2&lt;&gt;0,AY35,0),IF(N36=0,IF((R35+R35/100*2)&lt;&gt;0,AZ35,0)," "))))</f>
        <v>200100</v>
      </c>
      <c r="E35" s="443"/>
      <c r="F35" s="84">
        <f ca="1">IF(N35=0,IF(N34=1,F26+F27+F28+F29+F30+F31+F32+F33+F34," "),IF(M1=1,P35,IF(M1=2,Q35," ")))</f>
        <v>549310</v>
      </c>
      <c r="G35" s="84">
        <f ca="1">IF(N35=0,IF(N34=1,G26+G27+G28+G29+G30+G31+G32+G33+G34," "),IF(M1=1,AF35,IF(M1=2,AG35," ")))</f>
        <v>0</v>
      </c>
      <c r="H35" s="84">
        <f t="shared" ca="1" si="10"/>
        <v>749410</v>
      </c>
      <c r="I35" s="84">
        <f t="shared" si="11"/>
        <v>208350</v>
      </c>
      <c r="J35" s="84">
        <f t="shared" ca="1" si="12"/>
        <v>584960</v>
      </c>
      <c r="K35" s="84">
        <f t="shared" ca="1" si="13"/>
        <v>0</v>
      </c>
      <c r="L35" s="84">
        <f t="shared" ca="1" si="34"/>
        <v>793310</v>
      </c>
      <c r="M35" s="4">
        <f t="shared" si="14"/>
        <v>10</v>
      </c>
      <c r="N35" s="4">
        <f ca="1">IF(M1=1,IF(M14&gt;9,1,0),IF(M1=2,IF(M14&gt;9,1,0),0))</f>
        <v>1</v>
      </c>
      <c r="O35" s="4">
        <f ca="1">IF(M35=A$14,IF(DATE(YEAR(0),MONTH(0),DAY(D$16)-1)&lt;AW35,DATE(YEAR(0),MONTH(0),DAY(D$16)-1),AW35),AW35)</f>
        <v>20</v>
      </c>
      <c r="P35" s="22">
        <f t="shared" ca="1" si="15"/>
        <v>549310</v>
      </c>
      <c r="Q35" s="22">
        <f t="shared" ca="1" si="16"/>
        <v>549310</v>
      </c>
      <c r="R35" s="22">
        <f t="shared" ca="1" si="17"/>
        <v>10004970</v>
      </c>
      <c r="S35" s="22">
        <f t="shared" si="18"/>
        <v>10417500</v>
      </c>
      <c r="T35" s="95">
        <f t="shared" si="19"/>
        <v>208350</v>
      </c>
      <c r="U35" s="19">
        <f t="shared" si="20"/>
        <v>208350</v>
      </c>
      <c r="V35" s="22">
        <f ca="1">IF(N36=1,R34*D11*20/36000+R35*D11*10/36000,IF(N36=0,IF(N35=0,0,R35*D11*Q12/36000+29*D11*20/36000+R35*D11*10/36000)))</f>
        <v>549309.04166666663</v>
      </c>
      <c r="W35" s="22">
        <f ca="1">IF(N36=1,R34*D11*20/36000+R35*D11*10/36000,IF(N36=0,IF(N35=0,0,R35*D11*Q12/36000+29*D11*20/36000+R35*D11*10/36000)))</f>
        <v>549309.04166666663</v>
      </c>
      <c r="X35" s="22"/>
      <c r="Y35" s="22"/>
      <c r="Z35" s="22">
        <f t="shared" ca="1" si="21"/>
        <v>650000</v>
      </c>
      <c r="AA35" s="22">
        <f t="shared" si="1"/>
        <v>10657500</v>
      </c>
      <c r="AB35" s="22">
        <f t="shared" ca="1" si="22"/>
        <v>584958.47222222225</v>
      </c>
      <c r="AC35" s="22">
        <f t="shared" ca="1" si="23"/>
        <v>584960</v>
      </c>
      <c r="AD35" s="22">
        <f t="shared" ca="1" si="35"/>
        <v>650000</v>
      </c>
      <c r="AE35" s="22">
        <f ca="1">IF(R36=0,R35*Q12,(R34*20+R35*10))</f>
        <v>304232700</v>
      </c>
      <c r="AF35" s="22">
        <f t="shared" ca="1" si="24"/>
        <v>0</v>
      </c>
      <c r="AG35" s="22">
        <f t="shared" ca="1" si="25"/>
        <v>0</v>
      </c>
      <c r="AH35" s="22">
        <f t="shared" ca="1" si="26"/>
        <v>0</v>
      </c>
      <c r="AI35" s="22">
        <f t="shared" ca="1" si="27"/>
        <v>0</v>
      </c>
      <c r="AJ35" s="22"/>
      <c r="AK35" s="22"/>
      <c r="AL35" s="22">
        <f t="shared" ca="1" si="28"/>
        <v>0</v>
      </c>
      <c r="AM35" s="22">
        <f t="shared" ca="1" si="29"/>
        <v>0</v>
      </c>
      <c r="AN35" s="22">
        <f t="shared" ca="1" si="2"/>
        <v>10004970</v>
      </c>
      <c r="AO35" s="22">
        <f ca="1">IF(N36=1,AN34*G12*20/36000+AN35*G12*10/36000,IF(N36=0,IF(N35=0,0,AN35*G12*Q12/36000+29*G12*20/36000+AN35*G12*10/36000)))</f>
        <v>0</v>
      </c>
      <c r="AP35" s="22">
        <f ca="1">IF(N36=1,AN34*G12*20/36000+AN35*G12*10/36000,IF(N36=0,IF(N35=0,0,AN35*G12*Q12/36000+29*G12*20/36000+AN35*G12*10/36000)))</f>
        <v>0</v>
      </c>
      <c r="AQ35" s="69">
        <f t="shared" ca="1" si="30"/>
        <v>11</v>
      </c>
      <c r="AR35" s="69">
        <f t="shared" ca="1" si="3"/>
        <v>11</v>
      </c>
      <c r="AS35" s="4">
        <f t="shared" ca="1" si="31"/>
        <v>2024</v>
      </c>
      <c r="AT35" s="4">
        <f t="shared" ca="1" si="4"/>
        <v>2024</v>
      </c>
      <c r="AU35" s="4">
        <f t="shared" ca="1" si="5"/>
        <v>1</v>
      </c>
      <c r="AV35" s="4">
        <f t="shared" ca="1" si="6"/>
        <v>30</v>
      </c>
      <c r="AW35" s="4">
        <f t="shared" si="7"/>
        <v>20</v>
      </c>
      <c r="AX35" s="4">
        <f t="shared" ca="1" si="32"/>
        <v>30</v>
      </c>
      <c r="AY35" s="19">
        <f t="shared" ca="1" si="36"/>
        <v>200100</v>
      </c>
      <c r="AZ35" s="19"/>
      <c r="BA35" s="19"/>
      <c r="BB35" s="19"/>
      <c r="BC35" s="19"/>
      <c r="BD35" s="4">
        <f t="shared" ca="1" si="8"/>
        <v>1</v>
      </c>
      <c r="BE35" s="19"/>
      <c r="BF35" s="94">
        <f t="shared" si="33"/>
        <v>7</v>
      </c>
      <c r="BG35" s="19"/>
      <c r="BH35" s="19"/>
      <c r="BI35" s="120"/>
      <c r="BJ35" s="19"/>
      <c r="BK35" s="19"/>
      <c r="BL35" s="19"/>
      <c r="BM35" s="19"/>
      <c r="BN35" s="19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</row>
    <row r="36" spans="1:146" s="24" customFormat="1" ht="15" customHeight="1">
      <c r="A36" s="4">
        <f t="shared" si="9"/>
        <v>11</v>
      </c>
      <c r="B36" s="268">
        <f ca="1">IF(N36=0,IF(N35=1,"ИТОГО"," "),DATE(YEAR(B35),MONTH(B35)+1,O36))</f>
        <v>45646</v>
      </c>
      <c r="C36" s="401"/>
      <c r="D36" s="443">
        <f ca="1">IF(N36=0,IF(N35=1,SUM(D$26:D35)," "),IF(N36=0,0,IF(N37=1,IF(R36/100*2&lt;&gt;0,AY36,0),IF(N37=0,IF((R36+R36/100*2)&lt;&gt;0,AZ36,0)," "))))</f>
        <v>196100</v>
      </c>
      <c r="E36" s="443"/>
      <c r="F36" s="84">
        <f ca="1">IF(N36=0,IF(N35=1,F26+F27+F28+F29+F30+F31+F32+F33+F34+F35," "),IF(M1=1,P36,IF(M1=2,Q36," ")))</f>
        <v>538320</v>
      </c>
      <c r="G36" s="84">
        <f ca="1">IF(N36=0,IF(N35=1,G26+G27+G28+G29+G30+G31+G32+G33+G34+G35," "),IF(M1=1,AF36,IF(M1=2,AG36," ")))</f>
        <v>0</v>
      </c>
      <c r="H36" s="84">
        <f t="shared" ca="1" si="10"/>
        <v>734420</v>
      </c>
      <c r="I36" s="84">
        <f t="shared" si="11"/>
        <v>204180</v>
      </c>
      <c r="J36" s="84">
        <f t="shared" ca="1" si="12"/>
        <v>573520</v>
      </c>
      <c r="K36" s="84">
        <f t="shared" ca="1" si="13"/>
        <v>0</v>
      </c>
      <c r="L36" s="84">
        <f t="shared" ca="1" si="34"/>
        <v>777700</v>
      </c>
      <c r="M36" s="4">
        <f t="shared" si="14"/>
        <v>11</v>
      </c>
      <c r="N36" s="4">
        <f ca="1">IF(M1=1,IF(M14&gt;10,1,0),IF(M1=2,IF(M14&gt;10,1,0),0))</f>
        <v>1</v>
      </c>
      <c r="O36" s="4">
        <f ca="1">IF(M36=A$14,IF(DATE(YEAR(0),MONTH(0),DAY(D$16)-1)&lt;AW36,DATE(YEAR(0),MONTH(0),DAY(D$16)-1),AW36),AW36)</f>
        <v>20</v>
      </c>
      <c r="P36" s="22">
        <f t="shared" ca="1" si="15"/>
        <v>538320</v>
      </c>
      <c r="Q36" s="22">
        <f t="shared" ca="1" si="16"/>
        <v>538320</v>
      </c>
      <c r="R36" s="22">
        <f t="shared" ca="1" si="17"/>
        <v>9804870</v>
      </c>
      <c r="S36" s="22">
        <f t="shared" si="18"/>
        <v>10209150</v>
      </c>
      <c r="T36" s="95">
        <f t="shared" si="19"/>
        <v>204183</v>
      </c>
      <c r="U36" s="19">
        <f t="shared" si="20"/>
        <v>204180</v>
      </c>
      <c r="V36" s="22">
        <f ca="1">IF(N37=1,R35*D11*20/36000+R36*D11*10/36000,IF(N37=0,IF(N36=0,0,R36*D11*Q12/36000+R35*D11*20/36000+R36*D11*10/36000)))</f>
        <v>538322.95833333326</v>
      </c>
      <c r="W36" s="22">
        <f ca="1">IF(N37=1,R35*D11*20/36000+R36*D11*10/36000,IF(N37=0,IF(N36=0,0,R36*D11*Q12/36000+R35*D11*20/36000+R36*D11*10/36000)))</f>
        <v>538322.95833333326</v>
      </c>
      <c r="X36" s="22"/>
      <c r="Y36" s="22"/>
      <c r="Z36" s="22">
        <f t="shared" ca="1" si="21"/>
        <v>650000</v>
      </c>
      <c r="AA36" s="22">
        <f t="shared" si="1"/>
        <v>10449150</v>
      </c>
      <c r="AB36" s="22">
        <f t="shared" ca="1" si="22"/>
        <v>573519.375</v>
      </c>
      <c r="AC36" s="22">
        <f t="shared" ca="1" si="23"/>
        <v>573520</v>
      </c>
      <c r="AD36" s="22">
        <f t="shared" ca="1" si="35"/>
        <v>650000</v>
      </c>
      <c r="AE36" s="22">
        <f ca="1">IF(R37=0,R36*Q12,(R35*20+R36*10))</f>
        <v>298148100</v>
      </c>
      <c r="AF36" s="22">
        <f t="shared" ca="1" si="24"/>
        <v>0</v>
      </c>
      <c r="AG36" s="22">
        <f t="shared" ca="1" si="25"/>
        <v>0</v>
      </c>
      <c r="AH36" s="22">
        <f t="shared" ca="1" si="26"/>
        <v>0</v>
      </c>
      <c r="AI36" s="22">
        <f t="shared" ca="1" si="27"/>
        <v>0</v>
      </c>
      <c r="AJ36" s="22"/>
      <c r="AK36" s="22"/>
      <c r="AL36" s="22">
        <f t="shared" ca="1" si="28"/>
        <v>0</v>
      </c>
      <c r="AM36" s="22">
        <f t="shared" ca="1" si="29"/>
        <v>0</v>
      </c>
      <c r="AN36" s="22">
        <f t="shared" ca="1" si="2"/>
        <v>9804870</v>
      </c>
      <c r="AO36" s="22">
        <f ca="1">IF(N37=1,AN35*G12*20/36000+AN36*G12*10/36000,IF(N37=0,IF(N36=0,0,AN36*G12*Q12/36000+AN35*G12*20/36000+AN36*G12*10/36000)))</f>
        <v>0</v>
      </c>
      <c r="AP36" s="22">
        <f ca="1">IF(N37=1,AN35*G12*20/36000+AN36*G12*10/36000,IF(N37=0,IF(N36=0,0,AN36*G12*Q12/36000+AN35*G12*20/36000+AN36*G12*10/36000)))</f>
        <v>0</v>
      </c>
      <c r="AQ36" s="69">
        <f t="shared" ca="1" si="30"/>
        <v>12</v>
      </c>
      <c r="AR36" s="69">
        <f t="shared" ca="1" si="3"/>
        <v>12</v>
      </c>
      <c r="AS36" s="4">
        <f t="shared" ca="1" si="31"/>
        <v>2024</v>
      </c>
      <c r="AT36" s="4">
        <f t="shared" ca="1" si="4"/>
        <v>2024</v>
      </c>
      <c r="AU36" s="4">
        <f t="shared" ca="1" si="5"/>
        <v>1</v>
      </c>
      <c r="AV36" s="4">
        <f t="shared" ca="1" si="6"/>
        <v>30</v>
      </c>
      <c r="AW36" s="4">
        <f t="shared" si="7"/>
        <v>20</v>
      </c>
      <c r="AX36" s="4">
        <f t="shared" ca="1" si="32"/>
        <v>30</v>
      </c>
      <c r="AY36" s="19">
        <f t="shared" ca="1" si="36"/>
        <v>196100</v>
      </c>
      <c r="AZ36" s="19"/>
      <c r="BA36" s="19"/>
      <c r="BB36" s="19"/>
      <c r="BC36" s="19"/>
      <c r="BD36" s="4">
        <f t="shared" ca="1" si="8"/>
        <v>1</v>
      </c>
      <c r="BE36" s="19"/>
      <c r="BF36" s="94">
        <f t="shared" si="33"/>
        <v>8</v>
      </c>
      <c r="BG36" s="19"/>
      <c r="BH36" s="19"/>
      <c r="BI36" s="120"/>
      <c r="BJ36" s="19"/>
      <c r="BK36" s="19"/>
      <c r="BL36" s="19"/>
      <c r="BM36" s="19"/>
      <c r="BN36" s="19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</row>
    <row r="37" spans="1:146" s="24" customFormat="1" ht="15" customHeight="1">
      <c r="A37" s="4">
        <f t="shared" si="9"/>
        <v>12</v>
      </c>
      <c r="B37" s="268">
        <f ca="1">IF(N37=0,IF(N36=1,"ИТОГО"," "),DATE(YEAR(B36),MONTH(B36)+1,O37))</f>
        <v>45677</v>
      </c>
      <c r="C37" s="401"/>
      <c r="D37" s="443">
        <f ca="1">IF(N37=0,IF(N36=1,SUM(D$26:D36)," "),IF(N37=0,0,IF(N38=1,IF(R37/100*2&lt;&gt;0,AY37,0),IF(N38=0,IF((R37+R37/100*2)&lt;&gt;0,AZ37,0)," "))))</f>
        <v>192170</v>
      </c>
      <c r="E37" s="443"/>
      <c r="F37" s="84">
        <f ca="1">IF(N37=0,IF(N36=1,F26+F27+F28+F29+F30+F31+F32+F33+F34+F35+F36," "),IF(M1=1,P37,IF(M1=2,Q37," ")))</f>
        <v>527560</v>
      </c>
      <c r="G37" s="84">
        <f ca="1">IF(N37=0,IF(N36=1,G26+G27+G28+G29+G30+G31+G32+G33+G34+G35+G36," "),IF(M1=1,AF37,IF(M1=2,AG37," ")))</f>
        <v>0</v>
      </c>
      <c r="H37" s="84">
        <f t="shared" ca="1" si="10"/>
        <v>719730</v>
      </c>
      <c r="I37" s="84">
        <f t="shared" si="11"/>
        <v>200100</v>
      </c>
      <c r="J37" s="84">
        <f t="shared" ca="1" si="12"/>
        <v>562310</v>
      </c>
      <c r="K37" s="84">
        <f t="shared" ca="1" si="13"/>
        <v>0</v>
      </c>
      <c r="L37" s="84">
        <f t="shared" ca="1" si="34"/>
        <v>762410</v>
      </c>
      <c r="M37" s="4">
        <f t="shared" si="14"/>
        <v>12</v>
      </c>
      <c r="N37" s="4">
        <f ca="1">IF(M1=1,IF(M14&gt;11,1,0),IF(M1=2,IF(M14&gt;11,1,0),0))</f>
        <v>1</v>
      </c>
      <c r="O37" s="4">
        <f ca="1">IF(M37=A$14,IF(DATE(YEAR(0),MONTH(0),DAY(D$16)-1)&lt;AW37,DATE(YEAR(0),MONTH(0),DAY(D$16)-1),AW37),AW37)</f>
        <v>20</v>
      </c>
      <c r="P37" s="22">
        <f t="shared" ca="1" si="15"/>
        <v>527560</v>
      </c>
      <c r="Q37" s="22">
        <f t="shared" ca="1" si="16"/>
        <v>527560</v>
      </c>
      <c r="R37" s="22">
        <f t="shared" ca="1" si="17"/>
        <v>9608770</v>
      </c>
      <c r="S37" s="22">
        <f t="shared" si="18"/>
        <v>10004970</v>
      </c>
      <c r="T37" s="95">
        <f t="shared" si="19"/>
        <v>200099.4</v>
      </c>
      <c r="U37" s="19">
        <f t="shared" si="20"/>
        <v>200100</v>
      </c>
      <c r="V37" s="22">
        <f ca="1">IF(N38=1,R36*D11*20/36000+R37*D11*10/36000,IF(N38=0,IF(N37=0,0,R37*D11*Q12/36000+R36*D11*20/36000+R37*D11*10/36000)))</f>
        <v>527556.4305555555</v>
      </c>
      <c r="W37" s="22">
        <f ca="1">IF(N38=1,R36*D11*20/36000+R37*D11*10/36000,IF(N38=0,IF(N37=0,0,R37*D11*Q12/36000+R36*D11*20/36000+R37*D11*10/36000)))</f>
        <v>527556.4305555555</v>
      </c>
      <c r="X37" s="22"/>
      <c r="Y37" s="22"/>
      <c r="Z37" s="22">
        <f t="shared" ca="1" si="21"/>
        <v>650000</v>
      </c>
      <c r="AA37" s="22">
        <f t="shared" si="1"/>
        <v>10244970</v>
      </c>
      <c r="AB37" s="22">
        <f t="shared" ca="1" si="22"/>
        <v>562309.04166666674</v>
      </c>
      <c r="AC37" s="22">
        <f t="shared" ca="1" si="23"/>
        <v>562310</v>
      </c>
      <c r="AD37" s="22">
        <f t="shared" ca="1" si="35"/>
        <v>650000</v>
      </c>
      <c r="AE37" s="22">
        <f ca="1">IF(R38=0,R37*Q12,(R36*20+R37*10))</f>
        <v>292185100</v>
      </c>
      <c r="AF37" s="22">
        <f t="shared" ca="1" si="24"/>
        <v>0</v>
      </c>
      <c r="AG37" s="22">
        <f t="shared" ca="1" si="25"/>
        <v>0</v>
      </c>
      <c r="AH37" s="22">
        <f t="shared" ca="1" si="26"/>
        <v>0</v>
      </c>
      <c r="AI37" s="22">
        <f t="shared" ca="1" si="27"/>
        <v>0</v>
      </c>
      <c r="AJ37" s="22"/>
      <c r="AK37" s="22"/>
      <c r="AL37" s="22">
        <f t="shared" ca="1" si="28"/>
        <v>0</v>
      </c>
      <c r="AM37" s="22">
        <f t="shared" ca="1" si="29"/>
        <v>0</v>
      </c>
      <c r="AN37" s="22">
        <f t="shared" ca="1" si="2"/>
        <v>9608770</v>
      </c>
      <c r="AO37" s="22">
        <f ca="1">IF(N38=1,AN36*G12*20/36000+AN37*G12*10/36000,IF(N38=0,IF(N37=0,0,AN37*G12*Q12/36000+AN36*G12*20/36000+AN37*G12*10/36000)))</f>
        <v>0</v>
      </c>
      <c r="AP37" s="22">
        <f ca="1">IF(N38=1,AN36*G12*20/36000+AN37*G12*10/36000,IF(N38=0,IF(N37=0,0,AN37*G12*Q12/36000+AN36*G12*20/36000+AN37*G12*10/36000)))</f>
        <v>0</v>
      </c>
      <c r="AQ37" s="69">
        <f t="shared" ca="1" si="30"/>
        <v>13</v>
      </c>
      <c r="AR37" s="69">
        <f t="shared" ca="1" si="3"/>
        <v>1</v>
      </c>
      <c r="AS37" s="4">
        <f t="shared" ca="1" si="31"/>
        <v>2024</v>
      </c>
      <c r="AT37" s="4">
        <f t="shared" ca="1" si="4"/>
        <v>2025</v>
      </c>
      <c r="AU37" s="4">
        <f t="shared" ca="1" si="5"/>
        <v>1</v>
      </c>
      <c r="AV37" s="4">
        <f t="shared" ca="1" si="6"/>
        <v>30</v>
      </c>
      <c r="AW37" s="4">
        <f t="shared" si="7"/>
        <v>20</v>
      </c>
      <c r="AX37" s="4">
        <f t="shared" ca="1" si="32"/>
        <v>30</v>
      </c>
      <c r="AY37" s="19">
        <f t="shared" ca="1" si="36"/>
        <v>192170</v>
      </c>
      <c r="AZ37" s="19"/>
      <c r="BA37" s="19"/>
      <c r="BB37" s="19"/>
      <c r="BC37" s="19"/>
      <c r="BD37" s="4">
        <f t="shared" ca="1" si="8"/>
        <v>1</v>
      </c>
      <c r="BE37" s="19"/>
      <c r="BF37" s="94">
        <f t="shared" si="33"/>
        <v>9</v>
      </c>
      <c r="BG37" s="19"/>
      <c r="BH37" s="19"/>
      <c r="BI37" s="120"/>
      <c r="BJ37" s="19"/>
      <c r="BK37" s="19"/>
      <c r="BL37" s="19"/>
      <c r="BM37" s="19"/>
      <c r="BN37" s="19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</row>
    <row r="38" spans="1:146" s="24" customFormat="1" ht="15" customHeight="1">
      <c r="A38" s="19">
        <f t="shared" si="9"/>
        <v>13</v>
      </c>
      <c r="B38" s="268">
        <f ca="1">IF(N38=0,IF(N37=1,"ИТОГО"," "),IF(M38=M14,DATE(YEAR(B37),MONTH(B37),O38),DATE(YEAR(B37),MONTH(B37)+1,O38)))</f>
        <v>45708</v>
      </c>
      <c r="C38" s="401"/>
      <c r="D38" s="443">
        <f ca="1">IF(N38=0,IF(N37=1,SUM(D$26:D37)," "),IF(N38=0,0,IF(N39=1,IF(R38/100*2&lt;&gt;0,AY38,0),IF(N39=0,IF((R38+R38/100*2)&lt;&gt;0,AZ38,0)," "))))</f>
        <v>188330</v>
      </c>
      <c r="E38" s="443"/>
      <c r="F38" s="84">
        <f ca="1">IF(N38=0,IF(N37=1,F26+F27+F28+F29+F30+F31+F32+F33+F34+F35+F36+F37," "),IF(M1=1,P38,IF(M1=2,Q38," ")))</f>
        <v>517000</v>
      </c>
      <c r="G38" s="84">
        <f ca="1">IF(N38=0,IF(N37=1,G26+G27+G28+G29+G30+G31+G32+G33+G34+G35+G36+G37," "),IF(M1=1,AF38,IF(M1=2,AG38," ")))</f>
        <v>0</v>
      </c>
      <c r="H38" s="84">
        <f t="shared" ca="1" si="10"/>
        <v>705330</v>
      </c>
      <c r="I38" s="84">
        <f t="shared" si="11"/>
        <v>196100</v>
      </c>
      <c r="J38" s="84">
        <f t="shared" ca="1" si="12"/>
        <v>551320</v>
      </c>
      <c r="K38" s="84">
        <f t="shared" ca="1" si="13"/>
        <v>0</v>
      </c>
      <c r="L38" s="84">
        <f t="shared" ca="1" si="34"/>
        <v>747420</v>
      </c>
      <c r="M38" s="4">
        <f t="shared" si="14"/>
        <v>13</v>
      </c>
      <c r="N38" s="4">
        <f ca="1">IF(M1=1,IF(M14&gt;12,1,0),IF(M1=2,IF(M14&gt;12,1,0),0))</f>
        <v>1</v>
      </c>
      <c r="O38" s="4">
        <f ca="1">IF(M38=A$14,IF(MONTH(B37)=-2,AX38,DATE(YEAR(0),MONTH(0),DAY(D$16)-1)),AW38)</f>
        <v>20</v>
      </c>
      <c r="P38" s="22">
        <f t="shared" ca="1" si="15"/>
        <v>517000</v>
      </c>
      <c r="Q38" s="22">
        <f t="shared" ca="1" si="16"/>
        <v>517000</v>
      </c>
      <c r="R38" s="22">
        <f t="shared" ca="1" si="17"/>
        <v>9416600</v>
      </c>
      <c r="S38" s="22">
        <f t="shared" si="18"/>
        <v>9804870</v>
      </c>
      <c r="T38" s="95">
        <f t="shared" si="19"/>
        <v>196097.4</v>
      </c>
      <c r="U38" s="19">
        <f t="shared" si="20"/>
        <v>196100</v>
      </c>
      <c r="V38" s="22">
        <f ca="1">IF(N39=1,R37*D$11*20/36000+R38*D$11*10/36000,IF(N39=0,IF(N38=0,0,R38*D$11*Q$12/36000)))</f>
        <v>517005.30555555556</v>
      </c>
      <c r="W38" s="22">
        <f ca="1">IF(N39=1,R37*D$11*20/36000+R38*D$11*10/36000,IF(N39=0,IF(N38=0,0,R38*D$11*Q$12/36000)))</f>
        <v>517005.30555555556</v>
      </c>
      <c r="X38" s="22"/>
      <c r="Y38" s="22"/>
      <c r="Z38" s="22">
        <f t="shared" ca="1" si="21"/>
        <v>650000</v>
      </c>
      <c r="AA38" s="22">
        <f t="shared" si="1"/>
        <v>10044870</v>
      </c>
      <c r="AB38" s="22">
        <f t="shared" ca="1" si="22"/>
        <v>551322.95833333337</v>
      </c>
      <c r="AC38" s="22">
        <f t="shared" ca="1" si="23"/>
        <v>551320</v>
      </c>
      <c r="AD38" s="22">
        <f t="shared" ca="1" si="35"/>
        <v>650000</v>
      </c>
      <c r="AE38" s="22">
        <f ca="1">IF(R39=0,R38*Q12,(R37*20+R38*10))</f>
        <v>286341400</v>
      </c>
      <c r="AF38" s="22">
        <f t="shared" ca="1" si="24"/>
        <v>0</v>
      </c>
      <c r="AG38" s="22">
        <f t="shared" ca="1" si="25"/>
        <v>0</v>
      </c>
      <c r="AH38" s="22">
        <f t="shared" ca="1" si="26"/>
        <v>0</v>
      </c>
      <c r="AI38" s="22">
        <f t="shared" ca="1" si="27"/>
        <v>0</v>
      </c>
      <c r="AJ38" s="22"/>
      <c r="AK38" s="22"/>
      <c r="AL38" s="22">
        <f t="shared" ca="1" si="28"/>
        <v>0</v>
      </c>
      <c r="AM38" s="22">
        <f t="shared" ca="1" si="29"/>
        <v>0</v>
      </c>
      <c r="AN38" s="22">
        <f t="shared" ca="1" si="2"/>
        <v>9416600</v>
      </c>
      <c r="AO38" s="22">
        <f ca="1">IF(N39=1,AN37*G12*20/36000+AN38*G12*10/36000,IF(N39=0,IF(N38=0,0,AN38*G12*Q12/36000)))</f>
        <v>0</v>
      </c>
      <c r="AP38" s="22">
        <f ca="1">IF(N39=1,AN37*G12*20/36000+AN38*G12*10/36000,IF(N39=0,IF(N38=0,0,AN38*G12*Q12/36000)))</f>
        <v>0</v>
      </c>
      <c r="AQ38" s="69">
        <f t="shared" ca="1" si="30"/>
        <v>2</v>
      </c>
      <c r="AR38" s="69">
        <f t="shared" ca="1" si="3"/>
        <v>2</v>
      </c>
      <c r="AS38" s="4">
        <f t="shared" ca="1" si="31"/>
        <v>2025</v>
      </c>
      <c r="AT38" s="4">
        <f t="shared" ca="1" si="4"/>
        <v>2025</v>
      </c>
      <c r="AU38" s="4">
        <f t="shared" ca="1" si="5"/>
        <v>0</v>
      </c>
      <c r="AV38" s="4">
        <f t="shared" ca="1" si="6"/>
        <v>28</v>
      </c>
      <c r="AW38" s="4">
        <f t="shared" si="7"/>
        <v>20</v>
      </c>
      <c r="AX38" s="4">
        <f t="shared" ca="1" si="32"/>
        <v>30</v>
      </c>
      <c r="AY38" s="19">
        <f t="shared" ca="1" si="36"/>
        <v>188330</v>
      </c>
      <c r="AZ38" s="19"/>
      <c r="BA38" s="19"/>
      <c r="BB38" s="19"/>
      <c r="BC38" s="19"/>
      <c r="BD38" s="4">
        <f t="shared" ca="1" si="8"/>
        <v>1</v>
      </c>
      <c r="BE38" s="19"/>
      <c r="BF38" s="94">
        <f t="shared" si="33"/>
        <v>10</v>
      </c>
      <c r="BG38" s="19"/>
      <c r="BH38" s="19"/>
      <c r="BI38" s="120"/>
      <c r="BJ38" s="19"/>
      <c r="BK38" s="19"/>
      <c r="BL38" s="19"/>
      <c r="BM38" s="19"/>
      <c r="BN38" s="19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</row>
    <row r="39" spans="1:146" s="24" customFormat="1" ht="15" customHeight="1">
      <c r="A39" s="4">
        <f t="shared" si="9"/>
        <v>14</v>
      </c>
      <c r="B39" s="268">
        <f ca="1">IF(N39=0,IF(N38=1,"ИТОГО"," "),DATE(YEAR(B38),MONTH(B38)+1,O39))</f>
        <v>45736</v>
      </c>
      <c r="C39" s="401"/>
      <c r="D39" s="443">
        <f ca="1">IF(N39=0,IF(N38=1,SUM(D$26:D38)," "),IF(N39=0,0,IF(N40=1,IF(R39/100*2&lt;&gt;0,AY39,0),IF(N40=0,IF((R39+R39/100*2)&lt;&gt;0,AZ39,0)," "))))</f>
        <v>184560</v>
      </c>
      <c r="E39" s="443"/>
      <c r="F39" s="84">
        <f ca="1">IF(N39=0,IF(N38=1,F26+F27+F28+F29+F30+F31+F32+F33+F34+F35+F36+F37+F38," "),IF(M1=1,P39,IF(M1=2,Q39," ")))</f>
        <v>506660</v>
      </c>
      <c r="G39" s="84">
        <f ca="1">IF(N39=0,IF(N38=1,G26+G27+G28+G29+G30+G31+G32+G33+G34+G35+G36+G37+G38," "),IF(M1=1,AF39,IF(M1=2,AG39," ")))</f>
        <v>0</v>
      </c>
      <c r="H39" s="84">
        <f t="shared" ca="1" si="10"/>
        <v>691220</v>
      </c>
      <c r="I39" s="84">
        <f t="shared" si="11"/>
        <v>192170</v>
      </c>
      <c r="J39" s="84">
        <f t="shared" ca="1" si="12"/>
        <v>540560</v>
      </c>
      <c r="K39" s="84">
        <f t="shared" ca="1" si="13"/>
        <v>0</v>
      </c>
      <c r="L39" s="84">
        <f t="shared" ca="1" si="34"/>
        <v>732730</v>
      </c>
      <c r="M39" s="4">
        <f t="shared" si="14"/>
        <v>14</v>
      </c>
      <c r="N39" s="4">
        <f ca="1">IF(M1=1,IF(M14&gt;13,1,0),IF(M1=2,IF(M14&gt;13,1,0),0))</f>
        <v>1</v>
      </c>
      <c r="O39" s="4">
        <f ca="1">IF(M39=A$14,IF(DATE(YEAR(0),MONTH(0),DAY(D$16)-1)&lt;AW39,DATE(YEAR(0),MONTH(0),DAY(D$16)-1),AW39),AW39)</f>
        <v>20</v>
      </c>
      <c r="P39" s="22">
        <f t="shared" ca="1" si="15"/>
        <v>506660</v>
      </c>
      <c r="Q39" s="22">
        <f t="shared" ca="1" si="16"/>
        <v>506660</v>
      </c>
      <c r="R39" s="22">
        <f t="shared" ca="1" si="17"/>
        <v>9228270</v>
      </c>
      <c r="S39" s="22">
        <f t="shared" si="18"/>
        <v>9608770</v>
      </c>
      <c r="T39" s="95">
        <f t="shared" si="19"/>
        <v>192175.4</v>
      </c>
      <c r="U39" s="19">
        <f t="shared" si="20"/>
        <v>192170</v>
      </c>
      <c r="V39" s="22">
        <f ca="1">IF(N40=1,R38*D11*20/36000+R39*D11*10/36000,IF(N40=0,IF(N39=0,0,R39*D11*Q12/36000+R38*D11*20/36000+R39*D11*10/36000)))</f>
        <v>506665.4305555555</v>
      </c>
      <c r="W39" s="22">
        <f ca="1">IF(N40=1,R38*D11*20/36000+R39*D11*10/36000,IF(N40=0,IF(N39=0,0,R39*D11*Q12/36000+R38*D11*20/36000+R39*D11*10/36000)))</f>
        <v>506665.4305555555</v>
      </c>
      <c r="X39" s="22"/>
      <c r="Y39" s="22"/>
      <c r="Z39" s="22">
        <f t="shared" ca="1" si="21"/>
        <v>650000</v>
      </c>
      <c r="AA39" s="22">
        <f t="shared" si="1"/>
        <v>9848770</v>
      </c>
      <c r="AB39" s="22">
        <f t="shared" ca="1" si="22"/>
        <v>540556.4305555555</v>
      </c>
      <c r="AC39" s="22">
        <f t="shared" ca="1" si="23"/>
        <v>540560</v>
      </c>
      <c r="AD39" s="22">
        <f t="shared" ca="1" si="35"/>
        <v>650000</v>
      </c>
      <c r="AE39" s="22">
        <f ca="1">IF(R40=0,R39*Q12,(R38*20+R39*10))</f>
        <v>280614700</v>
      </c>
      <c r="AF39" s="22">
        <f t="shared" ca="1" si="24"/>
        <v>0</v>
      </c>
      <c r="AG39" s="22">
        <f t="shared" ca="1" si="25"/>
        <v>0</v>
      </c>
      <c r="AH39" s="22">
        <f t="shared" ca="1" si="26"/>
        <v>0</v>
      </c>
      <c r="AI39" s="22">
        <f t="shared" ca="1" si="27"/>
        <v>0</v>
      </c>
      <c r="AJ39" s="22"/>
      <c r="AK39" s="22"/>
      <c r="AL39" s="22">
        <f t="shared" ca="1" si="28"/>
        <v>0</v>
      </c>
      <c r="AM39" s="22">
        <f t="shared" ca="1" si="29"/>
        <v>0</v>
      </c>
      <c r="AN39" s="22">
        <f t="shared" ca="1" si="2"/>
        <v>9228270</v>
      </c>
      <c r="AO39" s="22">
        <f ca="1">IF(N40=1,AN38*G12*20/36000+AN39*G12*10/36000,IF(N40=0,IF(N39=0,0,AN39*G12*Q12/36000+AN38*G12*20/36000+AN39*G12*10/36000)))</f>
        <v>0</v>
      </c>
      <c r="AP39" s="22">
        <f ca="1">IF(N40=1,AN38*G12*20/36000+AN39*G12*10/36000,IF(N40=0,IF(N39=0,0,AN39*G12*Q12/36000+AN38*G12*20/36000+AN39*G12*10/36000)))</f>
        <v>0</v>
      </c>
      <c r="AQ39" s="69">
        <f t="shared" ca="1" si="30"/>
        <v>3</v>
      </c>
      <c r="AR39" s="69">
        <f t="shared" ca="1" si="3"/>
        <v>3</v>
      </c>
      <c r="AS39" s="4">
        <f t="shared" ca="1" si="31"/>
        <v>2025</v>
      </c>
      <c r="AT39" s="4">
        <f t="shared" ca="1" si="4"/>
        <v>2025</v>
      </c>
      <c r="AU39" s="4">
        <f t="shared" ca="1" si="5"/>
        <v>0</v>
      </c>
      <c r="AV39" s="4">
        <f t="shared" ca="1" si="6"/>
        <v>30</v>
      </c>
      <c r="AW39" s="4">
        <f t="shared" si="7"/>
        <v>20</v>
      </c>
      <c r="AX39" s="4">
        <f t="shared" ca="1" si="32"/>
        <v>28</v>
      </c>
      <c r="AY39" s="19">
        <f t="shared" ca="1" si="36"/>
        <v>184560</v>
      </c>
      <c r="AZ39" s="19"/>
      <c r="BA39" s="19"/>
      <c r="BB39" s="19"/>
      <c r="BC39" s="19"/>
      <c r="BD39" s="4">
        <f t="shared" ca="1" si="8"/>
        <v>1</v>
      </c>
      <c r="BE39" s="19"/>
      <c r="BF39" s="94">
        <f t="shared" si="33"/>
        <v>11</v>
      </c>
      <c r="BG39" s="19"/>
      <c r="BH39" s="19"/>
      <c r="BI39" s="120"/>
      <c r="BJ39" s="19"/>
      <c r="BK39" s="19"/>
      <c r="BL39" s="19"/>
      <c r="BM39" s="19"/>
      <c r="BN39" s="19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</row>
    <row r="40" spans="1:146" s="24" customFormat="1" ht="15" customHeight="1">
      <c r="A40" s="4">
        <f t="shared" si="9"/>
        <v>15</v>
      </c>
      <c r="B40" s="268">
        <f ca="1">IF(N40=0,IF(N39=1,"ИТОГО"," "),DATE(YEAR(B39),MONTH(B39)+1,O40))</f>
        <v>45767</v>
      </c>
      <c r="C40" s="401"/>
      <c r="D40" s="443">
        <f ca="1">IF(N40=0,IF(N39=1,SUM(D$26:D39)," "),IF(N40=0,0,IF(N41=1,IF(R40/100*2&lt;&gt;0,AY40,0),IF(N41=0,IF((R40+R40/100*2)&lt;&gt;0,AZ40,0)," "))))</f>
        <v>180870</v>
      </c>
      <c r="E40" s="443"/>
      <c r="F40" s="84">
        <f ca="1">IF(N40=0,IF(N39=1,F26+F27+F28+F29+F30+F31+F32+F33+F34+F35+F36+F37+F38+F39," "),IF(M1=1,P40,IF(M1=2,Q40," ")))</f>
        <v>496530</v>
      </c>
      <c r="G40" s="84">
        <f ca="1">IF(N40=0,IF(N39=1,G26+G27+G28+G29+G30+G31+G32+G33+G34+G35+G36+G37+G38+G39," "),IF(M1=1,AF40,IF(M1=2,AG40," ")))</f>
        <v>0</v>
      </c>
      <c r="H40" s="84">
        <f t="shared" ca="1" si="10"/>
        <v>677400</v>
      </c>
      <c r="I40" s="84">
        <f t="shared" si="11"/>
        <v>188330</v>
      </c>
      <c r="J40" s="84">
        <f t="shared" ca="1" si="12"/>
        <v>530000</v>
      </c>
      <c r="K40" s="84">
        <f t="shared" ca="1" si="13"/>
        <v>0</v>
      </c>
      <c r="L40" s="84">
        <f t="shared" ca="1" si="34"/>
        <v>718330</v>
      </c>
      <c r="M40" s="4">
        <f t="shared" si="14"/>
        <v>15</v>
      </c>
      <c r="N40" s="4">
        <f ca="1">IF(M1=1,IF(M14&gt;14,1,0),IF(M1=2,IF(M14&gt;14,1,0),0))</f>
        <v>1</v>
      </c>
      <c r="O40" s="4">
        <f ca="1">IF(M40=A$14,IF(DATE(YEAR(0),MONTH(0),DAY(D$16)-1)&lt;AW40,DATE(YEAR(0),MONTH(0),DAY(D$16)-1),AW40),AW40)</f>
        <v>20</v>
      </c>
      <c r="P40" s="22">
        <f t="shared" ca="1" si="15"/>
        <v>496530</v>
      </c>
      <c r="Q40" s="22">
        <f t="shared" ca="1" si="16"/>
        <v>496530</v>
      </c>
      <c r="R40" s="22">
        <f t="shared" ca="1" si="17"/>
        <v>9043710</v>
      </c>
      <c r="S40" s="22">
        <f t="shared" si="18"/>
        <v>9416600</v>
      </c>
      <c r="T40" s="95">
        <f t="shared" si="19"/>
        <v>188332</v>
      </c>
      <c r="U40" s="19">
        <f t="shared" si="20"/>
        <v>188330</v>
      </c>
      <c r="V40" s="22">
        <f ca="1">IF(N41=1,R39*D11*20/36000+R40*D11*10/36000,IF(N41=0,IF(N40=0,0,R40*D11*Q12/36000+R39*D11*20/36000+R40*D11*10/36000)))</f>
        <v>496532.29166666663</v>
      </c>
      <c r="W40" s="22">
        <f ca="1">IF(N41=1,R39*D11*20/36000+R40*D11*10/36000,IF(N41=0,IF(N40=0,0,R40*D11*Q12/36000+R39*D11*20/36000+R40*D11*10/36000)))</f>
        <v>496532.29166666663</v>
      </c>
      <c r="X40" s="22"/>
      <c r="Y40" s="22"/>
      <c r="Z40" s="22">
        <f t="shared" ca="1" si="21"/>
        <v>650000</v>
      </c>
      <c r="AA40" s="22">
        <f t="shared" si="1"/>
        <v>9656600</v>
      </c>
      <c r="AB40" s="22">
        <f t="shared" ca="1" si="22"/>
        <v>530005.3055555555</v>
      </c>
      <c r="AC40" s="22">
        <f t="shared" ca="1" si="23"/>
        <v>530000</v>
      </c>
      <c r="AD40" s="22">
        <f t="shared" ca="1" si="35"/>
        <v>650000</v>
      </c>
      <c r="AE40" s="22">
        <f ca="1">IF(R41=0,R40*Q12,(R39*20+R40*10))</f>
        <v>275002500</v>
      </c>
      <c r="AF40" s="22">
        <f t="shared" ca="1" si="24"/>
        <v>0</v>
      </c>
      <c r="AG40" s="22">
        <f t="shared" ca="1" si="25"/>
        <v>0</v>
      </c>
      <c r="AH40" s="22">
        <f t="shared" ca="1" si="26"/>
        <v>0</v>
      </c>
      <c r="AI40" s="22">
        <f t="shared" ca="1" si="27"/>
        <v>0</v>
      </c>
      <c r="AJ40" s="22"/>
      <c r="AK40" s="22"/>
      <c r="AL40" s="22">
        <f t="shared" ca="1" si="28"/>
        <v>0</v>
      </c>
      <c r="AM40" s="22">
        <f t="shared" ca="1" si="29"/>
        <v>0</v>
      </c>
      <c r="AN40" s="22">
        <f t="shared" ca="1" si="2"/>
        <v>9043710</v>
      </c>
      <c r="AO40" s="22">
        <f ca="1">IF(N41=1,AN39*G12*20/36000+AN40*G12*10/36000,IF(N41=0,IF(N40=0,0,AN40*G12*Q12/36000+AN39*G12*20/36000+AN40*G12*10/36000)))</f>
        <v>0</v>
      </c>
      <c r="AP40" s="22">
        <f ca="1">IF(N41=1,AN39*G12*20/36000+AN40*G12*10/36000,IF(N41=0,IF(N40=0,0,AN40*G12*Q12/36000+AN39*G12*20/36000+AN40*G12*10/36000)))</f>
        <v>0</v>
      </c>
      <c r="AQ40" s="69">
        <f t="shared" ca="1" si="30"/>
        <v>4</v>
      </c>
      <c r="AR40" s="69">
        <f t="shared" ca="1" si="3"/>
        <v>4</v>
      </c>
      <c r="AS40" s="4">
        <f t="shared" ca="1" si="31"/>
        <v>2025</v>
      </c>
      <c r="AT40" s="4">
        <f t="shared" ca="1" si="4"/>
        <v>2025</v>
      </c>
      <c r="AU40" s="4">
        <f t="shared" ca="1" si="5"/>
        <v>0</v>
      </c>
      <c r="AV40" s="4">
        <f t="shared" ca="1" si="6"/>
        <v>30</v>
      </c>
      <c r="AW40" s="4">
        <f t="shared" si="7"/>
        <v>20</v>
      </c>
      <c r="AX40" s="4">
        <f t="shared" ca="1" si="32"/>
        <v>30</v>
      </c>
      <c r="AY40" s="19">
        <f t="shared" ca="1" si="36"/>
        <v>180870</v>
      </c>
      <c r="AZ40" s="19"/>
      <c r="BA40" s="19"/>
      <c r="BB40" s="19"/>
      <c r="BC40" s="19"/>
      <c r="BD40" s="4">
        <f t="shared" ca="1" si="8"/>
        <v>1</v>
      </c>
      <c r="BE40" s="19"/>
      <c r="BF40" s="94">
        <f t="shared" si="33"/>
        <v>12</v>
      </c>
      <c r="BG40" s="19"/>
      <c r="BH40" s="19"/>
      <c r="BI40" s="120"/>
      <c r="BJ40" s="19"/>
      <c r="BK40" s="19"/>
      <c r="BL40" s="19"/>
      <c r="BM40" s="19"/>
      <c r="BN40" s="19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</row>
    <row r="41" spans="1:146" s="24" customFormat="1" ht="15" customHeight="1">
      <c r="A41" s="4">
        <f t="shared" si="9"/>
        <v>16</v>
      </c>
      <c r="B41" s="268">
        <f ca="1">IF(N41=0,IF(N40=1,"ИТОГО"," "),DATE(YEAR(B40),MONTH(B40)+1,O41))</f>
        <v>45797</v>
      </c>
      <c r="C41" s="401"/>
      <c r="D41" s="443">
        <f ca="1">IF(N41=0,IF(N40=1,SUM(D$26:D40)," "),IF(N41=0,0,IF(N42=1,IF(R41/100*2&lt;&gt;0,AY41,0),IF(N42=0,IF((R41+R41/100*2)&lt;&gt;0,AZ41,0)," "))))</f>
        <v>177260</v>
      </c>
      <c r="E41" s="443"/>
      <c r="F41" s="84">
        <f ca="1">IF(N41=0,IF(N40=1,F26+F27+F28+F29+F30+F31+F32+F33+F34+F35+F36+F37+F38+F39+F40," "),IF(M1=1,P41,IF(M1=2,Q41," ")))</f>
        <v>486600</v>
      </c>
      <c r="G41" s="84">
        <f ca="1">IF(N41=0,IF(N40=1,G26+G27+G28+G29+G30+G31+G32+G33+G34+G35+G36+G37+G38+G39+G40," "),IF(M1=1,AF41,IF(M1=2,AG41," ")))</f>
        <v>0</v>
      </c>
      <c r="H41" s="84">
        <f t="shared" ca="1" si="10"/>
        <v>663860</v>
      </c>
      <c r="I41" s="84">
        <f t="shared" si="11"/>
        <v>184560</v>
      </c>
      <c r="J41" s="84">
        <f t="shared" ca="1" si="12"/>
        <v>519660</v>
      </c>
      <c r="K41" s="84">
        <f t="shared" ca="1" si="13"/>
        <v>0</v>
      </c>
      <c r="L41" s="84">
        <f t="shared" ca="1" si="34"/>
        <v>704220</v>
      </c>
      <c r="M41" s="4">
        <f t="shared" si="14"/>
        <v>16</v>
      </c>
      <c r="N41" s="4">
        <f ca="1">IF(M1=1,IF(M14&gt;15,1,0),IF(M1=2,IF(M14&gt;15,1,0),0))</f>
        <v>1</v>
      </c>
      <c r="O41" s="4">
        <f ca="1">IF(M41=A$14,IF(DATE(YEAR(0),MONTH(0),DAY(D$16)-1)&lt;AW41,DATE(YEAR(0),MONTH(0),DAY(D$16)-1),AW41),AW41)</f>
        <v>20</v>
      </c>
      <c r="P41" s="22">
        <f t="shared" ca="1" si="15"/>
        <v>486600</v>
      </c>
      <c r="Q41" s="22">
        <f t="shared" ca="1" si="16"/>
        <v>486600</v>
      </c>
      <c r="R41" s="22">
        <f t="shared" ca="1" si="17"/>
        <v>8862840</v>
      </c>
      <c r="S41" s="22">
        <f t="shared" si="18"/>
        <v>9228270</v>
      </c>
      <c r="T41" s="95">
        <f t="shared" si="19"/>
        <v>184565.4</v>
      </c>
      <c r="U41" s="19">
        <f t="shared" si="20"/>
        <v>184560</v>
      </c>
      <c r="V41" s="22">
        <f ca="1">IF(N42=1,R40*D11*20/36000+R41*D11*10/36000,IF(N42=0,IF(N41=0,0,R41*D11*Q12/36000+R40*D11*20/36000+R41*D11*10/36000)))</f>
        <v>486601.91666666669</v>
      </c>
      <c r="W41" s="22">
        <f ca="1">IF(N42=1,R40*D11*20/36000+R41*D11*10/36000,IF(N42=0,IF(N41=0,0,R41*D11*Q12/36000+R40*D11*20/36000+R41*D11*10/36000)))</f>
        <v>486601.91666666669</v>
      </c>
      <c r="X41" s="22"/>
      <c r="Y41" s="22"/>
      <c r="Z41" s="22">
        <f t="shared" ca="1" si="21"/>
        <v>650000</v>
      </c>
      <c r="AA41" s="22">
        <f t="shared" si="1"/>
        <v>9468270</v>
      </c>
      <c r="AB41" s="22">
        <f t="shared" ca="1" si="22"/>
        <v>519665.43055555556</v>
      </c>
      <c r="AC41" s="22">
        <f t="shared" ca="1" si="23"/>
        <v>519660</v>
      </c>
      <c r="AD41" s="22">
        <f t="shared" ca="1" si="35"/>
        <v>650000</v>
      </c>
      <c r="AE41" s="22">
        <f ca="1">IF(R42=0,R41*Q12,(R40*20+R41*10))</f>
        <v>269502600</v>
      </c>
      <c r="AF41" s="22">
        <f t="shared" ca="1" si="24"/>
        <v>0</v>
      </c>
      <c r="AG41" s="22">
        <f t="shared" ca="1" si="25"/>
        <v>0</v>
      </c>
      <c r="AH41" s="22">
        <f t="shared" ca="1" si="26"/>
        <v>0</v>
      </c>
      <c r="AI41" s="22">
        <f t="shared" ca="1" si="27"/>
        <v>0</v>
      </c>
      <c r="AJ41" s="22"/>
      <c r="AK41" s="22"/>
      <c r="AL41" s="22">
        <f t="shared" ca="1" si="28"/>
        <v>0</v>
      </c>
      <c r="AM41" s="22">
        <f t="shared" ca="1" si="29"/>
        <v>0</v>
      </c>
      <c r="AN41" s="22">
        <f t="shared" ca="1" si="2"/>
        <v>8862840</v>
      </c>
      <c r="AO41" s="22">
        <f ca="1">IF(N42=1,AN40*G12*20/36000+AN41*G12*10/36000,IF(N42=0,IF(N41=0,0,AN41*G12*Q12/36000+AN40*G12*20/36000+AN41*G12*10/36000)))</f>
        <v>0</v>
      </c>
      <c r="AP41" s="22">
        <f ca="1">IF(N42=1,AN40*G12*20/36000+AN41*G12*10/36000,IF(N42=0,IF(N41=0,0,AN41*G12*Q12/36000+AN40*G12*20/36000+AN41*G12*10/36000)))</f>
        <v>0</v>
      </c>
      <c r="AQ41" s="69">
        <f t="shared" ca="1" si="30"/>
        <v>5</v>
      </c>
      <c r="AR41" s="69">
        <f t="shared" ca="1" si="3"/>
        <v>5</v>
      </c>
      <c r="AS41" s="4">
        <f t="shared" ca="1" si="31"/>
        <v>2025</v>
      </c>
      <c r="AT41" s="4">
        <f t="shared" ca="1" si="4"/>
        <v>2025</v>
      </c>
      <c r="AU41" s="4">
        <f t="shared" ca="1" si="5"/>
        <v>0</v>
      </c>
      <c r="AV41" s="4">
        <f t="shared" ca="1" si="6"/>
        <v>30</v>
      </c>
      <c r="AW41" s="4">
        <f t="shared" si="7"/>
        <v>20</v>
      </c>
      <c r="AX41" s="4">
        <f t="shared" ca="1" si="32"/>
        <v>30</v>
      </c>
      <c r="AY41" s="19">
        <f t="shared" ca="1" si="36"/>
        <v>177260</v>
      </c>
      <c r="AZ41" s="19"/>
      <c r="BA41" s="19"/>
      <c r="BB41" s="19"/>
      <c r="BC41" s="19"/>
      <c r="BD41" s="4">
        <f t="shared" ca="1" si="8"/>
        <v>1</v>
      </c>
      <c r="BE41" s="19"/>
      <c r="BF41" s="94">
        <f t="shared" si="33"/>
        <v>13</v>
      </c>
      <c r="BG41" s="19"/>
      <c r="BH41" s="19"/>
      <c r="BI41" s="120"/>
      <c r="BJ41" s="19"/>
      <c r="BK41" s="19"/>
      <c r="BL41" s="19"/>
      <c r="BM41" s="19"/>
      <c r="BN41" s="19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</row>
    <row r="42" spans="1:146" s="24" customFormat="1" ht="15" customHeight="1">
      <c r="A42" s="4">
        <f t="shared" si="9"/>
        <v>17</v>
      </c>
      <c r="B42" s="268">
        <f ca="1">IF(N42=0,IF(N41=1,"ИТОГО"," "),DATE(YEAR(B41),MONTH(B41)+1,O42))</f>
        <v>45828</v>
      </c>
      <c r="C42" s="401"/>
      <c r="D42" s="443">
        <f ca="1">IF(N42=0,IF(N41=1,SUM(D$26:D41)," "),IF(N42=0,0,IF(N43=1,IF(R42/100*2&lt;&gt;0,AY42,0),IF(N43=0,IF((R42+R42/100*2)&lt;&gt;0,AZ42,0)," "))))</f>
        <v>173710</v>
      </c>
      <c r="E42" s="443"/>
      <c r="F42" s="84">
        <f ca="1">IF(N42=0,IF(N41=1,F26+F27+F28+F29+F30+F31+F32+F33+F34+F35+F37+F36+F38+F39+F40+F41," "),IF(M1=1,P42,IF(M1=2,Q42," ")))</f>
        <v>476870</v>
      </c>
      <c r="G42" s="84">
        <f ca="1">IF(N42=0,IF(N41=1,G26+G27+G28+G29+G30+G31+G32+G33+G34+G35+G37+G36+G38+G39+G40+G41," "),IF(M1=1,AF42,IF(M1=2,AG42," ")))</f>
        <v>0</v>
      </c>
      <c r="H42" s="84">
        <f t="shared" ca="1" si="10"/>
        <v>650580</v>
      </c>
      <c r="I42" s="84">
        <f t="shared" si="11"/>
        <v>180870</v>
      </c>
      <c r="J42" s="84">
        <f t="shared" ca="1" si="12"/>
        <v>509530</v>
      </c>
      <c r="K42" s="84">
        <f t="shared" ca="1" si="13"/>
        <v>0</v>
      </c>
      <c r="L42" s="84">
        <f t="shared" ca="1" si="34"/>
        <v>690400</v>
      </c>
      <c r="M42" s="4">
        <f t="shared" si="14"/>
        <v>17</v>
      </c>
      <c r="N42" s="4">
        <f ca="1">IF(M1=1,IF(M14&gt;16,1,0),IF(M1=2,IF(M14&gt;16,1,0),0))</f>
        <v>1</v>
      </c>
      <c r="O42" s="4">
        <f ca="1">IF(M42=A$14,IF(DATE(YEAR(0),MONTH(0),DAY(D$16)-1)&lt;AW42,DATE(YEAR(0),MONTH(0),DAY(D$16)-1),AW42),AW42)</f>
        <v>20</v>
      </c>
      <c r="P42" s="22">
        <f t="shared" ca="1" si="15"/>
        <v>476870</v>
      </c>
      <c r="Q42" s="22">
        <f t="shared" ca="1" si="16"/>
        <v>476870</v>
      </c>
      <c r="R42" s="22">
        <f t="shared" ca="1" si="17"/>
        <v>8685580</v>
      </c>
      <c r="S42" s="22">
        <f t="shared" si="18"/>
        <v>9043710</v>
      </c>
      <c r="T42" s="95">
        <f t="shared" si="19"/>
        <v>180874.2</v>
      </c>
      <c r="U42" s="19">
        <f t="shared" si="20"/>
        <v>180870</v>
      </c>
      <c r="V42" s="22">
        <f ca="1">IF(N43=1,R41*D11*20/36000+R42*D11*10/36000,IF(N43=0,IF(N42=0,0,R42*D11*Q12/36000+R41*D11*20/36000+R42*D11*10/36000)))</f>
        <v>476869.97222222225</v>
      </c>
      <c r="W42" s="22">
        <f ca="1">IF(N43=1,R41*D11*20/36000+R42*D11*10/36000,IF(N43=0,IF(N42=0,0,R42*D11*Q12/36000+R41*D11*20/36000+R42*D11*10/36000)))</f>
        <v>476869.97222222225</v>
      </c>
      <c r="X42" s="22"/>
      <c r="Y42" s="22"/>
      <c r="Z42" s="22">
        <f t="shared" ca="1" si="21"/>
        <v>650000</v>
      </c>
      <c r="AA42" s="22">
        <f t="shared" si="1"/>
        <v>9283710</v>
      </c>
      <c r="AB42" s="22">
        <f t="shared" ca="1" si="22"/>
        <v>509532.29166666663</v>
      </c>
      <c r="AC42" s="22">
        <f t="shared" ca="1" si="23"/>
        <v>509530</v>
      </c>
      <c r="AD42" s="22">
        <f t="shared" ca="1" si="35"/>
        <v>650000</v>
      </c>
      <c r="AE42" s="22">
        <f ca="1">IF(R43=0,R42*Q12,(R41*20+R42*10))</f>
        <v>264112600</v>
      </c>
      <c r="AF42" s="22">
        <f t="shared" ca="1" si="24"/>
        <v>0</v>
      </c>
      <c r="AG42" s="22">
        <f t="shared" ca="1" si="25"/>
        <v>0</v>
      </c>
      <c r="AH42" s="22">
        <f t="shared" ca="1" si="26"/>
        <v>0</v>
      </c>
      <c r="AI42" s="22">
        <f t="shared" ca="1" si="27"/>
        <v>0</v>
      </c>
      <c r="AJ42" s="22"/>
      <c r="AK42" s="22"/>
      <c r="AL42" s="22">
        <f t="shared" ca="1" si="28"/>
        <v>0</v>
      </c>
      <c r="AM42" s="22">
        <f t="shared" ca="1" si="29"/>
        <v>0</v>
      </c>
      <c r="AN42" s="22">
        <f t="shared" ca="1" si="2"/>
        <v>8685580</v>
      </c>
      <c r="AO42" s="22">
        <f ca="1">IF(N43=1,AN41*G12*20/36000+AN42*G12*10/36000,IF(N43=0,IF(N42=0,0,AN42*G12*Q12/36000+AN41*G12*20/36000+AN42*G12*10/36000)))</f>
        <v>0</v>
      </c>
      <c r="AP42" s="22">
        <f ca="1">IF(N43=1,AN41*G12*20/36000+AN42*G12*10/36000,IF(N43=0,IF(N42=0,0,AN42*G12*Q12/36000+AN41*G12*20/36000+AN42*G12*10/36000)))</f>
        <v>0</v>
      </c>
      <c r="AQ42" s="69">
        <f t="shared" ca="1" si="30"/>
        <v>6</v>
      </c>
      <c r="AR42" s="69">
        <f t="shared" ca="1" si="3"/>
        <v>6</v>
      </c>
      <c r="AS42" s="4">
        <f t="shared" ca="1" si="31"/>
        <v>2025</v>
      </c>
      <c r="AT42" s="4">
        <f t="shared" ca="1" si="4"/>
        <v>2025</v>
      </c>
      <c r="AU42" s="4">
        <f t="shared" ca="1" si="5"/>
        <v>0</v>
      </c>
      <c r="AV42" s="4">
        <f t="shared" ca="1" si="6"/>
        <v>30</v>
      </c>
      <c r="AW42" s="4">
        <f t="shared" si="7"/>
        <v>20</v>
      </c>
      <c r="AX42" s="4">
        <f t="shared" ca="1" si="32"/>
        <v>30</v>
      </c>
      <c r="AY42" s="19">
        <f t="shared" ca="1" si="36"/>
        <v>173710</v>
      </c>
      <c r="AZ42" s="19"/>
      <c r="BA42" s="19"/>
      <c r="BB42" s="19"/>
      <c r="BC42" s="19"/>
      <c r="BD42" s="4">
        <f t="shared" ca="1" si="8"/>
        <v>1</v>
      </c>
      <c r="BE42" s="19"/>
      <c r="BF42" s="94">
        <f t="shared" si="33"/>
        <v>14</v>
      </c>
      <c r="BG42" s="19"/>
      <c r="BH42" s="19"/>
      <c r="BI42" s="120"/>
      <c r="BJ42" s="19"/>
      <c r="BK42" s="19"/>
      <c r="BL42" s="19"/>
      <c r="BM42" s="19"/>
      <c r="BN42" s="19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</row>
    <row r="43" spans="1:146" s="24" customFormat="1" ht="15" customHeight="1">
      <c r="A43" s="4">
        <f t="shared" si="9"/>
        <v>18</v>
      </c>
      <c r="B43" s="268">
        <f ca="1">IF(N43=0,IF(N42=1,"ИТОГО"," "),DATE(YEAR(B42),MONTH(B42)+1,O43))</f>
        <v>45858</v>
      </c>
      <c r="C43" s="401"/>
      <c r="D43" s="443">
        <f ca="1">IF(N43=0,IF(N42=1,SUM(D$26:D42)," "),IF(N43=0,0,IF(N44=1,IF(R43/100*2&lt;&gt;0,AY43,0),IF(N44=0,IF((R43+R43/100*2)&lt;&gt;0,AZ43,0)," "))))</f>
        <v>170240</v>
      </c>
      <c r="E43" s="443"/>
      <c r="F43" s="84">
        <f ca="1">IF(N43=0,IF(N42=1,F26+F27+F28+F29+F30+F31+F32+F33+F34+F35+F36+F37+F38+F39+F40+F41+F42," "),IF(M1=1,P43,IF(M1=2,Q43," ")))</f>
        <v>467330</v>
      </c>
      <c r="G43" s="84">
        <f ca="1">IF(N43=0,IF(N42=1,G26+G27+G28+G29+G30+G31+G32+G33+G34+G35+G36+G37+G38+G39+G40+G41+G42," "),IF(M1=1,AF43,IF(M1=2,AG43," ")))</f>
        <v>0</v>
      </c>
      <c r="H43" s="84">
        <f t="shared" ca="1" si="10"/>
        <v>637570</v>
      </c>
      <c r="I43" s="84">
        <f t="shared" si="11"/>
        <v>177260</v>
      </c>
      <c r="J43" s="84">
        <f t="shared" ca="1" si="12"/>
        <v>499600</v>
      </c>
      <c r="K43" s="84">
        <f t="shared" ca="1" si="13"/>
        <v>0</v>
      </c>
      <c r="L43" s="84">
        <f t="shared" ca="1" si="34"/>
        <v>676860</v>
      </c>
      <c r="M43" s="4">
        <f t="shared" si="14"/>
        <v>18</v>
      </c>
      <c r="N43" s="4">
        <f ca="1">IF(M1=1,IF(M14&gt;17,1,0),IF(M1=2,IF(M14&gt;17,1,0),0))</f>
        <v>1</v>
      </c>
      <c r="O43" s="4">
        <f ca="1">IF(M43=A$14,IF(DATE(YEAR(0),MONTH(0),DAY(D$16)-1)&lt;AW43,DATE(YEAR(0),MONTH(0),DAY(D$16)-1),AW43),AW43)</f>
        <v>20</v>
      </c>
      <c r="P43" s="22">
        <f t="shared" ca="1" si="15"/>
        <v>467330</v>
      </c>
      <c r="Q43" s="22">
        <f t="shared" ca="1" si="16"/>
        <v>467330</v>
      </c>
      <c r="R43" s="22">
        <f t="shared" ca="1" si="17"/>
        <v>8511870</v>
      </c>
      <c r="S43" s="22">
        <f t="shared" si="18"/>
        <v>8862840</v>
      </c>
      <c r="T43" s="95">
        <f t="shared" si="19"/>
        <v>177256.8</v>
      </c>
      <c r="U43" s="19">
        <f t="shared" si="20"/>
        <v>177260</v>
      </c>
      <c r="V43" s="22">
        <f ca="1">IF(N44=1,R42*D11*20/36000+R43*D11*10/36000,IF(N44=0,IF(N43=0,0,R43*D11*Q12/36000+R42*D11*20/36000+R43*D11*10/36000)))</f>
        <v>467332.48611111112</v>
      </c>
      <c r="W43" s="22">
        <f ca="1">IF(N44=1,R42*D11*20/36000+R43*D11*10/36000,IF(N44=0,IF(N43=0,0,R43*D11*Q12/36000+R42*D11*20/36000+R43*D11*10/36000)))</f>
        <v>467332.48611111112</v>
      </c>
      <c r="X43" s="22"/>
      <c r="Y43" s="22"/>
      <c r="Z43" s="22">
        <f t="shared" ca="1" si="21"/>
        <v>650000</v>
      </c>
      <c r="AA43" s="22">
        <f t="shared" si="1"/>
        <v>9102840</v>
      </c>
      <c r="AB43" s="22">
        <f t="shared" ca="1" si="22"/>
        <v>499601.91666666663</v>
      </c>
      <c r="AC43" s="22">
        <f t="shared" ca="1" si="23"/>
        <v>499600</v>
      </c>
      <c r="AD43" s="22">
        <f t="shared" ca="1" si="35"/>
        <v>650000</v>
      </c>
      <c r="AE43" s="22">
        <f ca="1">IF(R44=0,R43*Q12,(R42*20+R43*10))</f>
        <v>258830300</v>
      </c>
      <c r="AF43" s="22">
        <f t="shared" ca="1" si="24"/>
        <v>0</v>
      </c>
      <c r="AG43" s="22">
        <f t="shared" ca="1" si="25"/>
        <v>0</v>
      </c>
      <c r="AH43" s="22">
        <f t="shared" ca="1" si="26"/>
        <v>0</v>
      </c>
      <c r="AI43" s="22">
        <f t="shared" ca="1" si="27"/>
        <v>0</v>
      </c>
      <c r="AJ43" s="22"/>
      <c r="AK43" s="22"/>
      <c r="AL43" s="22">
        <f t="shared" ca="1" si="28"/>
        <v>0</v>
      </c>
      <c r="AM43" s="22">
        <f t="shared" ca="1" si="29"/>
        <v>0</v>
      </c>
      <c r="AN43" s="22">
        <f t="shared" ca="1" si="2"/>
        <v>8511870</v>
      </c>
      <c r="AO43" s="22">
        <f ca="1">IF(N44=1,AN42*G12*20/36000+AN43*G12*10/36000,IF(N44=0,IF(N43=0,0,AN43*G12*Q12/36000+AN42*G12*20/36000+AN43*G12*10/36000)))</f>
        <v>0</v>
      </c>
      <c r="AP43" s="22">
        <f ca="1">IF(N44=1,AN42*G12*20/36000+AN43*G12*10/36000,IF(N44=0,IF(N43=0,0,AN43*G12*Q12/36000+AN42*G12*20/36000+AN43*G12*10/36000)))</f>
        <v>0</v>
      </c>
      <c r="AQ43" s="69">
        <f t="shared" ca="1" si="30"/>
        <v>7</v>
      </c>
      <c r="AR43" s="69">
        <f t="shared" ca="1" si="3"/>
        <v>7</v>
      </c>
      <c r="AS43" s="4">
        <f t="shared" ca="1" si="31"/>
        <v>2025</v>
      </c>
      <c r="AT43" s="4">
        <f t="shared" ca="1" si="4"/>
        <v>2025</v>
      </c>
      <c r="AU43" s="4">
        <f t="shared" ca="1" si="5"/>
        <v>0</v>
      </c>
      <c r="AV43" s="4">
        <f t="shared" ca="1" si="6"/>
        <v>30</v>
      </c>
      <c r="AW43" s="4">
        <f t="shared" si="7"/>
        <v>20</v>
      </c>
      <c r="AX43" s="4">
        <f t="shared" ca="1" si="32"/>
        <v>30</v>
      </c>
      <c r="AY43" s="19">
        <f t="shared" ca="1" si="36"/>
        <v>170240</v>
      </c>
      <c r="AZ43" s="19"/>
      <c r="BA43" s="19"/>
      <c r="BB43" s="19"/>
      <c r="BC43" s="19"/>
      <c r="BD43" s="4">
        <f t="shared" ca="1" si="8"/>
        <v>1</v>
      </c>
      <c r="BE43" s="19"/>
      <c r="BF43" s="94">
        <f t="shared" si="33"/>
        <v>15</v>
      </c>
      <c r="BG43" s="19"/>
      <c r="BH43" s="19"/>
      <c r="BI43" s="120"/>
      <c r="BJ43" s="19"/>
      <c r="BK43" s="19"/>
      <c r="BL43" s="19"/>
      <c r="BM43" s="19"/>
      <c r="BN43" s="19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</row>
    <row r="44" spans="1:146" s="24" customFormat="1" ht="15" customHeight="1">
      <c r="A44" s="19">
        <f t="shared" si="9"/>
        <v>19</v>
      </c>
      <c r="B44" s="268">
        <f ca="1">IF(N44=0,IF(N43=1,"ИТОГО"," "),IF(M44=M$14,DATE(YEAR(B43),MONTH(B43),O44),DATE(YEAR(B43),MONTH(B43)+1,O44)))</f>
        <v>45889</v>
      </c>
      <c r="C44" s="401"/>
      <c r="D44" s="443">
        <f ca="1">IF(N44=0,IF(N43=1,SUM(D$26:D43)," "),IF(N44=0,0,IF(N45=1,IF(R44/100*2&lt;&gt;0,AY44,0),IF(N45=0,IF((R44+R44/100*2)&lt;&gt;0,AZ44,0)," "))))</f>
        <v>166830</v>
      </c>
      <c r="E44" s="443"/>
      <c r="F44" s="84">
        <f ca="1">IF(N44=0,IF(N43=1,F26+F27+F28+F29+F30+F31+F32+F33+F34+F35+F36+F37+F38+F39+F40+F41+F42+F43," "),IF(M1=1,P44,IF(M1=2,Q44," ")))</f>
        <v>457990</v>
      </c>
      <c r="G44" s="84">
        <f ca="1">IF(N44=0,IF(N43=1,G26+G27+G28+G29+G30+G31+G32+G33+G34+G35+G36+G37+G38+G39+G40+G41+G42+G43," "),IF(M1=1,AF44,IF(M1=2,AG44," ")))</f>
        <v>0</v>
      </c>
      <c r="H44" s="84">
        <f t="shared" ca="1" si="10"/>
        <v>624820</v>
      </c>
      <c r="I44" s="84">
        <f t="shared" si="11"/>
        <v>173710</v>
      </c>
      <c r="J44" s="84">
        <f t="shared" ca="1" si="12"/>
        <v>489870</v>
      </c>
      <c r="K44" s="84">
        <f t="shared" ca="1" si="13"/>
        <v>0</v>
      </c>
      <c r="L44" s="84">
        <f t="shared" ca="1" si="34"/>
        <v>663580</v>
      </c>
      <c r="M44" s="4">
        <f t="shared" si="14"/>
        <v>19</v>
      </c>
      <c r="N44" s="4">
        <f ca="1">IF(M1=1,IF(M14&gt;18,1,0),IF(M1=2,IF(M14&gt;18,1,0),0))</f>
        <v>1</v>
      </c>
      <c r="O44" s="4">
        <f ca="1">IF(M44=A$14,IF(MONTH(B43)=-2,AX44,DATE(YEAR(0),MONTH(0),DAY(D$16)-1)),AW44)</f>
        <v>20</v>
      </c>
      <c r="P44" s="22">
        <f t="shared" ca="1" si="15"/>
        <v>457990</v>
      </c>
      <c r="Q44" s="22">
        <f t="shared" ca="1" si="16"/>
        <v>457990</v>
      </c>
      <c r="R44" s="22">
        <f t="shared" ca="1" si="17"/>
        <v>8341630</v>
      </c>
      <c r="S44" s="22">
        <f t="shared" si="18"/>
        <v>8685580</v>
      </c>
      <c r="T44" s="95">
        <f t="shared" si="19"/>
        <v>173711.6</v>
      </c>
      <c r="U44" s="19">
        <f t="shared" si="20"/>
        <v>173710</v>
      </c>
      <c r="V44" s="22">
        <f ca="1">IF(N45=1,R43*D$11*20/36000+R44*D$11*10/36000,IF(N45=0,IF(N44=0,0,R44*D$11*Q$12/36000)))</f>
        <v>457985.84722222219</v>
      </c>
      <c r="W44" s="22">
        <f ca="1">IF(N45=1,R43*D$11*20/36000+R44*D$11*10/36000,IF(N45=0,IF(N44=0,0,R44*D$11*Q$12/36000)))</f>
        <v>457985.84722222219</v>
      </c>
      <c r="X44" s="22"/>
      <c r="Y44" s="22"/>
      <c r="Z44" s="22">
        <f t="shared" ca="1" si="21"/>
        <v>650000</v>
      </c>
      <c r="AA44" s="22">
        <f t="shared" si="1"/>
        <v>8925580</v>
      </c>
      <c r="AB44" s="22">
        <f t="shared" ca="1" si="22"/>
        <v>489869.97222222225</v>
      </c>
      <c r="AC44" s="22">
        <f t="shared" ca="1" si="23"/>
        <v>489870</v>
      </c>
      <c r="AD44" s="22">
        <f t="shared" ca="1" si="35"/>
        <v>650000</v>
      </c>
      <c r="AE44" s="22">
        <f ca="1">IF(R45=0,R44*Q12,(R43*20+R44*10))</f>
        <v>253653700</v>
      </c>
      <c r="AF44" s="22">
        <f t="shared" ca="1" si="24"/>
        <v>0</v>
      </c>
      <c r="AG44" s="22">
        <f t="shared" ca="1" si="25"/>
        <v>0</v>
      </c>
      <c r="AH44" s="22">
        <f t="shared" ca="1" si="26"/>
        <v>0</v>
      </c>
      <c r="AI44" s="22">
        <f t="shared" ca="1" si="27"/>
        <v>0</v>
      </c>
      <c r="AJ44" s="22"/>
      <c r="AK44" s="22"/>
      <c r="AL44" s="22">
        <f t="shared" ca="1" si="28"/>
        <v>0</v>
      </c>
      <c r="AM44" s="22">
        <f t="shared" ca="1" si="29"/>
        <v>0</v>
      </c>
      <c r="AN44" s="22">
        <f t="shared" ca="1" si="2"/>
        <v>8341630</v>
      </c>
      <c r="AO44" s="22">
        <f ca="1">IF(N45=1,AN43*G$12*20/36000+AN44*G$12*10/36000,IF(N45=0,IF(N44=0,0,AN44*G$12*Q$12/36000)))</f>
        <v>0</v>
      </c>
      <c r="AP44" s="22">
        <f ca="1">IF(N45=1,AN43*G$12*20/36000+AN44*G$12*10/36000,IF(N45=0,IF(N44=0,0,AN44*G$12*Q$12/36000)))</f>
        <v>0</v>
      </c>
      <c r="AQ44" s="69">
        <f t="shared" ca="1" si="30"/>
        <v>8</v>
      </c>
      <c r="AR44" s="69">
        <f t="shared" ca="1" si="3"/>
        <v>8</v>
      </c>
      <c r="AS44" s="4">
        <f t="shared" ca="1" si="31"/>
        <v>2025</v>
      </c>
      <c r="AT44" s="4">
        <f t="shared" ca="1" si="4"/>
        <v>2025</v>
      </c>
      <c r="AU44" s="4">
        <f t="shared" ca="1" si="5"/>
        <v>0</v>
      </c>
      <c r="AV44" s="4">
        <f t="shared" ca="1" si="6"/>
        <v>30</v>
      </c>
      <c r="AW44" s="4">
        <f t="shared" si="7"/>
        <v>20</v>
      </c>
      <c r="AX44" s="4">
        <f t="shared" ca="1" si="32"/>
        <v>30</v>
      </c>
      <c r="AY44" s="19">
        <f t="shared" ca="1" si="36"/>
        <v>166830</v>
      </c>
      <c r="AZ44" s="19"/>
      <c r="BA44" s="19"/>
      <c r="BB44" s="19"/>
      <c r="BC44" s="19"/>
      <c r="BD44" s="4">
        <f t="shared" ca="1" si="8"/>
        <v>1</v>
      </c>
      <c r="BE44" s="19"/>
      <c r="BF44" s="94">
        <f t="shared" si="33"/>
        <v>16</v>
      </c>
      <c r="BG44" s="19"/>
      <c r="BH44" s="19"/>
      <c r="BI44" s="120"/>
      <c r="BJ44" s="19"/>
      <c r="BK44" s="19"/>
      <c r="BL44" s="19"/>
      <c r="BM44" s="19"/>
      <c r="BN44" s="19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</row>
    <row r="45" spans="1:146" s="24" customFormat="1" ht="15" customHeight="1">
      <c r="A45" s="4">
        <f t="shared" si="9"/>
        <v>20</v>
      </c>
      <c r="B45" s="268">
        <f ca="1">IF(N45=0,IF(N44=1,"ИТОГО"," "),DATE(YEAR(B44),MONTH(B44)+1,O45))</f>
        <v>45920</v>
      </c>
      <c r="C45" s="401"/>
      <c r="D45" s="443">
        <f ca="1">IF(N45=0,IF(N44=1,SUM(D$26:D44)," "),IF(N45=0,0,IF(N46=1,IF(R45/100*2&lt;&gt;0,AY45,0),IF(N46=0,IF((R45+R45/100*2)&lt;&gt;0,AZ45,0)," "))))</f>
        <v>163500</v>
      </c>
      <c r="E45" s="443"/>
      <c r="F45" s="84">
        <f ca="1">IF(N45=0,IF(N44=1,F26+F27+F28+F29+F30+F31+F32+F33+F34+F35+F36+F37+F38+F39+F40+F41+F42+F43+F44," "),IF(M1=1,P45,IF(M1=2,Q45," ")))</f>
        <v>448830</v>
      </c>
      <c r="G45" s="84">
        <f ca="1">IF(N45=0,IF(N44=1,G26+G27+G28+G29+G30+G31+G32+G33+G34+G35+G36+G37+G38+G39+G40+G41+G42+G43+G44," "),IF(M1=1,AF45,IF(M1=2,AG45," ")))</f>
        <v>0</v>
      </c>
      <c r="H45" s="84">
        <f t="shared" ca="1" si="10"/>
        <v>612330</v>
      </c>
      <c r="I45" s="84">
        <f t="shared" si="11"/>
        <v>170240</v>
      </c>
      <c r="J45" s="84">
        <f t="shared" ca="1" si="12"/>
        <v>480330</v>
      </c>
      <c r="K45" s="84">
        <f t="shared" ca="1" si="13"/>
        <v>0</v>
      </c>
      <c r="L45" s="84">
        <f t="shared" ca="1" si="34"/>
        <v>650570</v>
      </c>
      <c r="M45" s="4">
        <f t="shared" si="14"/>
        <v>20</v>
      </c>
      <c r="N45" s="4">
        <f ca="1">IF(M1=1,IF(M14&gt;19,1,0),IF(M1=2,IF(M14&gt;19,1,0),0))</f>
        <v>1</v>
      </c>
      <c r="O45" s="4">
        <f ca="1">IF(M45=A$14,IF(DATE(YEAR(0),MONTH(0),DAY(D$16)-1)&lt;AW45,DATE(YEAR(0),MONTH(0),DAY(D$16)-1),AW45),AW45)</f>
        <v>20</v>
      </c>
      <c r="P45" s="22">
        <f t="shared" ca="1" si="15"/>
        <v>448830</v>
      </c>
      <c r="Q45" s="22">
        <f t="shared" ca="1" si="16"/>
        <v>448830</v>
      </c>
      <c r="R45" s="22">
        <f t="shared" ca="1" si="17"/>
        <v>8174800</v>
      </c>
      <c r="S45" s="22">
        <f t="shared" si="18"/>
        <v>8511870</v>
      </c>
      <c r="T45" s="95">
        <f t="shared" si="19"/>
        <v>170237.4</v>
      </c>
      <c r="U45" s="19">
        <f t="shared" si="20"/>
        <v>170240</v>
      </c>
      <c r="V45" s="22">
        <f ca="1">IF(N46=1,R44*D11*20/36000+R45*D11*10/36000,IF(N46=0,IF(N45=0,0,R45*D11*Q12/36000+R44*D11*20/36000+R45*D11*10/36000)))</f>
        <v>448826.08333333331</v>
      </c>
      <c r="W45" s="22">
        <f ca="1">IF(N46=1,R44*D11*20/36000+R45*D11*10/36000,IF(N46=0,IF(N45=0,0,R45*D11*Q12/36000+R44*D11*20/36000+R45*D11*10/36000)))</f>
        <v>448826.08333333331</v>
      </c>
      <c r="X45" s="22"/>
      <c r="Y45" s="22"/>
      <c r="Z45" s="22">
        <f t="shared" ca="1" si="21"/>
        <v>650000</v>
      </c>
      <c r="AA45" s="22">
        <f t="shared" si="1"/>
        <v>8751870</v>
      </c>
      <c r="AB45" s="22">
        <f t="shared" ca="1" si="22"/>
        <v>480332.48611111112</v>
      </c>
      <c r="AC45" s="22">
        <f t="shared" ca="1" si="23"/>
        <v>480330</v>
      </c>
      <c r="AD45" s="22">
        <f t="shared" ca="1" si="35"/>
        <v>650000</v>
      </c>
      <c r="AE45" s="22">
        <f ca="1">IF(R46=0,R45*Q12,(R44*20+R45*10))</f>
        <v>248580600</v>
      </c>
      <c r="AF45" s="22">
        <f t="shared" ca="1" si="24"/>
        <v>0</v>
      </c>
      <c r="AG45" s="22">
        <f t="shared" ca="1" si="25"/>
        <v>0</v>
      </c>
      <c r="AH45" s="22">
        <f t="shared" ca="1" si="26"/>
        <v>0</v>
      </c>
      <c r="AI45" s="22">
        <f t="shared" ca="1" si="27"/>
        <v>0</v>
      </c>
      <c r="AJ45" s="22"/>
      <c r="AK45" s="22"/>
      <c r="AL45" s="22">
        <f t="shared" ca="1" si="28"/>
        <v>0</v>
      </c>
      <c r="AM45" s="22">
        <f t="shared" ca="1" si="29"/>
        <v>0</v>
      </c>
      <c r="AN45" s="22">
        <f t="shared" ca="1" si="2"/>
        <v>8174800</v>
      </c>
      <c r="AO45" s="22">
        <f ca="1">IF(N46=1,AN44*G12*20/36000+AN45*G12*10/36000,IF(N46=0,IF(N45=0,0,AN45*G12*Q12/36000+AN44*G12*20/36000+AN45*G12*10/36000)))</f>
        <v>0</v>
      </c>
      <c r="AP45" s="22">
        <f ca="1">IF(N46=1,AN44*G12*20/36000+AN45*G12*10/36000,IF(N46=0,IF(N45=0,0,AN45*G12*Q12/36000+AN44*G12*20/36000+AN45*G12*10/36000)))</f>
        <v>0</v>
      </c>
      <c r="AQ45" s="69">
        <f t="shared" ca="1" si="30"/>
        <v>9</v>
      </c>
      <c r="AR45" s="69">
        <f t="shared" ca="1" si="3"/>
        <v>9</v>
      </c>
      <c r="AS45" s="4">
        <f t="shared" ca="1" si="31"/>
        <v>2025</v>
      </c>
      <c r="AT45" s="4">
        <f t="shared" ca="1" si="4"/>
        <v>2025</v>
      </c>
      <c r="AU45" s="4">
        <f t="shared" ca="1" si="5"/>
        <v>0</v>
      </c>
      <c r="AV45" s="4">
        <f t="shared" ca="1" si="6"/>
        <v>30</v>
      </c>
      <c r="AW45" s="4">
        <f t="shared" si="7"/>
        <v>20</v>
      </c>
      <c r="AX45" s="4">
        <f t="shared" ca="1" si="32"/>
        <v>30</v>
      </c>
      <c r="AY45" s="19">
        <f t="shared" ca="1" si="36"/>
        <v>163500</v>
      </c>
      <c r="AZ45" s="19"/>
      <c r="BA45" s="19"/>
      <c r="BB45" s="19"/>
      <c r="BC45" s="19"/>
      <c r="BD45" s="4">
        <f t="shared" ca="1" si="8"/>
        <v>1</v>
      </c>
      <c r="BE45" s="19"/>
      <c r="BF45" s="94">
        <f t="shared" si="33"/>
        <v>17</v>
      </c>
      <c r="BG45" s="19"/>
      <c r="BH45" s="19"/>
      <c r="BI45" s="120"/>
      <c r="BJ45" s="19"/>
      <c r="BK45" s="19"/>
      <c r="BL45" s="19"/>
      <c r="BM45" s="19"/>
      <c r="BN45" s="19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</row>
    <row r="46" spans="1:146" s="24" customFormat="1" ht="15" customHeight="1">
      <c r="A46" s="4">
        <f t="shared" si="9"/>
        <v>21</v>
      </c>
      <c r="B46" s="268">
        <f ca="1">IF(N46=0,IF(N45=1,"ИТОГО"," "),DATE(YEAR(B45),MONTH(B45)+1,O46))</f>
        <v>45950</v>
      </c>
      <c r="C46" s="401"/>
      <c r="D46" s="443">
        <f ca="1">IF(N46=0,IF(N45=1,SUM(D$26:D45)," "),IF(N46=0,0,IF(N47=1,IF(R46/100*2&lt;&gt;0,AY46,0),IF(N47=0,IF((R46+R46/100*2)&lt;&gt;0,AZ46,0)," "))))</f>
        <v>160230</v>
      </c>
      <c r="E46" s="443"/>
      <c r="F46" s="84">
        <f ca="1">IF(N46=0,IF(N45=1,F26+F27+F28+F29+F30+F31+F32+F33+F34+F35+F36+F37+F38+F39+F40+F41+F42+F43+F44+F45," "),IF(M1=1,P46,IF(M1=2,Q46," ")))</f>
        <v>439850</v>
      </c>
      <c r="G46" s="84">
        <f ca="1">IF(N46=0,IF(N45=1,G26+G27+G28+G29+G30+G31+G32+G33+G34+G35+G36+G37+G38+G39+G40+G41+G42+G43+G44+G45," "),IF(M1=1,AF46,IF(M1=2,AG46," ")))</f>
        <v>0</v>
      </c>
      <c r="H46" s="84">
        <f t="shared" ca="1" si="10"/>
        <v>600080</v>
      </c>
      <c r="I46" s="84">
        <f t="shared" si="11"/>
        <v>166830</v>
      </c>
      <c r="J46" s="84">
        <f t="shared" ca="1" si="12"/>
        <v>470990</v>
      </c>
      <c r="K46" s="84">
        <f t="shared" ca="1" si="13"/>
        <v>0</v>
      </c>
      <c r="L46" s="84">
        <f t="shared" ca="1" si="34"/>
        <v>637820</v>
      </c>
      <c r="M46" s="4">
        <f t="shared" si="14"/>
        <v>21</v>
      </c>
      <c r="N46" s="4">
        <f ca="1">IF(M1=1,IF(M14&gt;20,1,0),IF(M1=2,IF(M14&gt;20,1,0),0))</f>
        <v>1</v>
      </c>
      <c r="O46" s="4">
        <f ca="1">IF(M46=A$14,IF(DATE(YEAR(0),MONTH(0),DAY(D$16)-1)&lt;AW46,DATE(YEAR(0),MONTH(0),DAY(D$16)-1),AW46),AW46)</f>
        <v>20</v>
      </c>
      <c r="P46" s="22">
        <f t="shared" ca="1" si="15"/>
        <v>439850</v>
      </c>
      <c r="Q46" s="22">
        <f t="shared" ca="1" si="16"/>
        <v>439850</v>
      </c>
      <c r="R46" s="22">
        <f t="shared" ca="1" si="17"/>
        <v>8011300</v>
      </c>
      <c r="S46" s="22">
        <f t="shared" si="18"/>
        <v>8341630</v>
      </c>
      <c r="T46" s="95">
        <f t="shared" si="19"/>
        <v>166832.6</v>
      </c>
      <c r="U46" s="19">
        <f t="shared" si="20"/>
        <v>166830</v>
      </c>
      <c r="V46" s="22">
        <f ca="1">IF(N47=1,R45*D11*20/36000+R46*D11*10/36000,IF(N47=0,IF(N46=0,0,R46*D11*Q12/36000+R45*D11*20/36000+R46*D11*10/36000)))</f>
        <v>439849.58333333337</v>
      </c>
      <c r="W46" s="22">
        <f ca="1">IF(N47=1,R45*D11*20/36000+R46*D11*10/36000,IF(N47=0,IF(N46=0,0,R46*D11*Q12/36000+R45*D11*20/36000+R46*D11*10/36000)))</f>
        <v>439849.58333333337</v>
      </c>
      <c r="X46" s="22"/>
      <c r="Y46" s="22"/>
      <c r="Z46" s="22">
        <f t="shared" ca="1" si="21"/>
        <v>650000</v>
      </c>
      <c r="AA46" s="22">
        <f t="shared" si="1"/>
        <v>8581630</v>
      </c>
      <c r="AB46" s="22">
        <f t="shared" ca="1" si="22"/>
        <v>470985.84722222225</v>
      </c>
      <c r="AC46" s="22">
        <f t="shared" ca="1" si="23"/>
        <v>470990</v>
      </c>
      <c r="AD46" s="22">
        <f t="shared" ca="1" si="35"/>
        <v>650000</v>
      </c>
      <c r="AE46" s="22">
        <f ca="1">IF(R47=0,R46*Q12,(R45*20+R46*10))</f>
        <v>243609000</v>
      </c>
      <c r="AF46" s="22">
        <f t="shared" ca="1" si="24"/>
        <v>0</v>
      </c>
      <c r="AG46" s="22">
        <f t="shared" ca="1" si="25"/>
        <v>0</v>
      </c>
      <c r="AH46" s="22">
        <f t="shared" ca="1" si="26"/>
        <v>0</v>
      </c>
      <c r="AI46" s="22">
        <f t="shared" ca="1" si="27"/>
        <v>0</v>
      </c>
      <c r="AJ46" s="22"/>
      <c r="AK46" s="22"/>
      <c r="AL46" s="22">
        <f t="shared" ca="1" si="28"/>
        <v>0</v>
      </c>
      <c r="AM46" s="22">
        <f t="shared" ca="1" si="29"/>
        <v>0</v>
      </c>
      <c r="AN46" s="22">
        <f t="shared" ca="1" si="2"/>
        <v>8011300</v>
      </c>
      <c r="AO46" s="22">
        <f ca="1">IF(N47=1,AN45*G12*20/36000+AN46*G12*10/36000,IF(N47=0,IF(N46=0,0,AN46*G12*Q12/36000+AN45*G12*20/36000+AN46*G12*10/36000)))</f>
        <v>0</v>
      </c>
      <c r="AP46" s="22">
        <f ca="1">IF(N47=1,AN45*G12*20/36000+AN46*G12*10/36000,IF(N47=0,IF(N46=0,0,AN46*G12*Q12/36000+AN45*G12*20/36000+AN46*G12*10/36000)))</f>
        <v>0</v>
      </c>
      <c r="AQ46" s="69">
        <f t="shared" ca="1" si="30"/>
        <v>10</v>
      </c>
      <c r="AR46" s="69">
        <f t="shared" ca="1" si="3"/>
        <v>10</v>
      </c>
      <c r="AS46" s="4">
        <f t="shared" ca="1" si="31"/>
        <v>2025</v>
      </c>
      <c r="AT46" s="4">
        <f t="shared" ca="1" si="4"/>
        <v>2025</v>
      </c>
      <c r="AU46" s="4">
        <f t="shared" ca="1" si="5"/>
        <v>0</v>
      </c>
      <c r="AV46" s="4">
        <f t="shared" ca="1" si="6"/>
        <v>30</v>
      </c>
      <c r="AW46" s="4">
        <f t="shared" si="7"/>
        <v>20</v>
      </c>
      <c r="AX46" s="4">
        <f t="shared" ca="1" si="32"/>
        <v>30</v>
      </c>
      <c r="AY46" s="19">
        <f t="shared" ca="1" si="36"/>
        <v>160230</v>
      </c>
      <c r="AZ46" s="19"/>
      <c r="BA46" s="19"/>
      <c r="BB46" s="19"/>
      <c r="BC46" s="19"/>
      <c r="BD46" s="4">
        <f t="shared" ca="1" si="8"/>
        <v>1</v>
      </c>
      <c r="BE46" s="19"/>
      <c r="BF46" s="94">
        <f t="shared" si="33"/>
        <v>18</v>
      </c>
      <c r="BG46" s="19"/>
      <c r="BH46" s="19"/>
      <c r="BI46" s="120"/>
      <c r="BJ46" s="19"/>
      <c r="BK46" s="19"/>
      <c r="BL46" s="19"/>
      <c r="BM46" s="19"/>
      <c r="BN46" s="19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</row>
    <row r="47" spans="1:146" s="24" customFormat="1" ht="15" customHeight="1">
      <c r="A47" s="4">
        <f t="shared" si="9"/>
        <v>22</v>
      </c>
      <c r="B47" s="268">
        <f ca="1">IF(N47=0,IF(N46=1,"ИТОГО"," "),DATE(YEAR(B46),MONTH(B46)+1,O47))</f>
        <v>45981</v>
      </c>
      <c r="C47" s="401"/>
      <c r="D47" s="443">
        <f ca="1">IF(N47=0,IF(N46=1,SUM(D$26:D46)," "),IF(N47=0,0,IF(N48=1,IF(R47/100*2&lt;&gt;0,AY47,0),IF(N48=0,IF((R47+R47/100*2)&lt;&gt;0,AZ47,0)," "))))</f>
        <v>157020</v>
      </c>
      <c r="E47" s="443"/>
      <c r="F47" s="84">
        <f ca="1">IF(N47=0,IF(N46=1,F26+F27+F28+F29+F30+F31+F32+F33+F34+F35+F36+F37+F38+F39+F40+F41+F42+F43+F44+F45+F46," "),IF(M1=1,P47,IF(M1=2,Q47," ")))</f>
        <v>431050</v>
      </c>
      <c r="G47" s="84">
        <f ca="1">IF(N47=0,IF(N46=1,G26+G27+G28+G29+G30+G31+G32+G33+G34+G35+G36+G37+G38+G39+G40+G41+G42+G43+G44+G45+G46," "),IF(M1=1,AF47,IF(M1=2,AG47," ")))</f>
        <v>0</v>
      </c>
      <c r="H47" s="84">
        <f t="shared" ca="1" si="10"/>
        <v>588070</v>
      </c>
      <c r="I47" s="84">
        <f t="shared" si="11"/>
        <v>163500</v>
      </c>
      <c r="J47" s="84">
        <f t="shared" ca="1" si="12"/>
        <v>461830</v>
      </c>
      <c r="K47" s="84">
        <f t="shared" ca="1" si="13"/>
        <v>0</v>
      </c>
      <c r="L47" s="84">
        <f t="shared" ca="1" si="34"/>
        <v>625330</v>
      </c>
      <c r="M47" s="4">
        <f t="shared" si="14"/>
        <v>22</v>
      </c>
      <c r="N47" s="4">
        <f ca="1">IF(M1=1,IF(M14&gt;21,1,0),IF(M1=2,IF(M14&gt;21,1,0),0))</f>
        <v>1</v>
      </c>
      <c r="O47" s="4">
        <f ca="1">IF(M47=A$14,IF(DATE(YEAR(0),MONTH(0),DAY(D$16)-1)&lt;AW47,DATE(YEAR(0),MONTH(0),DAY(D$16)-1),AW47),AW47)</f>
        <v>20</v>
      </c>
      <c r="P47" s="22">
        <f t="shared" ca="1" si="15"/>
        <v>431050</v>
      </c>
      <c r="Q47" s="22">
        <f t="shared" ca="1" si="16"/>
        <v>431050</v>
      </c>
      <c r="R47" s="22">
        <f t="shared" ca="1" si="17"/>
        <v>7851070</v>
      </c>
      <c r="S47" s="22">
        <f t="shared" si="18"/>
        <v>8174800</v>
      </c>
      <c r="T47" s="95">
        <f t="shared" si="19"/>
        <v>163496</v>
      </c>
      <c r="U47" s="19">
        <f t="shared" si="20"/>
        <v>163500</v>
      </c>
      <c r="V47" s="22">
        <f ca="1">IF(N48=1,R46*D11*20/36000+R47*D11*10/36000,IF(N48=0,IF(N47=0,0,R47*D11*Q12/36000+R46*D11*20/36000+R47*D11*10/36000)))</f>
        <v>431052.375</v>
      </c>
      <c r="W47" s="22">
        <f ca="1">IF(N48=1,R46*D11*20/36000+R47*D11*10/36000,IF(N48=0,IF(N47=0,0,R47*D11*Q12/36000+R46*D11*20/36000+R47*D11*10/36000)))</f>
        <v>431052.375</v>
      </c>
      <c r="X47" s="22"/>
      <c r="Y47" s="22"/>
      <c r="Z47" s="22">
        <f t="shared" ca="1" si="21"/>
        <v>650000</v>
      </c>
      <c r="AA47" s="22">
        <f t="shared" si="1"/>
        <v>8414800</v>
      </c>
      <c r="AB47" s="22">
        <f t="shared" ca="1" si="22"/>
        <v>461826.08333333331</v>
      </c>
      <c r="AC47" s="22">
        <f t="shared" ca="1" si="23"/>
        <v>461830</v>
      </c>
      <c r="AD47" s="22">
        <f t="shared" ca="1" si="35"/>
        <v>650000</v>
      </c>
      <c r="AE47" s="22">
        <f ca="1">IF(R48=0,R47*Q12,(R46*20+R47*10))</f>
        <v>238736700</v>
      </c>
      <c r="AF47" s="22">
        <f t="shared" ca="1" si="24"/>
        <v>0</v>
      </c>
      <c r="AG47" s="22">
        <f t="shared" ca="1" si="25"/>
        <v>0</v>
      </c>
      <c r="AH47" s="22">
        <f t="shared" ca="1" si="26"/>
        <v>0</v>
      </c>
      <c r="AI47" s="22">
        <f t="shared" ca="1" si="27"/>
        <v>0</v>
      </c>
      <c r="AJ47" s="22"/>
      <c r="AK47" s="22"/>
      <c r="AL47" s="22">
        <f t="shared" ca="1" si="28"/>
        <v>0</v>
      </c>
      <c r="AM47" s="22">
        <f t="shared" ca="1" si="29"/>
        <v>0</v>
      </c>
      <c r="AN47" s="22">
        <f t="shared" ca="1" si="2"/>
        <v>7851070</v>
      </c>
      <c r="AO47" s="22">
        <f ca="1">IF(N48=1,AN46*G12*20/36000+AN47*G12*10/36000,IF(N48=0,IF(N47=0,0,AN47*G12*Q12/36000+AN46*G12*20/36000+AN47*G12*10/36000)))</f>
        <v>0</v>
      </c>
      <c r="AP47" s="22">
        <f ca="1">IF(N48=1,AN46*G12*20/36000+AN47*G12*10/36000,IF(N48=0,IF(N47=0,0,AN47*G12*Q12/36000+AN46*G12*20/36000+AN47*G12*10/36000)))</f>
        <v>0</v>
      </c>
      <c r="AQ47" s="69">
        <f t="shared" ca="1" si="30"/>
        <v>11</v>
      </c>
      <c r="AR47" s="69">
        <f t="shared" ca="1" si="3"/>
        <v>11</v>
      </c>
      <c r="AS47" s="4">
        <f t="shared" ca="1" si="31"/>
        <v>2025</v>
      </c>
      <c r="AT47" s="4">
        <f t="shared" ca="1" si="4"/>
        <v>2025</v>
      </c>
      <c r="AU47" s="4">
        <f t="shared" ca="1" si="5"/>
        <v>0</v>
      </c>
      <c r="AV47" s="4">
        <f t="shared" ca="1" si="6"/>
        <v>30</v>
      </c>
      <c r="AW47" s="4">
        <f t="shared" si="7"/>
        <v>20</v>
      </c>
      <c r="AX47" s="4">
        <f t="shared" ca="1" si="32"/>
        <v>30</v>
      </c>
      <c r="AY47" s="19">
        <f t="shared" ca="1" si="36"/>
        <v>157020</v>
      </c>
      <c r="AZ47" s="19"/>
      <c r="BA47" s="19"/>
      <c r="BB47" s="19"/>
      <c r="BC47" s="19"/>
      <c r="BD47" s="4">
        <f t="shared" ca="1" si="8"/>
        <v>1</v>
      </c>
      <c r="BE47" s="19"/>
      <c r="BF47" s="94">
        <f t="shared" si="33"/>
        <v>19</v>
      </c>
      <c r="BG47" s="19"/>
      <c r="BH47" s="19"/>
      <c r="BI47" s="120"/>
      <c r="BJ47" s="19"/>
      <c r="BK47" s="19"/>
      <c r="BL47" s="19"/>
      <c r="BM47" s="19"/>
      <c r="BN47" s="19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</row>
    <row r="48" spans="1:146" s="24" customFormat="1" ht="15" customHeight="1">
      <c r="A48" s="4">
        <f t="shared" si="9"/>
        <v>23</v>
      </c>
      <c r="B48" s="268">
        <f ca="1">IF(N48=0,IF(N47=1,"ИТОГО"," "),DATE(YEAR(B47),MONTH(B47)+1,O48))</f>
        <v>46011</v>
      </c>
      <c r="C48" s="401"/>
      <c r="D48" s="443">
        <f ca="1">IF(N48=0,IF(N47=1,SUM(D$26:D47)," "),IF(N48=0,0,IF(N49=1,IF(R48/100*2&lt;&gt;0,AY48,0),IF(N49=0,IF((R48+R48/100*2)&lt;&gt;0,AZ48,0)," "))))</f>
        <v>153880</v>
      </c>
      <c r="E48" s="443"/>
      <c r="F48" s="84">
        <f ca="1">IF(N48=0,IF(N47=1,F26+F27+F28+F29+F30+F31+F32+F33+F34+F35+F36+F37+F38+F39+F40+F41+F42+F43+F44+F45+F46+F47," "),IF(M1=1,P48,IF(M1=2,Q48," ")))</f>
        <v>422430</v>
      </c>
      <c r="G48" s="84">
        <f ca="1">IF(N48=0,IF(N47=1,G26+G27+G28+G29+G30+G31+G32+G33+G34+G35+G36+G37+G38+G39+G40+G41+G42+G43+G44+G45+G46+G47," "),IF(M1=1,AF48,IF(M1=2,AG48," ")))</f>
        <v>0</v>
      </c>
      <c r="H48" s="84">
        <f t="shared" ca="1" si="10"/>
        <v>576310</v>
      </c>
      <c r="I48" s="84">
        <f t="shared" si="11"/>
        <v>160230</v>
      </c>
      <c r="J48" s="84">
        <f t="shared" ca="1" si="12"/>
        <v>452850</v>
      </c>
      <c r="K48" s="84">
        <f t="shared" ca="1" si="13"/>
        <v>0</v>
      </c>
      <c r="L48" s="84">
        <f t="shared" ca="1" si="34"/>
        <v>613080</v>
      </c>
      <c r="M48" s="4">
        <f t="shared" si="14"/>
        <v>23</v>
      </c>
      <c r="N48" s="4">
        <f ca="1">IF(M1=1,IF(M14&gt;22,1,0),IF(M1=2,IF(M14&gt;22,1,0),0))</f>
        <v>1</v>
      </c>
      <c r="O48" s="4">
        <f ca="1">IF(M48=A$14,IF(DATE(YEAR(0),MONTH(0),DAY(D$16)-1)&lt;AW48,DATE(YEAR(0),MONTH(0),DAY(D$16)-1),AW48),AW48)</f>
        <v>20</v>
      </c>
      <c r="P48" s="22">
        <f t="shared" ca="1" si="15"/>
        <v>422430</v>
      </c>
      <c r="Q48" s="22">
        <f t="shared" ca="1" si="16"/>
        <v>422430</v>
      </c>
      <c r="R48" s="22">
        <f t="shared" ca="1" si="17"/>
        <v>7694050</v>
      </c>
      <c r="S48" s="22">
        <f t="shared" si="18"/>
        <v>8011300</v>
      </c>
      <c r="T48" s="95">
        <f t="shared" si="19"/>
        <v>160226</v>
      </c>
      <c r="U48" s="19">
        <f t="shared" si="20"/>
        <v>160230</v>
      </c>
      <c r="V48" s="22">
        <f ca="1">IF(N49=1,R47*D11*20/36000+R48*D11*10/36000,IF(N49=0,IF(N48=0,0,R48*D11*Q12/36000+R47*D11*20/36000+R48*D11*10/36000)))</f>
        <v>422431.20833333337</v>
      </c>
      <c r="W48" s="22">
        <f ca="1">IF(N49=1,R47*D11*20/36000+R48*D11*10/36000,IF(N49=0,IF(N48=0,0,R48*D11*Q12/36000+R47*D11*20/36000+R48*D11*10/36000)))</f>
        <v>422431.20833333337</v>
      </c>
      <c r="X48" s="22"/>
      <c r="Y48" s="22"/>
      <c r="Z48" s="22">
        <f t="shared" ca="1" si="21"/>
        <v>650000</v>
      </c>
      <c r="AA48" s="22">
        <f t="shared" si="1"/>
        <v>8251300</v>
      </c>
      <c r="AB48" s="22">
        <f t="shared" ca="1" si="22"/>
        <v>452849.58333333331</v>
      </c>
      <c r="AC48" s="22">
        <f t="shared" ca="1" si="23"/>
        <v>452850</v>
      </c>
      <c r="AD48" s="22">
        <f t="shared" ca="1" si="35"/>
        <v>650000</v>
      </c>
      <c r="AE48" s="22">
        <f ca="1">IF(R49=0,R48*Q12,(R47*20+R48*10))</f>
        <v>233961900</v>
      </c>
      <c r="AF48" s="22">
        <f t="shared" ca="1" si="24"/>
        <v>0</v>
      </c>
      <c r="AG48" s="22">
        <f t="shared" ca="1" si="25"/>
        <v>0</v>
      </c>
      <c r="AH48" s="22">
        <f t="shared" ca="1" si="26"/>
        <v>0</v>
      </c>
      <c r="AI48" s="22">
        <f t="shared" ca="1" si="27"/>
        <v>0</v>
      </c>
      <c r="AJ48" s="22"/>
      <c r="AK48" s="22"/>
      <c r="AL48" s="22">
        <f t="shared" ca="1" si="28"/>
        <v>0</v>
      </c>
      <c r="AM48" s="22">
        <f t="shared" ca="1" si="29"/>
        <v>0</v>
      </c>
      <c r="AN48" s="22">
        <f t="shared" ca="1" si="2"/>
        <v>7694050</v>
      </c>
      <c r="AO48" s="22">
        <f ca="1">IF(N49=1,AN47*G12*20/36000+AN48*G12*10/36000,IF(N49=0,IF(N48=0,0,AN48*G12*Q12/36000+AN47*G12*20/36000+AN48*G12*10/36000)))</f>
        <v>0</v>
      </c>
      <c r="AP48" s="22">
        <f ca="1">IF(N49=1,AN47*G12*20/36000+AN48*G12*10/36000,IF(N49=0,IF(N48=0,0,AN48*G12*Q12/36000+AN47*G12*20/36000+AN48*G12*10/36000)))</f>
        <v>0</v>
      </c>
      <c r="AQ48" s="69">
        <f t="shared" ca="1" si="30"/>
        <v>12</v>
      </c>
      <c r="AR48" s="69">
        <f t="shared" ca="1" si="3"/>
        <v>12</v>
      </c>
      <c r="AS48" s="4">
        <f t="shared" ca="1" si="31"/>
        <v>2025</v>
      </c>
      <c r="AT48" s="4">
        <f t="shared" ca="1" si="4"/>
        <v>2025</v>
      </c>
      <c r="AU48" s="4">
        <f t="shared" ca="1" si="5"/>
        <v>0</v>
      </c>
      <c r="AV48" s="4">
        <f t="shared" ca="1" si="6"/>
        <v>30</v>
      </c>
      <c r="AW48" s="4">
        <f t="shared" si="7"/>
        <v>20</v>
      </c>
      <c r="AX48" s="4">
        <f t="shared" ca="1" si="32"/>
        <v>30</v>
      </c>
      <c r="AY48" s="19">
        <f t="shared" ca="1" si="36"/>
        <v>153880</v>
      </c>
      <c r="AZ48" s="19"/>
      <c r="BA48" s="19"/>
      <c r="BB48" s="19"/>
      <c r="BC48" s="19"/>
      <c r="BD48" s="4">
        <f t="shared" ca="1" si="8"/>
        <v>1</v>
      </c>
      <c r="BE48" s="19"/>
      <c r="BF48" s="94">
        <f t="shared" si="33"/>
        <v>20</v>
      </c>
      <c r="BG48" s="19"/>
      <c r="BH48" s="19"/>
      <c r="BI48" s="120"/>
      <c r="BJ48" s="19"/>
      <c r="BK48" s="19"/>
      <c r="BL48" s="19"/>
      <c r="BM48" s="19"/>
      <c r="BN48" s="19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</row>
    <row r="49" spans="1:146" s="24" customFormat="1" ht="15" customHeight="1">
      <c r="A49" s="4">
        <f t="shared" si="9"/>
        <v>24</v>
      </c>
      <c r="B49" s="268">
        <f ca="1">IF(N49=0,IF(N48=1,"ИТОГО"," "),DATE(YEAR(B48),MONTH(B48)+1,O49))</f>
        <v>46042</v>
      </c>
      <c r="C49" s="401"/>
      <c r="D49" s="443">
        <f ca="1">IF(N49=0,IF(N48=1,SUM(D$26:E48)," "),IF(N49=0," ",IF(N54=1,IF(R49/100*2&lt;&gt;0,AY49,0),IF(N54=0,IF((R49+R49/100*2)&lt;&gt;0,BC49,0)," "))))</f>
        <v>150800</v>
      </c>
      <c r="E49" s="443"/>
      <c r="F49" s="84">
        <f ca="1">IF(N49=0,IF(N48=1,SUM(F$26:F48)," "),IF(M$1=1,P49,IF(M$1=2,Q49," ")))</f>
        <v>413980</v>
      </c>
      <c r="G49" s="84">
        <f ca="1">IF(N49=0,IF(N48=1,SUM(G$26:G48)," "),IF(M$1=1,AF49,IF(M$1=2,AG49," ")))</f>
        <v>0</v>
      </c>
      <c r="H49" s="84">
        <f t="shared" ca="1" si="10"/>
        <v>564780</v>
      </c>
      <c r="I49" s="84">
        <f t="shared" si="11"/>
        <v>157020</v>
      </c>
      <c r="J49" s="84">
        <f t="shared" ca="1" si="12"/>
        <v>444050</v>
      </c>
      <c r="K49" s="84">
        <f t="shared" ca="1" si="13"/>
        <v>0</v>
      </c>
      <c r="L49" s="84">
        <f t="shared" ca="1" si="34"/>
        <v>601070</v>
      </c>
      <c r="M49" s="4">
        <f t="shared" si="14"/>
        <v>24</v>
      </c>
      <c r="N49" s="4">
        <f ca="1">IF(M$1=1,IF(M$14&gt;M48,1,0),IF(M$1=2,IF(M$14&gt;M48,1,0),0))</f>
        <v>1</v>
      </c>
      <c r="O49" s="4">
        <f ca="1">IF(M49=A$14,IF(DATE(YEAR(0),MONTH(0),DAY(D$16)-1)&lt;AW49,DATE(YEAR(0),MONTH(0),DAY(D$16)-1),AW49),AW49)</f>
        <v>20</v>
      </c>
      <c r="P49" s="22">
        <f t="shared" ca="1" si="15"/>
        <v>413980</v>
      </c>
      <c r="Q49" s="22">
        <f t="shared" ca="1" si="16"/>
        <v>413980</v>
      </c>
      <c r="R49" s="22">
        <f t="shared" ca="1" si="17"/>
        <v>7540170</v>
      </c>
      <c r="S49" s="22">
        <f t="shared" si="18"/>
        <v>7851070</v>
      </c>
      <c r="T49" s="95">
        <f t="shared" si="19"/>
        <v>157021.4</v>
      </c>
      <c r="U49" s="19">
        <f t="shared" si="20"/>
        <v>157020</v>
      </c>
      <c r="V49" s="22">
        <f ca="1">IF(N54=1,R48*D$11*20/36000+R49*D$11*10/36000,IF(N54=0,IF(N49=0,0,R49*D$11*Q$12/36000+R48*D$11*20/36000+R49*D$11*10/36000)))</f>
        <v>413982.65277777775</v>
      </c>
      <c r="W49" s="22">
        <f ca="1">IF(N54=1,R48*D$11*20/36000+R49*D$11*10/36000,IF(N54=0,IF(N49=0,0,R49*D$11*Q$12/36000+R48*D$11*20/36000+R49*D$11*10/36000)))</f>
        <v>413982.65277777775</v>
      </c>
      <c r="X49" s="22"/>
      <c r="Y49" s="22"/>
      <c r="Z49" s="22">
        <f ca="1">IF(N54=1,$D$10*$D$11*20/36000+$D$10*$D$11*10/36000,IF(N54=0,IF(N49=0,0,$D$10*$D$11*$Q$12/36000+$D$10*$D$11*20/36000+$D$10*$D$11*10/36000)))</f>
        <v>650000</v>
      </c>
      <c r="AA49" s="22">
        <f t="shared" si="1"/>
        <v>8091070</v>
      </c>
      <c r="AB49" s="22">
        <f ca="1">IF(N54=1,AA48*D$11*20/36000+AA49*D$11*10/36000,IF(N54=0,IF(N49=0,0,AA49*D$11*Q$12/36000+AA48*D$11*20/36000+AA49*D$11*10/36000)))</f>
        <v>444052.375</v>
      </c>
      <c r="AC49" s="22">
        <f t="shared" ca="1" si="23"/>
        <v>444050</v>
      </c>
      <c r="AD49" s="22">
        <f t="shared" ca="1" si="35"/>
        <v>650000</v>
      </c>
      <c r="AE49" s="22">
        <f ca="1">IF(R54=0,R49*Q$12,(R48*20+R49*10))</f>
        <v>229282700</v>
      </c>
      <c r="AF49" s="22">
        <f t="shared" ca="1" si="24"/>
        <v>0</v>
      </c>
      <c r="AG49" s="22">
        <f t="shared" ca="1" si="25"/>
        <v>0</v>
      </c>
      <c r="AH49" s="22">
        <f ca="1">IF(N54=1,D$10*G$12*20/36000+D$10*G$12*10/36000,IF(N54=0,IF(N49=0,0,D$10*G$12*Q$12/36000+D$10*G$12*20/36000+D$10*G$12*10/36000)))</f>
        <v>0</v>
      </c>
      <c r="AI49" s="22">
        <f ca="1">IF(N54=1,AA48*G$12*20/36000+AA49*G$12*10/36000,IF(N54=0,IF(N49=0,0,AA49*G$12*Q$12/36000+AA48*G$12*20/36000+AA49*G$12*10/36000)))</f>
        <v>0</v>
      </c>
      <c r="AJ49" s="22"/>
      <c r="AK49" s="22"/>
      <c r="AL49" s="22">
        <f t="shared" ca="1" si="28"/>
        <v>0</v>
      </c>
      <c r="AM49" s="22">
        <f t="shared" ca="1" si="29"/>
        <v>0</v>
      </c>
      <c r="AN49" s="22">
        <f t="shared" ca="1" si="2"/>
        <v>7540170</v>
      </c>
      <c r="AO49" s="22">
        <f ca="1">IF(N54=1,AN48*G$12*20/36000+AN49*G$12*10/36000,IF(N54=0,IF(N49=0,0,AN49*G$12*Q$12/36000+AN48*G$12*20/36000+AN49*G$12*10/36000)))</f>
        <v>0</v>
      </c>
      <c r="AP49" s="22">
        <f ca="1">IF(N54=1,AN48*G$12*20/36000+AN49*G$12*10/36000,IF(N54=0,IF(N49=0,0,AN49*G$12*Q$12/36000+AN48*G$12*20/36000+AN49*G$12*10/36000)))</f>
        <v>0</v>
      </c>
      <c r="AQ49" s="69">
        <f t="shared" ca="1" si="30"/>
        <v>13</v>
      </c>
      <c r="AR49" s="69">
        <f t="shared" ca="1" si="3"/>
        <v>1</v>
      </c>
      <c r="AS49" s="4">
        <f t="shared" ca="1" si="31"/>
        <v>2025</v>
      </c>
      <c r="AT49" s="4">
        <f t="shared" ca="1" si="4"/>
        <v>2026</v>
      </c>
      <c r="AU49" s="4">
        <f t="shared" ca="1" si="5"/>
        <v>0</v>
      </c>
      <c r="AV49" s="4">
        <f t="shared" ca="1" si="6"/>
        <v>30</v>
      </c>
      <c r="AW49" s="4">
        <f t="shared" si="7"/>
        <v>20</v>
      </c>
      <c r="AX49" s="4">
        <f t="shared" ca="1" si="32"/>
        <v>30</v>
      </c>
      <c r="AY49" s="19">
        <f t="shared" ca="1" si="36"/>
        <v>150800</v>
      </c>
      <c r="AZ49" s="19"/>
      <c r="BA49" s="19"/>
      <c r="BB49" s="19"/>
      <c r="BC49" s="19"/>
      <c r="BD49" s="4">
        <f t="shared" ca="1" si="8"/>
        <v>1</v>
      </c>
      <c r="BE49" s="19"/>
      <c r="BF49" s="94">
        <f t="shared" si="33"/>
        <v>21</v>
      </c>
      <c r="BG49" s="19"/>
      <c r="BH49" s="19"/>
      <c r="BI49" s="120"/>
      <c r="BJ49" s="19"/>
      <c r="BK49" s="19"/>
      <c r="BL49" s="19"/>
      <c r="BM49" s="19"/>
      <c r="BN49" s="19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</row>
    <row r="50" spans="1:146" s="24" customFormat="1" ht="15" customHeight="1">
      <c r="A50" s="4"/>
      <c r="B50" s="42"/>
      <c r="C50" s="41"/>
      <c r="D50" s="23"/>
      <c r="E50" s="23"/>
      <c r="F50" s="23"/>
      <c r="G50" s="23"/>
      <c r="H50" s="23"/>
      <c r="I50" s="87"/>
      <c r="J50" s="84"/>
      <c r="K50" s="84"/>
      <c r="L50" s="84"/>
      <c r="M50" s="4"/>
      <c r="N50" s="4"/>
      <c r="O50" s="4"/>
      <c r="P50" s="22"/>
      <c r="Q50" s="22"/>
      <c r="R50" s="22"/>
      <c r="S50" s="22"/>
      <c r="T50" s="19"/>
      <c r="U50" s="19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69"/>
      <c r="AR50" s="69"/>
      <c r="AS50" s="4"/>
      <c r="AT50" s="4"/>
      <c r="AU50" s="4"/>
      <c r="AV50" s="4"/>
      <c r="AW50" s="4"/>
      <c r="AX50" s="4"/>
      <c r="AY50" s="19"/>
      <c r="AZ50" s="19"/>
      <c r="BA50" s="19"/>
      <c r="BB50" s="19"/>
      <c r="BC50" s="19"/>
      <c r="BD50" s="4">
        <f t="shared" si="8"/>
        <v>0</v>
      </c>
      <c r="BE50" s="19"/>
      <c r="BF50" s="94">
        <f t="shared" si="33"/>
        <v>-3</v>
      </c>
      <c r="BG50" s="19"/>
      <c r="BH50" s="19"/>
      <c r="BI50" s="120"/>
      <c r="BJ50" s="19"/>
      <c r="BK50" s="19"/>
      <c r="BL50" s="19"/>
      <c r="BM50" s="19"/>
      <c r="BN50" s="19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</row>
    <row r="51" spans="1:146" s="24" customFormat="1" ht="15" customHeight="1">
      <c r="A51" s="4"/>
      <c r="B51" s="409" t="s">
        <v>144</v>
      </c>
      <c r="C51" s="486"/>
      <c r="D51" s="486"/>
      <c r="E51" s="486"/>
      <c r="F51" s="486"/>
      <c r="G51" s="486"/>
      <c r="H51" s="486"/>
      <c r="I51" s="485"/>
      <c r="J51" s="485"/>
      <c r="K51" s="485"/>
      <c r="L51" s="485"/>
      <c r="M51" s="4"/>
      <c r="N51" s="4"/>
      <c r="O51" s="4"/>
      <c r="P51" s="22"/>
      <c r="Q51" s="22"/>
      <c r="R51" s="22"/>
      <c r="S51" s="22"/>
      <c r="T51" s="19"/>
      <c r="U51" s="19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69"/>
      <c r="AR51" s="69"/>
      <c r="AS51" s="4"/>
      <c r="AT51" s="4"/>
      <c r="AU51" s="4"/>
      <c r="AV51" s="4"/>
      <c r="AW51" s="4"/>
      <c r="AX51" s="4"/>
      <c r="AY51" s="19"/>
      <c r="AZ51" s="19"/>
      <c r="BA51" s="19"/>
      <c r="BB51" s="19"/>
      <c r="BC51" s="19"/>
      <c r="BD51" s="4">
        <f t="shared" si="8"/>
        <v>0</v>
      </c>
      <c r="BE51" s="19"/>
      <c r="BF51" s="94">
        <f t="shared" si="33"/>
        <v>-3</v>
      </c>
      <c r="BG51" s="19"/>
      <c r="BH51" s="19"/>
      <c r="BI51" s="120"/>
      <c r="BJ51" s="19"/>
      <c r="BK51" s="19"/>
      <c r="BL51" s="19"/>
      <c r="BM51" s="19"/>
      <c r="BN51" s="19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</row>
    <row r="52" spans="1:146" s="24" customFormat="1" ht="15" customHeight="1">
      <c r="A52" s="4"/>
      <c r="B52" s="347" t="s">
        <v>21</v>
      </c>
      <c r="C52" s="348"/>
      <c r="D52" s="334" t="s">
        <v>140</v>
      </c>
      <c r="E52" s="335"/>
      <c r="F52" s="335"/>
      <c r="G52" s="335"/>
      <c r="H52" s="336"/>
      <c r="I52" s="271" t="s">
        <v>141</v>
      </c>
      <c r="J52" s="271"/>
      <c r="K52" s="271"/>
      <c r="L52" s="271"/>
      <c r="M52" s="4"/>
      <c r="N52" s="4"/>
      <c r="O52" s="4"/>
      <c r="P52" s="22"/>
      <c r="Q52" s="22"/>
      <c r="R52" s="22"/>
      <c r="S52" s="22"/>
      <c r="T52" s="19"/>
      <c r="U52" s="19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69"/>
      <c r="AR52" s="69"/>
      <c r="AS52" s="4"/>
      <c r="AT52" s="4"/>
      <c r="AU52" s="4"/>
      <c r="AV52" s="4"/>
      <c r="AW52" s="4"/>
      <c r="AX52" s="4"/>
      <c r="AY52" s="19"/>
      <c r="AZ52" s="19"/>
      <c r="BA52" s="19"/>
      <c r="BB52" s="19"/>
      <c r="BC52" s="19"/>
      <c r="BD52" s="4">
        <f t="shared" si="8"/>
        <v>0</v>
      </c>
      <c r="BE52" s="19"/>
      <c r="BF52" s="94">
        <f t="shared" si="33"/>
        <v>-3</v>
      </c>
      <c r="BG52" s="19"/>
      <c r="BH52" s="19"/>
      <c r="BI52" s="120"/>
      <c r="BJ52" s="19"/>
      <c r="BK52" s="19"/>
      <c r="BL52" s="19"/>
      <c r="BM52" s="19"/>
      <c r="BN52" s="19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</row>
    <row r="53" spans="1:146" s="24" customFormat="1" ht="45.75" customHeight="1">
      <c r="A53" s="4"/>
      <c r="B53" s="349"/>
      <c r="C53" s="350"/>
      <c r="D53" s="273" t="s">
        <v>22</v>
      </c>
      <c r="E53" s="274"/>
      <c r="F53" s="88" t="s">
        <v>23</v>
      </c>
      <c r="G53" s="88" t="s">
        <v>24</v>
      </c>
      <c r="H53" s="89" t="s">
        <v>25</v>
      </c>
      <c r="I53" s="76" t="s">
        <v>22</v>
      </c>
      <c r="J53" s="76" t="s">
        <v>23</v>
      </c>
      <c r="K53" s="76" t="s">
        <v>24</v>
      </c>
      <c r="L53" s="76" t="s">
        <v>25</v>
      </c>
      <c r="M53" s="4"/>
      <c r="N53" s="4"/>
      <c r="O53" s="4"/>
      <c r="P53" s="22"/>
      <c r="Q53" s="22"/>
      <c r="R53" s="22"/>
      <c r="S53" s="22"/>
      <c r="T53" s="19"/>
      <c r="U53" s="19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69"/>
      <c r="AR53" s="69"/>
      <c r="AS53" s="4"/>
      <c r="AT53" s="4"/>
      <c r="AU53" s="4"/>
      <c r="AV53" s="4"/>
      <c r="AW53" s="4"/>
      <c r="AX53" s="4"/>
      <c r="AY53" s="19"/>
      <c r="AZ53" s="19"/>
      <c r="BA53" s="19"/>
      <c r="BB53" s="19"/>
      <c r="BC53" s="19"/>
      <c r="BD53" s="4">
        <f t="shared" si="8"/>
        <v>0</v>
      </c>
      <c r="BE53" s="19"/>
      <c r="BF53" s="19"/>
      <c r="BG53" s="19"/>
      <c r="BH53" s="19"/>
      <c r="BI53" s="120"/>
      <c r="BJ53" s="19"/>
      <c r="BK53" s="19"/>
      <c r="BL53" s="19"/>
      <c r="BM53" s="19"/>
      <c r="BN53" s="19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</row>
    <row r="54" spans="1:146" s="25" customFormat="1" ht="15" customHeight="1">
      <c r="A54" s="4">
        <v>25</v>
      </c>
      <c r="B54" s="268">
        <f ca="1">IF(N54=0,IF(N49=1,"ИТОГО"," "),IF(M54=M14,DATE(YEAR(B49),MONTH(B49),O54),DATE(YEAR(B49),MONTH(B49)+1,O54)))</f>
        <v>46073</v>
      </c>
      <c r="C54" s="401"/>
      <c r="D54" s="443">
        <f ca="1">IF(N54=0,IF(N49=1,SUM(D$26:E49)," "),IF(N54=0," ",IF(N55=1,IF(R54/(A14-24)&lt;&gt;0,IF(VALUE(RIGHT(ROUND(R54/(A14-24),0)))&lt;=5,ROUND(R54/(A14-24),0)-VALUE(RIGHT(ROUND(R54/(A14-24),0))),ROUND(R54/(A14-24),0)+10-VALUE(RIGHT(ROUND(R54/(A14-24),0)))),0),IF(N55=0,IF(R54&lt;&gt;0,ROUNDUP(R54,-1),0)," "))))</f>
        <v>153940</v>
      </c>
      <c r="E54" s="478"/>
      <c r="F54" s="84">
        <f ca="1">IF(N54=0,IF(N49=1,SUM(F$26:F49)," "),IF(M$1=1,P54,IF(M$1=2,Q54," ")))</f>
        <v>405700</v>
      </c>
      <c r="G54" s="84">
        <f ca="1">IF(N54=0,IF(N49=1,SUM(G$26:G49)," "),IF(M$1=1,AF54,IF(M$1=2,AG54," ")))</f>
        <v>0</v>
      </c>
      <c r="H54" s="84">
        <f t="shared" ref="H54:H103" ca="1" si="37">IF(SUM(D54:G54)=0," ",SUM(D54:G54))</f>
        <v>559640</v>
      </c>
      <c r="I54" s="84">
        <f ca="1">IF(N54=0,IF(N49=1,SUM(I$26:I49)," "),IF(N54=0," ",IF(N55=1,IF(S54/(A14-24)&lt;&gt;0,IF(VALUE(RIGHT(ROUND(S54/(A14-24),0)))&lt;=5,ROUND(S54/(A14-24),0)-VALUE(RIGHT(ROUND(S54/(A14-24),0))),ROUND(S54/(A14-24),0)+10-VALUE(RIGHT(ROUND(S54/(A14-24),0)))),0),IF(N55=0,IF(S54&lt;&gt;0,ROUNDUP(S54,-1),0)," "))))</f>
        <v>160290</v>
      </c>
      <c r="J54" s="84">
        <f t="shared" ref="J54:J85" ca="1" si="38">IF(M54&lt;=$D$15,AA54,IF($M$1=1,Y54,IF($M$1=2,Y54," ")))</f>
        <v>422430</v>
      </c>
      <c r="K54" s="84">
        <f t="shared" ref="K54:K85" ca="1" si="39">IF(M54&lt;=D$15,AF54,IF(M$1=1,AK54,IF(M$1=2,AK54," ")))</f>
        <v>0</v>
      </c>
      <c r="L54" s="84">
        <f ca="1">IF(SUM(I54:K54)=0," ",SUM(I54:K54))</f>
        <v>582720</v>
      </c>
      <c r="M54" s="4">
        <v>25</v>
      </c>
      <c r="N54" s="4">
        <f ca="1">IF(M$1=1,IF(M$14&gt;M49,1,0),IF(M$1=2,IF(M$14&gt;M49,1,0),0))</f>
        <v>1</v>
      </c>
      <c r="O54" s="4">
        <f ca="1">IF(M54=A$14,IF(MONTH(B49)=-2,AX54,DATE(YEAR(0),MONTH(0),DAY(D$16)-1)),AW54)</f>
        <v>20</v>
      </c>
      <c r="P54" s="22">
        <f t="shared" ref="P54:Q89" ca="1" si="40">IF(V54&lt;&gt;0,IF(VALUE(RIGHT(ROUND(V54,0)))&lt;=5,ROUND(V54,0)-VALUE(RIGHT(ROUND(V54,0))),ROUND(V54,0)+10-VALUE(RIGHT(ROUND(V54,0)))),0)</f>
        <v>405700</v>
      </c>
      <c r="Q54" s="22">
        <f t="shared" ca="1" si="40"/>
        <v>405700</v>
      </c>
      <c r="R54" s="22">
        <f ca="1">IF(N54=0,0,R49-D49)</f>
        <v>7389370</v>
      </c>
      <c r="S54" s="22">
        <f ca="1">IF(N54=0,0,S49-I49)</f>
        <v>7694050</v>
      </c>
      <c r="T54" s="100">
        <f ca="1">IF(N55=1,AA49*D$11*20/36000+AA54*D$11*10/36000,IF(N55=0,IF(N54=0,0,AA54*D$11*Q$12/36000)))</f>
        <v>435431.20833333331</v>
      </c>
      <c r="U54" s="22">
        <f ca="1">IF(V54&lt;&gt;0,IF(VALUE(RIGHT(ROUND(V54,0)))&lt;=5,ROUND(V54,0)-VALUE(RIGHT(ROUND(V54,0))),ROUND(V54,0)+10-VALUE(RIGHT(ROUND(V54,0)))),0)</f>
        <v>405700</v>
      </c>
      <c r="V54" s="22">
        <f ca="1">IF(N55=1,R49*D$11*20/36000+R54*D$11*10/36000,IF(N55=0,IF(N54=0,0,R54*D$11*Q$12/36000)))</f>
        <v>405703.09722222225</v>
      </c>
      <c r="W54" s="22">
        <f ca="1">IF(N55=1,R49*D$11*20/36000+R54*D$11*10/36000,IF(N55=0,IF(N54=0,0,R54*D$11*Q$12/36000)))</f>
        <v>405703.09722222225</v>
      </c>
      <c r="X54" s="22">
        <f ca="1">IF(N55=1,S49*D$11*20/36000+S54*D$11*10/36000,IF(N55=0,IF(N54=0,0,S54*D$11*Q$12/36000)))</f>
        <v>422431.20833333337</v>
      </c>
      <c r="Y54" s="22">
        <f ca="1">IF(X54&lt;&gt;0,IF(VALUE(RIGHT(ROUND(X54,0)))&lt;=5,ROUND(X54,0)-VALUE(RIGHT(ROUND(X54,0))),ROUND(X54,0)+10-VALUE(RIGHT(ROUND(X54,0)))),0)</f>
        <v>422430</v>
      </c>
      <c r="Z54" s="22">
        <f t="shared" ref="Z54:Z101" ca="1" si="41">IF(N55=1,$D$10*$D$11*20/36000+$D$10*$D$11*10/36000,IF(N55=0,IF(N54=0,0,$D$10*$D$11*$Q$12/36000+$D$10*$D$11*20/36000+$D$10*$D$11*10/36000)))</f>
        <v>650000</v>
      </c>
      <c r="AA54" s="22">
        <f>IF(M54&lt;=(D$15+1),D$10,AA49-I49)</f>
        <v>7934050</v>
      </c>
      <c r="AB54" s="22">
        <f t="shared" ref="AB54:AB85" ca="1" si="42">IF(N55=1,AA53*D$11*20/36000+AA54*D$11*10/36000,IF(N55=0,IF(N54=0,0,AA54*D$11*Q$12/36000+AA53*D$11*20/36000+AA54*D$11*10/36000)))</f>
        <v>143253.68055555556</v>
      </c>
      <c r="AC54" s="22">
        <f t="shared" ca="1" si="23"/>
        <v>143250</v>
      </c>
      <c r="AD54" s="22">
        <f t="shared" ca="1" si="35"/>
        <v>650000</v>
      </c>
      <c r="AE54" s="22">
        <f ca="1">IF(R55=0,R54*Q$12,(R49*20+R54*10))</f>
        <v>224697100</v>
      </c>
      <c r="AF54" s="22">
        <f t="shared" ref="AF54:AG89" ca="1" si="43">IF(AO54&lt;&gt;0,IF(VALUE(RIGHT(ROUND(AO54,0)))&lt;=5,ROUND(AO54,0)-VALUE(RIGHT(ROUND(AO54,0))),ROUND(AO54,0)+10-VALUE(RIGHT(ROUND(AO54,0)))),0)</f>
        <v>0</v>
      </c>
      <c r="AG54" s="22">
        <f t="shared" ca="1" si="43"/>
        <v>0</v>
      </c>
      <c r="AH54" s="22">
        <f t="shared" ref="AH54:AH101" ca="1" si="44">IF(N55=1,D$10*G$12*20/36000+D$10*G$12*10/36000,IF(N55=0,IF(N54=0,0,D$10*G$12*Q$12/36000+D$10*G$12*20/36000+D$10*G$12*10/36000)))</f>
        <v>0</v>
      </c>
      <c r="AI54" s="22">
        <f t="shared" ref="AI54:AI85" ca="1" si="45">IF(N55=1,AA53*G$12*20/36000+AA54*G$12*10/36000,IF(N55=0,IF(N54=0,0,AA54*G$12*Q$12/36000+AA53*G$12*20/36000+AA54*G$12*10/36000)))</f>
        <v>0</v>
      </c>
      <c r="AJ54" s="22">
        <f ca="1">IF(N55=1,S49*G$12*20/36000+S54*G$12*10/36000,IF(N55=0,IF(N54=0,0,S54*G$12*Q$12/36000)))</f>
        <v>0</v>
      </c>
      <c r="AK54" s="22">
        <f ca="1">IF(AJ54&lt;&gt;0,IF(VALUE(RIGHT(ROUND(AJ54,0)))&lt;=5,ROUND(AJ54,0)-VALUE(RIGHT(ROUND(AJ54,0))),ROUND(AJ54,0)+10-VALUE(RIGHT(ROUND(AJ54,0)))),0)</f>
        <v>0</v>
      </c>
      <c r="AL54" s="22">
        <f t="shared" ca="1" si="28"/>
        <v>0</v>
      </c>
      <c r="AM54" s="22">
        <f t="shared" ca="1" si="29"/>
        <v>0</v>
      </c>
      <c r="AN54" s="22">
        <f t="shared" ref="AN54:AN102" ca="1" si="46">R54</f>
        <v>7389370</v>
      </c>
      <c r="AO54" s="22">
        <f ca="1">IF(N55=1,AN49*G$12*20/36000+AN54*G$12*10/36000,IF(N55=0,IF(N54=0,0,AN54*G$12*Q$12/36000)))</f>
        <v>0</v>
      </c>
      <c r="AP54" s="22">
        <f ca="1">IF(N55=1,AN49*G$12*20/36000+AN54*G$12*10/36000,IF(N55=0,IF(N54=0,0,AN54*G$12*Q$12/36000)))</f>
        <v>0</v>
      </c>
      <c r="AQ54" s="69">
        <f ca="1">IF(N54=0,0,MONTH(B49)+1)</f>
        <v>2</v>
      </c>
      <c r="AR54" s="69">
        <f t="shared" ref="AR54:AR102" ca="1" si="47">IF(AQ54=13,1,AQ54)</f>
        <v>2</v>
      </c>
      <c r="AS54" s="4">
        <f ca="1">IF(N54=0,0,YEAR(B49))</f>
        <v>2026</v>
      </c>
      <c r="AT54" s="4">
        <f t="shared" ref="AT54:AT102" ca="1" si="48">IF(AR54=1,AS54+1,AS54)</f>
        <v>2026</v>
      </c>
      <c r="AU54" s="4">
        <f t="shared" ref="AU54:AU102" ca="1" si="49">IF((AS54/2012)=1,1,IF((AS54/2016)=1,1,IF((AS54/2020)=1,1,IF((AS54/2024)=1,1,IF((AS54/2028)=1,1,IF((AS54/2032)=1,1,0))))))</f>
        <v>0</v>
      </c>
      <c r="AV54" s="4">
        <f t="shared" ref="AV54:AV102" ca="1" si="50">IF(AR54=2,IF(AU54=1,29,28),30)</f>
        <v>28</v>
      </c>
      <c r="AW54" s="4">
        <f t="shared" ref="AW54:AW85" si="51">IF(C$25=30,AV54,20)</f>
        <v>20</v>
      </c>
      <c r="AX54" s="4">
        <f ca="1">AV49</f>
        <v>30</v>
      </c>
      <c r="AY54" s="19">
        <f t="shared" ref="AY54:AY102" ca="1" si="52">IF(VALUE(RIGHT(ROUND(R54/100*2,0)))&lt;=5,ROUND(R54/100*2,0)-VALUE(RIGHT(ROUND(R54/100*2,0))),ROUND(R54/100*2,0)+10-VALUE(RIGHT(ROUND(R54/100*2,0))))</f>
        <v>147790</v>
      </c>
      <c r="AZ54" s="4"/>
      <c r="BA54" s="4"/>
      <c r="BB54" s="4"/>
      <c r="BC54" s="4"/>
      <c r="BD54" s="4">
        <f t="shared" ca="1" si="8"/>
        <v>1</v>
      </c>
      <c r="BE54" s="4"/>
      <c r="BF54" s="4"/>
      <c r="BG54" s="4"/>
      <c r="BH54" s="4"/>
      <c r="BI54" s="119"/>
      <c r="BJ54" s="4"/>
      <c r="BK54" s="4"/>
      <c r="BL54" s="4"/>
      <c r="BM54" s="4"/>
      <c r="BN54" s="4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</row>
    <row r="55" spans="1:146" s="24" customFormat="1" ht="15" customHeight="1">
      <c r="A55" s="4">
        <v>26</v>
      </c>
      <c r="B55" s="268">
        <f t="shared" ref="B55:B65" ca="1" si="53">IF(N55=0,IF(N54=1,"ИТОГО"," "),DATE(YEAR(B54),MONTH(B54)+1,O55))</f>
        <v>46101</v>
      </c>
      <c r="C55" s="401"/>
      <c r="D55" s="443">
        <f ca="1">IF(N55=0,IF(N50=1,SUM(D$26:E54)," "),IF(N55=0," ",IF(N56=1,D$54,IF(N56=0,IF(R55&lt;&gt;0,ROUNDUP(R55,-1),0)," "))))</f>
        <v>153940</v>
      </c>
      <c r="E55" s="478"/>
      <c r="F55" s="84">
        <f ca="1">IF(N55=0,IF(N54=1,SUM(F$26:F54)," "),IF(M$1=1,P55,IF(M$1=2,Q55," ")))</f>
        <v>397480</v>
      </c>
      <c r="G55" s="84">
        <f ca="1">IF(N55=0,IF(N54=1,SUM(G$26:G54)," "),IF(M$1=1,AF55,IF(M$1=2,AG55," ")))</f>
        <v>0</v>
      </c>
      <c r="H55" s="84">
        <f t="shared" ca="1" si="37"/>
        <v>551420</v>
      </c>
      <c r="I55" s="84">
        <f ca="1">IF(N55=0,IF(N50=1,SUM(I$26:I54)," "),IF(N55=0," ",IF(N56=1,I$54,IF(N56=0,IF(S55&lt;&gt;0,ROUNDUP(S55,-1),0)," "))))</f>
        <v>160290</v>
      </c>
      <c r="J55" s="84">
        <f t="shared" ca="1" si="38"/>
        <v>413870</v>
      </c>
      <c r="K55" s="84">
        <f t="shared" ca="1" si="39"/>
        <v>0</v>
      </c>
      <c r="L55" s="84">
        <f t="shared" ref="L55:L102" ca="1" si="54">IF(SUM(I55:K55)=0," ",SUM(I55:K55))</f>
        <v>574160</v>
      </c>
      <c r="M55" s="4">
        <v>26</v>
      </c>
      <c r="N55" s="4">
        <f t="shared" ref="N55:N102" ca="1" si="55">IF(M$1=1,IF(M$14&gt;M54,1,0),IF(M$1=2,IF(M$14&gt;M54,1,0),0))</f>
        <v>1</v>
      </c>
      <c r="O55" s="4">
        <f t="shared" ref="O55:O65" ca="1" si="56">IF(M55=A$14,IF(DATE(YEAR(0),MONTH(0),DAY(D$16)-1)&lt;AW55,DATE(YEAR(0),MONTH(0),DAY(D$16)-1),AW55),AW55)</f>
        <v>20</v>
      </c>
      <c r="P55" s="22">
        <f t="shared" ca="1" si="40"/>
        <v>397480</v>
      </c>
      <c r="Q55" s="22">
        <f t="shared" ca="1" si="40"/>
        <v>397480</v>
      </c>
      <c r="R55" s="22">
        <f t="shared" ref="R55:R89" ca="1" si="57">IF(N55=0,0,R54-D54)</f>
        <v>7235430</v>
      </c>
      <c r="S55" s="22">
        <f ca="1">IF(N55=0,0,S54-I54)</f>
        <v>7533760</v>
      </c>
      <c r="T55" s="100">
        <f t="shared" ref="T55:T102" ca="1" si="58">IF(N56=1,AA54*D$11*20/36000+AA55*D$11*10/36000,IF(N56=0,IF(N55=0,0,AA55*D$11*Q$12/36000+AA54*D$11*20/36000+AA55*D$11*10/36000)))</f>
        <v>426866.91666666669</v>
      </c>
      <c r="U55" s="22">
        <f t="shared" ref="U55:U102" ca="1" si="59">IF(V55&lt;&gt;0,IF(VALUE(RIGHT(ROUND(V55,0)))&lt;=5,ROUND(V55,0)-VALUE(RIGHT(ROUND(V55,0))),ROUND(V55,0)+10-VALUE(RIGHT(ROUND(V55,0)))),0)</f>
        <v>397480</v>
      </c>
      <c r="V55" s="22">
        <f ca="1">IF(N56=1,R54*D$11*20/36000+R55*D$11*10/36000,IF(N56=0,IF(N55=0,0,IF(D$16&gt;20,R55*D$11*20/36000+R55*D$11*(Q$12-20)/36000,R55*D$11*Q$12/36000))))</f>
        <v>397478.06944444444</v>
      </c>
      <c r="W55" s="22">
        <f ca="1">IF(N56=1,R54*D$11*20/36000+R55*D$11*10/36000,IF(N56=0,IF(N55=0,0,IF(D$16&gt;20,R55*D$11*20/36000+R55*D$11*(Q$12-20)/36000,R55*D$11*Q$12/36000))))</f>
        <v>397478.06944444444</v>
      </c>
      <c r="X55" s="22">
        <f ca="1">IF(N56=1,S54*D$11*20/36000+S55*D$11*10/36000,IF(N56=0,IF(N55=0,0,IF(D$16&gt;20,S55*D$11*20/36000+S55*D$11*(Q$12-20)/36000,S55*D$11*Q$12/36000))))</f>
        <v>413866.91666666663</v>
      </c>
      <c r="Y55" s="22">
        <f t="shared" ref="Y55:Y102" ca="1" si="60">IF(X55&lt;&gt;0,IF(VALUE(RIGHT(ROUND(X55,0)))&lt;=5,ROUND(X55,0)-VALUE(RIGHT(ROUND(X55,0))),ROUND(X55,0)+10-VALUE(RIGHT(ROUND(X55,0)))),0)</f>
        <v>413870</v>
      </c>
      <c r="Z55" s="22">
        <f t="shared" ca="1" si="41"/>
        <v>650000</v>
      </c>
      <c r="AA55" s="22">
        <f t="shared" ref="AA55:AA102" ca="1" si="61">IF(M55&lt;=(D$15+1),D$10,AA54-I54)</f>
        <v>7773760</v>
      </c>
      <c r="AB55" s="22">
        <f t="shared" ca="1" si="42"/>
        <v>426866.91666666669</v>
      </c>
      <c r="AC55" s="22">
        <f t="shared" ca="1" si="23"/>
        <v>426870</v>
      </c>
      <c r="AD55" s="22">
        <f t="shared" ca="1" si="35"/>
        <v>650000</v>
      </c>
      <c r="AE55" s="22">
        <f t="shared" ref="AE55:AE101" ca="1" si="62">IF(R56=0,R55*Q$12,(R54*20+R55*10))</f>
        <v>220141700</v>
      </c>
      <c r="AF55" s="22">
        <f t="shared" ca="1" si="43"/>
        <v>0</v>
      </c>
      <c r="AG55" s="22">
        <f t="shared" ca="1" si="43"/>
        <v>0</v>
      </c>
      <c r="AH55" s="22">
        <f t="shared" ca="1" si="44"/>
        <v>0</v>
      </c>
      <c r="AI55" s="22">
        <f t="shared" ca="1" si="45"/>
        <v>0</v>
      </c>
      <c r="AJ55" s="22">
        <f t="shared" ref="AJ55:AJ102" ca="1" si="63">IF(N56=1,S54*G$12*20/36000+S55*G$12*10/36000,IF(N56=0,IF(N55=0,0,S55*G$12*Q$12/36000+S54*G$12*20/36000+S55*G$12*10/36000)))</f>
        <v>0</v>
      </c>
      <c r="AK55" s="22">
        <f t="shared" ref="AK55:AK102" ca="1" si="64">IF(AJ55&lt;&gt;0,IF(VALUE(RIGHT(ROUND(AJ55,0)))&lt;=5,ROUND(AJ55,0)-VALUE(RIGHT(ROUND(AJ55,0))),ROUND(AJ55,0)+10-VALUE(RIGHT(ROUND(AJ55,0)))),0)</f>
        <v>0</v>
      </c>
      <c r="AL55" s="22">
        <f t="shared" ca="1" si="28"/>
        <v>0</v>
      </c>
      <c r="AM55" s="22">
        <f t="shared" ca="1" si="29"/>
        <v>0</v>
      </c>
      <c r="AN55" s="22">
        <f t="shared" ca="1" si="46"/>
        <v>7235430</v>
      </c>
      <c r="AO55" s="22">
        <f t="shared" ref="AO55:AO65" ca="1" si="65">IF(N56=1,AN54*G$12*20/36000+AN55*G$12*10/36000,IF(N56=0,IF(N55=0,0,AN55*G$12*Q$12/36000+AN54*G$12*20/36000+AN55*G$12*10/36000)))</f>
        <v>0</v>
      </c>
      <c r="AP55" s="22">
        <f t="shared" ref="AP55:AP65" ca="1" si="66">IF(N56=1,AN54*G$12*20/36000+AN55*G$12*10/36000,IF(N56=0,IF(N55=0,0,AN55*G$12*Q$12/36000+AN54*G$12*20/36000+AN55*G$12*10/36000)))</f>
        <v>0</v>
      </c>
      <c r="AQ55" s="69">
        <f t="shared" ref="AQ55:AQ89" ca="1" si="67">IF(N55=0,0,MONTH(B54)+1)</f>
        <v>3</v>
      </c>
      <c r="AR55" s="69">
        <f t="shared" ca="1" si="47"/>
        <v>3</v>
      </c>
      <c r="AS55" s="4">
        <f t="shared" ref="AS55:AS89" ca="1" si="68">IF(N55=0,0,YEAR(B54))</f>
        <v>2026</v>
      </c>
      <c r="AT55" s="4">
        <f t="shared" ca="1" si="48"/>
        <v>2026</v>
      </c>
      <c r="AU55" s="4">
        <f t="shared" ca="1" si="49"/>
        <v>0</v>
      </c>
      <c r="AV55" s="4">
        <f t="shared" ca="1" si="50"/>
        <v>30</v>
      </c>
      <c r="AW55" s="4">
        <f t="shared" si="51"/>
        <v>20</v>
      </c>
      <c r="AX55" s="4">
        <f t="shared" ref="AX55:AX101" ca="1" si="69">AV54</f>
        <v>28</v>
      </c>
      <c r="AY55" s="19">
        <f t="shared" ca="1" si="52"/>
        <v>144710</v>
      </c>
      <c r="AZ55" s="19"/>
      <c r="BA55" s="19"/>
      <c r="BB55" s="19"/>
      <c r="BC55" s="19"/>
      <c r="BD55" s="4">
        <f t="shared" ca="1" si="8"/>
        <v>1</v>
      </c>
      <c r="BE55" s="19"/>
      <c r="BF55" s="19"/>
      <c r="BG55" s="19"/>
      <c r="BH55" s="19"/>
      <c r="BI55" s="120"/>
      <c r="BJ55" s="19"/>
      <c r="BK55" s="19"/>
      <c r="BL55" s="19"/>
      <c r="BM55" s="19"/>
      <c r="BN55" s="19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</row>
    <row r="56" spans="1:146" s="24" customFormat="1" ht="15" customHeight="1">
      <c r="A56" s="4">
        <v>27</v>
      </c>
      <c r="B56" s="268">
        <f t="shared" ca="1" si="53"/>
        <v>46132</v>
      </c>
      <c r="C56" s="401"/>
      <c r="D56" s="443">
        <f ca="1">IF(N56=0,IF(N52=1,SUM(D$26:E55)," "),IF(N56=0," ",IF(N57=1,D$54,IF(N57=0,IF(R56&lt;&gt;0,ROUNDUP(R56,-1),0)," "))))</f>
        <v>153940</v>
      </c>
      <c r="E56" s="478"/>
      <c r="F56" s="84">
        <f ca="1">IF(N56=0,IF(N55=1,SUM(F$26:F55)," "),IF(M$1=1,P56,IF(M$1=2,Q56," ")))</f>
        <v>389140</v>
      </c>
      <c r="G56" s="84">
        <f ca="1">IF(N56=0,IF(N55=1,SUM(G$26:G55)," "),IF(M$1=1,AF56,IF(M$1=2,AG56," ")))</f>
        <v>0</v>
      </c>
      <c r="H56" s="84">
        <f t="shared" ca="1" si="37"/>
        <v>543080</v>
      </c>
      <c r="I56" s="84">
        <f ca="1">IF(N56=0,IF(N51=1,SUM(I$26:I55)," "),IF(N56=0," ",IF(N57=1,I$54,IF(N57=0,IF(S56&lt;&gt;0,ROUNDUP(S56,-1),0)," "))))</f>
        <v>160290</v>
      </c>
      <c r="J56" s="84">
        <f t="shared" ca="1" si="38"/>
        <v>405180</v>
      </c>
      <c r="K56" s="84">
        <f t="shared" ca="1" si="39"/>
        <v>0</v>
      </c>
      <c r="L56" s="84">
        <f t="shared" ca="1" si="54"/>
        <v>565470</v>
      </c>
      <c r="M56" s="4">
        <v>27</v>
      </c>
      <c r="N56" s="4">
        <f t="shared" ca="1" si="55"/>
        <v>1</v>
      </c>
      <c r="O56" s="4">
        <f t="shared" ca="1" si="56"/>
        <v>20</v>
      </c>
      <c r="P56" s="22">
        <f t="shared" ca="1" si="40"/>
        <v>389140</v>
      </c>
      <c r="Q56" s="22">
        <f t="shared" ca="1" si="40"/>
        <v>389140</v>
      </c>
      <c r="R56" s="22">
        <f t="shared" ca="1" si="57"/>
        <v>7081490</v>
      </c>
      <c r="S56" s="22">
        <f t="shared" ref="S56:S102" ca="1" si="70">IF(N56=0,0,S55-I55)</f>
        <v>7373470</v>
      </c>
      <c r="T56" s="100">
        <f t="shared" ca="1" si="58"/>
        <v>418184.54166666669</v>
      </c>
      <c r="U56" s="22">
        <f t="shared" ca="1" si="59"/>
        <v>389140</v>
      </c>
      <c r="V56" s="22">
        <f t="shared" ref="V56:V102" ca="1" si="71">IF(N57=1,R55*D$11*20/36000+R56*D$11*10/36000,IF(N57=0,IF(N56=0,0,IF(D$16&gt;20,R56*D$11*20/36000+R56*D$11*(Q$12-20)/36000,R56*D$11*Q$12/36000))))</f>
        <v>389139.65277777775</v>
      </c>
      <c r="W56" s="22">
        <f t="shared" ref="W56:W100" ca="1" si="72">IF(N57=1,R55*D$11*20/36000+R56*D$11*10/36000,IF(N57=0,IF(N56=0,0,IF(D$16&gt;20,R56*D$11*20/36000+R56*D$11*(Q$12-20)/36000,R56*D$11*Q$12/36000))))</f>
        <v>389139.65277777775</v>
      </c>
      <c r="X56" s="22">
        <f t="shared" ref="X56:X102" ca="1" si="73">IF(N57=1,S55*D$11*20/36000+S56*D$11*10/36000,IF(N57=0,IF(N56=0,0,IF(D$16&gt;20,S56*D$11*20/36000+S56*D$11*(Q$12-20)/36000,S56*D$11*Q$12/36000))))</f>
        <v>405184.54166666663</v>
      </c>
      <c r="Y56" s="22">
        <f t="shared" ca="1" si="60"/>
        <v>405180</v>
      </c>
      <c r="Z56" s="22">
        <f t="shared" ca="1" si="41"/>
        <v>650000</v>
      </c>
      <c r="AA56" s="22">
        <f t="shared" ca="1" si="61"/>
        <v>7613470</v>
      </c>
      <c r="AB56" s="22">
        <f t="shared" ca="1" si="42"/>
        <v>418184.54166666669</v>
      </c>
      <c r="AC56" s="22">
        <f t="shared" ca="1" si="23"/>
        <v>418180</v>
      </c>
      <c r="AD56" s="22">
        <f t="shared" ca="1" si="35"/>
        <v>650000</v>
      </c>
      <c r="AE56" s="22">
        <f t="shared" ca="1" si="62"/>
        <v>215523500</v>
      </c>
      <c r="AF56" s="22">
        <f t="shared" ca="1" si="43"/>
        <v>0</v>
      </c>
      <c r="AG56" s="22">
        <f t="shared" ca="1" si="43"/>
        <v>0</v>
      </c>
      <c r="AH56" s="22">
        <f t="shared" ca="1" si="44"/>
        <v>0</v>
      </c>
      <c r="AI56" s="22">
        <f t="shared" ca="1" si="45"/>
        <v>0</v>
      </c>
      <c r="AJ56" s="22">
        <f t="shared" ca="1" si="63"/>
        <v>0</v>
      </c>
      <c r="AK56" s="22">
        <f t="shared" ca="1" si="64"/>
        <v>0</v>
      </c>
      <c r="AL56" s="22">
        <f t="shared" ca="1" si="28"/>
        <v>0</v>
      </c>
      <c r="AM56" s="22">
        <f t="shared" ca="1" si="29"/>
        <v>0</v>
      </c>
      <c r="AN56" s="22">
        <f t="shared" ca="1" si="46"/>
        <v>7081490</v>
      </c>
      <c r="AO56" s="22">
        <f t="shared" ca="1" si="65"/>
        <v>0</v>
      </c>
      <c r="AP56" s="22">
        <f t="shared" ca="1" si="66"/>
        <v>0</v>
      </c>
      <c r="AQ56" s="69">
        <f t="shared" ca="1" si="67"/>
        <v>4</v>
      </c>
      <c r="AR56" s="69">
        <f t="shared" ca="1" si="47"/>
        <v>4</v>
      </c>
      <c r="AS56" s="4">
        <f t="shared" ca="1" si="68"/>
        <v>2026</v>
      </c>
      <c r="AT56" s="4">
        <f t="shared" ca="1" si="48"/>
        <v>2026</v>
      </c>
      <c r="AU56" s="4">
        <f t="shared" ca="1" si="49"/>
        <v>0</v>
      </c>
      <c r="AV56" s="4">
        <f t="shared" ca="1" si="50"/>
        <v>30</v>
      </c>
      <c r="AW56" s="4">
        <f t="shared" si="51"/>
        <v>20</v>
      </c>
      <c r="AX56" s="4">
        <f t="shared" ca="1" si="69"/>
        <v>30</v>
      </c>
      <c r="AY56" s="19">
        <f t="shared" ca="1" si="52"/>
        <v>141630</v>
      </c>
      <c r="AZ56" s="19"/>
      <c r="BA56" s="19"/>
      <c r="BB56" s="19"/>
      <c r="BC56" s="19"/>
      <c r="BD56" s="4">
        <f t="shared" ca="1" si="8"/>
        <v>1</v>
      </c>
      <c r="BE56" s="19"/>
      <c r="BF56" s="19"/>
      <c r="BG56" s="19"/>
      <c r="BH56" s="19"/>
      <c r="BI56" s="120"/>
      <c r="BJ56" s="19"/>
      <c r="BK56" s="19"/>
      <c r="BL56" s="19"/>
      <c r="BM56" s="19"/>
      <c r="BN56" s="19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</row>
    <row r="57" spans="1:146" s="24" customFormat="1" ht="15" customHeight="1">
      <c r="A57" s="4">
        <v>28</v>
      </c>
      <c r="B57" s="268">
        <f t="shared" ca="1" si="53"/>
        <v>46162</v>
      </c>
      <c r="C57" s="401"/>
      <c r="D57" s="443">
        <f ca="1">IF(N57=0,IF(N53=1,SUM(D$26:E56)," "),IF(N57=0," ",IF(N58=1,D$54,IF(N58=0,IF(R57&lt;&gt;0,ROUNDUP(R57,-1),0)," "))))</f>
        <v>153940</v>
      </c>
      <c r="E57" s="478"/>
      <c r="F57" s="84">
        <f ca="1">IF(N57=0,IF(N56=1,SUM(F$26:F56)," "),IF(M$1=1,P57,IF(M$1=2,Q57," ")))</f>
        <v>380800</v>
      </c>
      <c r="G57" s="84">
        <f ca="1">IF(N57=0,IF(N56=1,SUM(G$26:G56)," "),IF(M$1=1,AF57,IF(M$1=2,AG57," ")))</f>
        <v>0</v>
      </c>
      <c r="H57" s="84">
        <f t="shared" ca="1" si="37"/>
        <v>534740</v>
      </c>
      <c r="I57" s="84">
        <f ca="1">IF(N57=0,IF(N52=1,SUM(I$26:I56)," "),IF(N57=0," ",IF(N58=1,I$54,IF(N58=0,IF(S57&lt;&gt;0,ROUNDUP(S57,-1),0)," "))))</f>
        <v>160290</v>
      </c>
      <c r="J57" s="84">
        <f t="shared" ca="1" si="38"/>
        <v>396500</v>
      </c>
      <c r="K57" s="84">
        <f t="shared" ca="1" si="39"/>
        <v>0</v>
      </c>
      <c r="L57" s="84">
        <f t="shared" ca="1" si="54"/>
        <v>556790</v>
      </c>
      <c r="M57" s="4">
        <v>28</v>
      </c>
      <c r="N57" s="4">
        <f t="shared" ca="1" si="55"/>
        <v>1</v>
      </c>
      <c r="O57" s="4">
        <f t="shared" ca="1" si="56"/>
        <v>20</v>
      </c>
      <c r="P57" s="22">
        <f t="shared" ca="1" si="40"/>
        <v>380800</v>
      </c>
      <c r="Q57" s="22">
        <f t="shared" ca="1" si="40"/>
        <v>380800</v>
      </c>
      <c r="R57" s="22">
        <f t="shared" ca="1" si="57"/>
        <v>6927550</v>
      </c>
      <c r="S57" s="22">
        <f t="shared" ca="1" si="70"/>
        <v>7213180</v>
      </c>
      <c r="T57" s="100">
        <f t="shared" ca="1" si="58"/>
        <v>409502.16666666669</v>
      </c>
      <c r="U57" s="22">
        <f t="shared" ca="1" si="59"/>
        <v>380800</v>
      </c>
      <c r="V57" s="22">
        <f t="shared" ca="1" si="71"/>
        <v>380801.23611111112</v>
      </c>
      <c r="W57" s="22">
        <f t="shared" ca="1" si="72"/>
        <v>380801.23611111112</v>
      </c>
      <c r="X57" s="22">
        <f t="shared" ca="1" si="73"/>
        <v>396502.16666666663</v>
      </c>
      <c r="Y57" s="22">
        <f t="shared" ca="1" si="60"/>
        <v>396500</v>
      </c>
      <c r="Z57" s="22">
        <f t="shared" ca="1" si="41"/>
        <v>650000</v>
      </c>
      <c r="AA57" s="22">
        <f t="shared" ca="1" si="61"/>
        <v>7453180</v>
      </c>
      <c r="AB57" s="22">
        <f t="shared" ca="1" si="42"/>
        <v>409502.16666666669</v>
      </c>
      <c r="AC57" s="22">
        <f t="shared" ca="1" si="23"/>
        <v>409500</v>
      </c>
      <c r="AD57" s="22">
        <f t="shared" ca="1" si="35"/>
        <v>650000</v>
      </c>
      <c r="AE57" s="22">
        <f t="shared" ca="1" si="62"/>
        <v>210905300</v>
      </c>
      <c r="AF57" s="22">
        <f t="shared" ca="1" si="43"/>
        <v>0</v>
      </c>
      <c r="AG57" s="22">
        <f t="shared" ca="1" si="43"/>
        <v>0</v>
      </c>
      <c r="AH57" s="22">
        <f t="shared" ca="1" si="44"/>
        <v>0</v>
      </c>
      <c r="AI57" s="22">
        <f t="shared" ca="1" si="45"/>
        <v>0</v>
      </c>
      <c r="AJ57" s="22">
        <f t="shared" ca="1" si="63"/>
        <v>0</v>
      </c>
      <c r="AK57" s="22">
        <f t="shared" ca="1" si="64"/>
        <v>0</v>
      </c>
      <c r="AL57" s="22">
        <f t="shared" ca="1" si="28"/>
        <v>0</v>
      </c>
      <c r="AM57" s="22">
        <f t="shared" ca="1" si="29"/>
        <v>0</v>
      </c>
      <c r="AN57" s="22">
        <f t="shared" ca="1" si="46"/>
        <v>6927550</v>
      </c>
      <c r="AO57" s="22">
        <f t="shared" ca="1" si="65"/>
        <v>0</v>
      </c>
      <c r="AP57" s="22">
        <f t="shared" ca="1" si="66"/>
        <v>0</v>
      </c>
      <c r="AQ57" s="69">
        <f t="shared" ca="1" si="67"/>
        <v>5</v>
      </c>
      <c r="AR57" s="69">
        <f t="shared" ca="1" si="47"/>
        <v>5</v>
      </c>
      <c r="AS57" s="4">
        <f t="shared" ca="1" si="68"/>
        <v>2026</v>
      </c>
      <c r="AT57" s="4">
        <f t="shared" ca="1" si="48"/>
        <v>2026</v>
      </c>
      <c r="AU57" s="4">
        <f t="shared" ca="1" si="49"/>
        <v>0</v>
      </c>
      <c r="AV57" s="4">
        <f t="shared" ca="1" si="50"/>
        <v>30</v>
      </c>
      <c r="AW57" s="4">
        <f t="shared" si="51"/>
        <v>20</v>
      </c>
      <c r="AX57" s="4">
        <f t="shared" ca="1" si="69"/>
        <v>30</v>
      </c>
      <c r="AY57" s="19">
        <f t="shared" ca="1" si="52"/>
        <v>138550</v>
      </c>
      <c r="AZ57" s="19"/>
      <c r="BA57" s="19"/>
      <c r="BB57" s="19"/>
      <c r="BC57" s="19"/>
      <c r="BD57" s="4">
        <f t="shared" ca="1" si="8"/>
        <v>1</v>
      </c>
      <c r="BE57" s="19"/>
      <c r="BF57" s="19"/>
      <c r="BG57" s="19"/>
      <c r="BH57" s="19"/>
      <c r="BI57" s="120"/>
      <c r="BJ57" s="19"/>
      <c r="BK57" s="19"/>
      <c r="BL57" s="19"/>
      <c r="BM57" s="19"/>
      <c r="BN57" s="19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</row>
    <row r="58" spans="1:146" s="24" customFormat="1" ht="15" customHeight="1">
      <c r="A58" s="4">
        <v>29</v>
      </c>
      <c r="B58" s="268">
        <f t="shared" ca="1" si="53"/>
        <v>46193</v>
      </c>
      <c r="C58" s="401"/>
      <c r="D58" s="443">
        <f ca="1">IF(N58=0,IF(N54=1,SUM(D$26:E57)," "),IF(N58=0," ",IF(N59=1,D$54,IF(N59=0,IF(R58&lt;&gt;0,ROUNDUP(R58,-1),0)," "))))</f>
        <v>153940</v>
      </c>
      <c r="E58" s="478"/>
      <c r="F58" s="84">
        <f ca="1">IF(N58=0,IF(N57=1,SUM(F$26:F57)," "),IF(M$1=1,P58,IF(M$1=2,Q58," ")))</f>
        <v>372460</v>
      </c>
      <c r="G58" s="84">
        <f ca="1">IF(N58=0,IF(N57=1,SUM(G$26:G57)," "),IF(M$1=1,AF58,IF(M$1=2,AG58," ")))</f>
        <v>0</v>
      </c>
      <c r="H58" s="84">
        <f t="shared" ca="1" si="37"/>
        <v>526400</v>
      </c>
      <c r="I58" s="84">
        <f ca="1">IF(N58=0,IF(N53=1,SUM(I$26:I57)," "),IF(N58=0," ",IF(N59=1,I$54,IF(N59=0,IF(S58&lt;&gt;0,ROUNDUP(S58,-1),0)," "))))</f>
        <v>160290</v>
      </c>
      <c r="J58" s="84">
        <f t="shared" ca="1" si="38"/>
        <v>387820</v>
      </c>
      <c r="K58" s="84">
        <f t="shared" ca="1" si="39"/>
        <v>0</v>
      </c>
      <c r="L58" s="84">
        <f t="shared" ca="1" si="54"/>
        <v>548110</v>
      </c>
      <c r="M58" s="4">
        <v>29</v>
      </c>
      <c r="N58" s="4">
        <f t="shared" ca="1" si="55"/>
        <v>1</v>
      </c>
      <c r="O58" s="4">
        <f t="shared" ca="1" si="56"/>
        <v>20</v>
      </c>
      <c r="P58" s="22">
        <f t="shared" ca="1" si="40"/>
        <v>372460</v>
      </c>
      <c r="Q58" s="22">
        <f t="shared" ca="1" si="40"/>
        <v>372460</v>
      </c>
      <c r="R58" s="22">
        <f t="shared" ca="1" si="57"/>
        <v>6773610</v>
      </c>
      <c r="S58" s="22">
        <f t="shared" ca="1" si="70"/>
        <v>7052890</v>
      </c>
      <c r="T58" s="100">
        <f t="shared" ca="1" si="58"/>
        <v>400819.79166666669</v>
      </c>
      <c r="U58" s="22">
        <f t="shared" ca="1" si="59"/>
        <v>372460</v>
      </c>
      <c r="V58" s="22">
        <f t="shared" ca="1" si="71"/>
        <v>372462.81944444444</v>
      </c>
      <c r="W58" s="22">
        <f t="shared" ca="1" si="72"/>
        <v>372462.81944444444</v>
      </c>
      <c r="X58" s="22">
        <f t="shared" ca="1" si="73"/>
        <v>387819.79166666663</v>
      </c>
      <c r="Y58" s="22">
        <f t="shared" ca="1" si="60"/>
        <v>387820</v>
      </c>
      <c r="Z58" s="22">
        <f t="shared" ca="1" si="41"/>
        <v>650000</v>
      </c>
      <c r="AA58" s="22">
        <f t="shared" ca="1" si="61"/>
        <v>7292890</v>
      </c>
      <c r="AB58" s="22">
        <f t="shared" ca="1" si="42"/>
        <v>400819.79166666669</v>
      </c>
      <c r="AC58" s="22">
        <f t="shared" ca="1" si="23"/>
        <v>400820</v>
      </c>
      <c r="AD58" s="22">
        <f t="shared" ca="1" si="35"/>
        <v>650000</v>
      </c>
      <c r="AE58" s="22">
        <f t="shared" ca="1" si="62"/>
        <v>206287100</v>
      </c>
      <c r="AF58" s="22">
        <f t="shared" ca="1" si="43"/>
        <v>0</v>
      </c>
      <c r="AG58" s="22">
        <f t="shared" ca="1" si="43"/>
        <v>0</v>
      </c>
      <c r="AH58" s="22">
        <f t="shared" ca="1" si="44"/>
        <v>0</v>
      </c>
      <c r="AI58" s="22">
        <f t="shared" ca="1" si="45"/>
        <v>0</v>
      </c>
      <c r="AJ58" s="22">
        <f t="shared" ca="1" si="63"/>
        <v>0</v>
      </c>
      <c r="AK58" s="22">
        <f t="shared" ca="1" si="64"/>
        <v>0</v>
      </c>
      <c r="AL58" s="22">
        <f t="shared" ca="1" si="28"/>
        <v>0</v>
      </c>
      <c r="AM58" s="22">
        <f t="shared" ca="1" si="29"/>
        <v>0</v>
      </c>
      <c r="AN58" s="22">
        <f t="shared" ca="1" si="46"/>
        <v>6773610</v>
      </c>
      <c r="AO58" s="22">
        <f t="shared" ca="1" si="65"/>
        <v>0</v>
      </c>
      <c r="AP58" s="22">
        <f t="shared" ca="1" si="66"/>
        <v>0</v>
      </c>
      <c r="AQ58" s="69">
        <f t="shared" ca="1" si="67"/>
        <v>6</v>
      </c>
      <c r="AR58" s="69">
        <f t="shared" ca="1" si="47"/>
        <v>6</v>
      </c>
      <c r="AS58" s="4">
        <f t="shared" ca="1" si="68"/>
        <v>2026</v>
      </c>
      <c r="AT58" s="4">
        <f t="shared" ca="1" si="48"/>
        <v>2026</v>
      </c>
      <c r="AU58" s="4">
        <f t="shared" ca="1" si="49"/>
        <v>0</v>
      </c>
      <c r="AV58" s="4">
        <f t="shared" ca="1" si="50"/>
        <v>30</v>
      </c>
      <c r="AW58" s="4">
        <f t="shared" si="51"/>
        <v>20</v>
      </c>
      <c r="AX58" s="4">
        <f t="shared" ca="1" si="69"/>
        <v>30</v>
      </c>
      <c r="AY58" s="19">
        <f t="shared" ca="1" si="52"/>
        <v>135470</v>
      </c>
      <c r="AZ58" s="19"/>
      <c r="BA58" s="19"/>
      <c r="BB58" s="19"/>
      <c r="BC58" s="19"/>
      <c r="BD58" s="4">
        <f t="shared" ca="1" si="8"/>
        <v>1</v>
      </c>
      <c r="BE58" s="19"/>
      <c r="BF58" s="19"/>
      <c r="BG58" s="19"/>
      <c r="BH58" s="19"/>
      <c r="BI58" s="120"/>
      <c r="BJ58" s="19"/>
      <c r="BK58" s="19"/>
      <c r="BL58" s="19"/>
      <c r="BM58" s="19"/>
      <c r="BN58" s="19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</row>
    <row r="59" spans="1:146" s="24" customFormat="1" ht="15" customHeight="1">
      <c r="A59" s="4">
        <v>30</v>
      </c>
      <c r="B59" s="268">
        <f t="shared" ca="1" si="53"/>
        <v>46223</v>
      </c>
      <c r="C59" s="401"/>
      <c r="D59" s="443">
        <f ca="1">IF(N59=0,IF(N55=1,SUM(D$26:E58)," "),IF(N59=0," ",IF(N60=1,D$54,IF(N60=0,IF(R59&lt;&gt;0,ROUNDUP(R59,-1),0)," "))))</f>
        <v>153940</v>
      </c>
      <c r="E59" s="478"/>
      <c r="F59" s="84">
        <f ca="1">IF(N59=0,IF(N58=1,SUM(F$26:F58)," "),IF(M$1=1,P59,IF(M$1=2,Q59," ")))</f>
        <v>364120</v>
      </c>
      <c r="G59" s="84">
        <f ca="1">IF(N59=0,IF(N58=1,SUM(G$26:G58)," "),IF(M$1=1,AF59,IF(M$1=2,AG59," ")))</f>
        <v>0</v>
      </c>
      <c r="H59" s="84">
        <f t="shared" ca="1" si="37"/>
        <v>518060</v>
      </c>
      <c r="I59" s="84">
        <f ca="1">IF(N59=0,IF(N54=1,SUM(I$26:I58)," "),IF(N59=0," ",IF(N60=1,I$54,IF(N60=0,IF(S59&lt;&gt;0,ROUNDUP(S59,-1),0)," "))))</f>
        <v>160290</v>
      </c>
      <c r="J59" s="84">
        <f t="shared" ca="1" si="38"/>
        <v>379140</v>
      </c>
      <c r="K59" s="84">
        <f t="shared" ca="1" si="39"/>
        <v>0</v>
      </c>
      <c r="L59" s="84">
        <f t="shared" ca="1" si="54"/>
        <v>539430</v>
      </c>
      <c r="M59" s="4">
        <v>30</v>
      </c>
      <c r="N59" s="4">
        <f t="shared" ca="1" si="55"/>
        <v>1</v>
      </c>
      <c r="O59" s="4">
        <f t="shared" ca="1" si="56"/>
        <v>20</v>
      </c>
      <c r="P59" s="22">
        <f t="shared" ca="1" si="40"/>
        <v>364120</v>
      </c>
      <c r="Q59" s="22">
        <f t="shared" ca="1" si="40"/>
        <v>364120</v>
      </c>
      <c r="R59" s="22">
        <f t="shared" ca="1" si="57"/>
        <v>6619670</v>
      </c>
      <c r="S59" s="22">
        <f t="shared" ca="1" si="70"/>
        <v>6892600</v>
      </c>
      <c r="T59" s="100">
        <f t="shared" ca="1" si="58"/>
        <v>392137.41666666669</v>
      </c>
      <c r="U59" s="22">
        <f t="shared" ca="1" si="59"/>
        <v>364120</v>
      </c>
      <c r="V59" s="22">
        <f t="shared" ca="1" si="71"/>
        <v>364124.40277777775</v>
      </c>
      <c r="W59" s="22">
        <f t="shared" ca="1" si="72"/>
        <v>364124.40277777775</v>
      </c>
      <c r="X59" s="22">
        <f t="shared" ca="1" si="73"/>
        <v>379137.41666666663</v>
      </c>
      <c r="Y59" s="22">
        <f t="shared" ca="1" si="60"/>
        <v>379140</v>
      </c>
      <c r="Z59" s="22">
        <f t="shared" ca="1" si="41"/>
        <v>650000</v>
      </c>
      <c r="AA59" s="22">
        <f t="shared" ca="1" si="61"/>
        <v>7132600</v>
      </c>
      <c r="AB59" s="22">
        <f t="shared" ca="1" si="42"/>
        <v>392137.41666666669</v>
      </c>
      <c r="AC59" s="22">
        <f t="shared" ca="1" si="23"/>
        <v>392140</v>
      </c>
      <c r="AD59" s="22">
        <f t="shared" ca="1" si="35"/>
        <v>650000</v>
      </c>
      <c r="AE59" s="22">
        <f t="shared" ca="1" si="62"/>
        <v>201668900</v>
      </c>
      <c r="AF59" s="22">
        <f t="shared" ca="1" si="43"/>
        <v>0</v>
      </c>
      <c r="AG59" s="22">
        <f t="shared" ca="1" si="43"/>
        <v>0</v>
      </c>
      <c r="AH59" s="22">
        <f t="shared" ca="1" si="44"/>
        <v>0</v>
      </c>
      <c r="AI59" s="22">
        <f t="shared" ca="1" si="45"/>
        <v>0</v>
      </c>
      <c r="AJ59" s="22">
        <f t="shared" ca="1" si="63"/>
        <v>0</v>
      </c>
      <c r="AK59" s="22">
        <f t="shared" ca="1" si="64"/>
        <v>0</v>
      </c>
      <c r="AL59" s="22">
        <f t="shared" ca="1" si="28"/>
        <v>0</v>
      </c>
      <c r="AM59" s="22">
        <f t="shared" ca="1" si="29"/>
        <v>0</v>
      </c>
      <c r="AN59" s="22">
        <f t="shared" ca="1" si="46"/>
        <v>6619670</v>
      </c>
      <c r="AO59" s="22">
        <f t="shared" ca="1" si="65"/>
        <v>0</v>
      </c>
      <c r="AP59" s="22">
        <f t="shared" ca="1" si="66"/>
        <v>0</v>
      </c>
      <c r="AQ59" s="69">
        <f t="shared" ca="1" si="67"/>
        <v>7</v>
      </c>
      <c r="AR59" s="69">
        <f t="shared" ca="1" si="47"/>
        <v>7</v>
      </c>
      <c r="AS59" s="4">
        <f t="shared" ca="1" si="68"/>
        <v>2026</v>
      </c>
      <c r="AT59" s="4">
        <f t="shared" ca="1" si="48"/>
        <v>2026</v>
      </c>
      <c r="AU59" s="4">
        <f t="shared" ca="1" si="49"/>
        <v>0</v>
      </c>
      <c r="AV59" s="4">
        <f t="shared" ca="1" si="50"/>
        <v>30</v>
      </c>
      <c r="AW59" s="4">
        <f t="shared" si="51"/>
        <v>20</v>
      </c>
      <c r="AX59" s="4">
        <f t="shared" ca="1" si="69"/>
        <v>30</v>
      </c>
      <c r="AY59" s="19">
        <f t="shared" ca="1" si="52"/>
        <v>132390</v>
      </c>
      <c r="AZ59" s="19"/>
      <c r="BA59" s="19"/>
      <c r="BB59" s="19"/>
      <c r="BC59" s="19"/>
      <c r="BD59" s="4">
        <f t="shared" ca="1" si="8"/>
        <v>1</v>
      </c>
      <c r="BE59" s="19"/>
      <c r="BF59" s="19"/>
      <c r="BG59" s="19"/>
      <c r="BH59" s="19"/>
      <c r="BI59" s="120"/>
      <c r="BJ59" s="19"/>
      <c r="BK59" s="19"/>
      <c r="BL59" s="19"/>
      <c r="BM59" s="19"/>
      <c r="BN59" s="19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</row>
    <row r="60" spans="1:146" s="24" customFormat="1" ht="15" customHeight="1">
      <c r="A60" s="4">
        <v>31</v>
      </c>
      <c r="B60" s="268">
        <f t="shared" ca="1" si="53"/>
        <v>46254</v>
      </c>
      <c r="C60" s="401"/>
      <c r="D60" s="443">
        <f ca="1">IF(N60=0,IF(N56=1,SUM(D$26:E59)," "),IF(N60=0," ",IF(N61=1,D$54,IF(N61=0,IF(R60&lt;&gt;0,ROUNDUP(R60,-1),0)," "))))</f>
        <v>153940</v>
      </c>
      <c r="E60" s="478"/>
      <c r="F60" s="84">
        <f ca="1">IF(N60=0,IF(N59=1,SUM(F$26:F59)," "),IF(M$1=1,P60,IF(M$1=2,Q60," ")))</f>
        <v>355790</v>
      </c>
      <c r="G60" s="84">
        <f ca="1">IF(N60=0,IF(N59=1,SUM(G$26:G59)," "),IF(M$1=1,AF60,IF(M$1=2,AG60," ")))</f>
        <v>0</v>
      </c>
      <c r="H60" s="84">
        <f t="shared" ca="1" si="37"/>
        <v>509730</v>
      </c>
      <c r="I60" s="84">
        <f ca="1">IF(N60=0,IF(N55=1,SUM(I$26:I59)," "),IF(N60=0," ",IF(N61=1,I$54,IF(N61=0,IF(S60&lt;&gt;0,ROUNDUP(S60,-1),0)," "))))</f>
        <v>160290</v>
      </c>
      <c r="J60" s="84">
        <f t="shared" ca="1" si="38"/>
        <v>370450</v>
      </c>
      <c r="K60" s="84">
        <f t="shared" ca="1" si="39"/>
        <v>0</v>
      </c>
      <c r="L60" s="84">
        <f t="shared" ca="1" si="54"/>
        <v>530740</v>
      </c>
      <c r="M60" s="4">
        <v>31</v>
      </c>
      <c r="N60" s="4">
        <f t="shared" ca="1" si="55"/>
        <v>1</v>
      </c>
      <c r="O60" s="4">
        <f t="shared" ca="1" si="56"/>
        <v>20</v>
      </c>
      <c r="P60" s="22">
        <f t="shared" ca="1" si="40"/>
        <v>355790</v>
      </c>
      <c r="Q60" s="22">
        <f t="shared" ca="1" si="40"/>
        <v>355790</v>
      </c>
      <c r="R60" s="22">
        <f t="shared" ca="1" si="57"/>
        <v>6465730</v>
      </c>
      <c r="S60" s="22">
        <f t="shared" ca="1" si="70"/>
        <v>6732310</v>
      </c>
      <c r="T60" s="100">
        <f t="shared" ca="1" si="58"/>
        <v>383455.04166666669</v>
      </c>
      <c r="U60" s="22">
        <f t="shared" ca="1" si="59"/>
        <v>355790</v>
      </c>
      <c r="V60" s="22">
        <f t="shared" ca="1" si="71"/>
        <v>355785.98611111112</v>
      </c>
      <c r="W60" s="22">
        <f t="shared" ca="1" si="72"/>
        <v>355785.98611111112</v>
      </c>
      <c r="X60" s="22">
        <f t="shared" ca="1" si="73"/>
        <v>370455.04166666663</v>
      </c>
      <c r="Y60" s="22">
        <f t="shared" ca="1" si="60"/>
        <v>370450</v>
      </c>
      <c r="Z60" s="22">
        <f t="shared" ca="1" si="41"/>
        <v>650000</v>
      </c>
      <c r="AA60" s="22">
        <f t="shared" ca="1" si="61"/>
        <v>6972310</v>
      </c>
      <c r="AB60" s="22">
        <f t="shared" ca="1" si="42"/>
        <v>383455.04166666669</v>
      </c>
      <c r="AC60" s="22">
        <f t="shared" ca="1" si="23"/>
        <v>383450</v>
      </c>
      <c r="AD60" s="22">
        <f t="shared" ca="1" si="35"/>
        <v>650000</v>
      </c>
      <c r="AE60" s="22">
        <f t="shared" ca="1" si="62"/>
        <v>197050700</v>
      </c>
      <c r="AF60" s="22">
        <f t="shared" ca="1" si="43"/>
        <v>0</v>
      </c>
      <c r="AG60" s="22">
        <f t="shared" ca="1" si="43"/>
        <v>0</v>
      </c>
      <c r="AH60" s="22">
        <f t="shared" ca="1" si="44"/>
        <v>0</v>
      </c>
      <c r="AI60" s="22">
        <f t="shared" ca="1" si="45"/>
        <v>0</v>
      </c>
      <c r="AJ60" s="22">
        <f t="shared" ca="1" si="63"/>
        <v>0</v>
      </c>
      <c r="AK60" s="22">
        <f t="shared" ca="1" si="64"/>
        <v>0</v>
      </c>
      <c r="AL60" s="22">
        <f t="shared" ca="1" si="28"/>
        <v>0</v>
      </c>
      <c r="AM60" s="22">
        <f t="shared" ca="1" si="29"/>
        <v>0</v>
      </c>
      <c r="AN60" s="22">
        <f t="shared" ca="1" si="46"/>
        <v>6465730</v>
      </c>
      <c r="AO60" s="22">
        <f t="shared" ca="1" si="65"/>
        <v>0</v>
      </c>
      <c r="AP60" s="22">
        <f t="shared" ca="1" si="66"/>
        <v>0</v>
      </c>
      <c r="AQ60" s="69">
        <f t="shared" ca="1" si="67"/>
        <v>8</v>
      </c>
      <c r="AR60" s="69">
        <f t="shared" ca="1" si="47"/>
        <v>8</v>
      </c>
      <c r="AS60" s="4">
        <f t="shared" ca="1" si="68"/>
        <v>2026</v>
      </c>
      <c r="AT60" s="4">
        <f t="shared" ca="1" si="48"/>
        <v>2026</v>
      </c>
      <c r="AU60" s="4">
        <f t="shared" ca="1" si="49"/>
        <v>0</v>
      </c>
      <c r="AV60" s="4">
        <f t="shared" ca="1" si="50"/>
        <v>30</v>
      </c>
      <c r="AW60" s="4">
        <f t="shared" si="51"/>
        <v>20</v>
      </c>
      <c r="AX60" s="4">
        <f t="shared" ca="1" si="69"/>
        <v>30</v>
      </c>
      <c r="AY60" s="19">
        <f t="shared" ca="1" si="52"/>
        <v>129310</v>
      </c>
      <c r="AZ60" s="19"/>
      <c r="BA60" s="19"/>
      <c r="BB60" s="19"/>
      <c r="BC60" s="19"/>
      <c r="BD60" s="4">
        <f t="shared" ca="1" si="8"/>
        <v>1</v>
      </c>
      <c r="BE60" s="19"/>
      <c r="BF60" s="19"/>
      <c r="BG60" s="19"/>
      <c r="BH60" s="19"/>
      <c r="BI60" s="120"/>
      <c r="BJ60" s="19"/>
      <c r="BK60" s="19"/>
      <c r="BL60" s="19"/>
      <c r="BM60" s="19"/>
      <c r="BN60" s="19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</row>
    <row r="61" spans="1:146" s="24" customFormat="1" ht="15" customHeight="1">
      <c r="A61" s="4">
        <v>32</v>
      </c>
      <c r="B61" s="268">
        <f t="shared" ca="1" si="53"/>
        <v>46285</v>
      </c>
      <c r="C61" s="401"/>
      <c r="D61" s="443">
        <f ca="1">IF(N61=0,IF(N57=1,SUM(D$26:E60)," "),IF(N61=0," ",IF(N62=1,D$54,IF(N62=0,IF(R61&lt;&gt;0,ROUNDUP(R61,-1),0)," "))))</f>
        <v>153940</v>
      </c>
      <c r="E61" s="443"/>
      <c r="F61" s="84">
        <f ca="1">IF(N61=0,IF(N60=1,SUM(F$26:F60)," "),IF(M$1=1,P61,IF(M$1=2,Q61," ")))</f>
        <v>347450</v>
      </c>
      <c r="G61" s="84">
        <f ca="1">IF(N61=0,IF(N60=1,SUM(G$26:G60)," "),IF(M$1=1,AF61,IF(M$1=2,AG61," ")))</f>
        <v>0</v>
      </c>
      <c r="H61" s="84">
        <f t="shared" ca="1" si="37"/>
        <v>501390</v>
      </c>
      <c r="I61" s="84">
        <f ca="1">IF(N61=0,IF(N56=1,SUM(I$26:I60)," "),IF(N61=0," ",IF(N62=1,I$54,IF(N62=0,IF(S61&lt;&gt;0,ROUNDUP(S61,-1),0)," "))))</f>
        <v>160290</v>
      </c>
      <c r="J61" s="84">
        <f t="shared" ca="1" si="38"/>
        <v>361770</v>
      </c>
      <c r="K61" s="84">
        <f t="shared" ca="1" si="39"/>
        <v>0</v>
      </c>
      <c r="L61" s="84">
        <f t="shared" ca="1" si="54"/>
        <v>522060</v>
      </c>
      <c r="M61" s="4">
        <v>32</v>
      </c>
      <c r="N61" s="4">
        <f t="shared" ca="1" si="55"/>
        <v>1</v>
      </c>
      <c r="O61" s="4">
        <f t="shared" ca="1" si="56"/>
        <v>20</v>
      </c>
      <c r="P61" s="22">
        <f t="shared" ca="1" si="40"/>
        <v>347450</v>
      </c>
      <c r="Q61" s="22">
        <f t="shared" ca="1" si="40"/>
        <v>347450</v>
      </c>
      <c r="R61" s="22">
        <f t="shared" ca="1" si="57"/>
        <v>6311790</v>
      </c>
      <c r="S61" s="22">
        <f t="shared" ca="1" si="70"/>
        <v>6572020</v>
      </c>
      <c r="T61" s="100">
        <f t="shared" ca="1" si="58"/>
        <v>374772.66666666669</v>
      </c>
      <c r="U61" s="22">
        <f t="shared" ca="1" si="59"/>
        <v>347450</v>
      </c>
      <c r="V61" s="22">
        <f t="shared" ca="1" si="71"/>
        <v>347447.56944444444</v>
      </c>
      <c r="W61" s="22">
        <f t="shared" ca="1" si="72"/>
        <v>347447.56944444444</v>
      </c>
      <c r="X61" s="22">
        <f t="shared" ca="1" si="73"/>
        <v>361772.66666666663</v>
      </c>
      <c r="Y61" s="22">
        <f t="shared" ca="1" si="60"/>
        <v>361770</v>
      </c>
      <c r="Z61" s="22">
        <f t="shared" ca="1" si="41"/>
        <v>650000</v>
      </c>
      <c r="AA61" s="22">
        <f t="shared" ca="1" si="61"/>
        <v>6812020</v>
      </c>
      <c r="AB61" s="22">
        <f t="shared" ca="1" si="42"/>
        <v>374772.66666666669</v>
      </c>
      <c r="AC61" s="22">
        <f t="shared" ca="1" si="23"/>
        <v>374770</v>
      </c>
      <c r="AD61" s="22">
        <f t="shared" ca="1" si="35"/>
        <v>650000</v>
      </c>
      <c r="AE61" s="22">
        <f t="shared" ca="1" si="62"/>
        <v>192432500</v>
      </c>
      <c r="AF61" s="22">
        <f t="shared" ca="1" si="43"/>
        <v>0</v>
      </c>
      <c r="AG61" s="22">
        <f t="shared" ca="1" si="43"/>
        <v>0</v>
      </c>
      <c r="AH61" s="22">
        <f t="shared" ca="1" si="44"/>
        <v>0</v>
      </c>
      <c r="AI61" s="22">
        <f t="shared" ca="1" si="45"/>
        <v>0</v>
      </c>
      <c r="AJ61" s="22">
        <f t="shared" ca="1" si="63"/>
        <v>0</v>
      </c>
      <c r="AK61" s="22">
        <f t="shared" ca="1" si="64"/>
        <v>0</v>
      </c>
      <c r="AL61" s="22">
        <f t="shared" ca="1" si="28"/>
        <v>0</v>
      </c>
      <c r="AM61" s="22">
        <f t="shared" ca="1" si="29"/>
        <v>0</v>
      </c>
      <c r="AN61" s="22">
        <f t="shared" ca="1" si="46"/>
        <v>6311790</v>
      </c>
      <c r="AO61" s="22">
        <f t="shared" ca="1" si="65"/>
        <v>0</v>
      </c>
      <c r="AP61" s="22">
        <f t="shared" ca="1" si="66"/>
        <v>0</v>
      </c>
      <c r="AQ61" s="69">
        <f t="shared" ca="1" si="67"/>
        <v>9</v>
      </c>
      <c r="AR61" s="69">
        <f t="shared" ca="1" si="47"/>
        <v>9</v>
      </c>
      <c r="AS61" s="4">
        <f t="shared" ca="1" si="68"/>
        <v>2026</v>
      </c>
      <c r="AT61" s="4">
        <f t="shared" ca="1" si="48"/>
        <v>2026</v>
      </c>
      <c r="AU61" s="4">
        <f t="shared" ca="1" si="49"/>
        <v>0</v>
      </c>
      <c r="AV61" s="4">
        <f t="shared" ca="1" si="50"/>
        <v>30</v>
      </c>
      <c r="AW61" s="4">
        <f t="shared" si="51"/>
        <v>20</v>
      </c>
      <c r="AX61" s="4">
        <f t="shared" ca="1" si="69"/>
        <v>30</v>
      </c>
      <c r="AY61" s="19">
        <f t="shared" ca="1" si="52"/>
        <v>126240</v>
      </c>
      <c r="AZ61" s="19"/>
      <c r="BA61" s="19"/>
      <c r="BB61" s="19"/>
      <c r="BC61" s="19"/>
      <c r="BD61" s="4">
        <f t="shared" ca="1" si="8"/>
        <v>1</v>
      </c>
      <c r="BE61" s="19"/>
      <c r="BF61" s="19"/>
      <c r="BG61" s="19"/>
      <c r="BH61" s="19"/>
      <c r="BI61" s="120"/>
      <c r="BJ61" s="19"/>
      <c r="BK61" s="19"/>
      <c r="BL61" s="19"/>
      <c r="BM61" s="19"/>
      <c r="BN61" s="19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</row>
    <row r="62" spans="1:146" s="24" customFormat="1" ht="15" customHeight="1">
      <c r="A62" s="4">
        <v>33</v>
      </c>
      <c r="B62" s="268">
        <f t="shared" ca="1" si="53"/>
        <v>46315</v>
      </c>
      <c r="C62" s="401"/>
      <c r="D62" s="443">
        <f ca="1">IF(N62=0,IF(N58=1,SUM(D$26:E61)," "),IF(N62=0," ",IF(N63=1,D$54,IF(N63=0,IF(R62&lt;&gt;0,ROUNDUP(R62,-1),0)," "))))</f>
        <v>153940</v>
      </c>
      <c r="E62" s="443"/>
      <c r="F62" s="84">
        <f ca="1">IF(N62=0,IF(N61=1,SUM(F$26:F61)," "),IF(M$1=1,P62,IF(M$1=2,Q62," ")))</f>
        <v>339110</v>
      </c>
      <c r="G62" s="84">
        <f ca="1">IF(N62=0,IF(N61=1,SUM(G$26:G61)," "),IF(M$1=1,AF62,IF(M$1=2,AG62," ")))</f>
        <v>0</v>
      </c>
      <c r="H62" s="84">
        <f t="shared" ca="1" si="37"/>
        <v>493050</v>
      </c>
      <c r="I62" s="84">
        <f ca="1">IF(N62=0,IF(N57=1,SUM(I$26:I61)," "),IF(N62=0," ",IF(N63=1,I$54,IF(N63=0,IF(S62&lt;&gt;0,ROUNDUP(S62,-1),0)," "))))</f>
        <v>160290</v>
      </c>
      <c r="J62" s="84">
        <f t="shared" ca="1" si="38"/>
        <v>353090</v>
      </c>
      <c r="K62" s="84">
        <f t="shared" ca="1" si="39"/>
        <v>0</v>
      </c>
      <c r="L62" s="84">
        <f t="shared" ca="1" si="54"/>
        <v>513380</v>
      </c>
      <c r="M62" s="4">
        <v>33</v>
      </c>
      <c r="N62" s="4">
        <f t="shared" ca="1" si="55"/>
        <v>1</v>
      </c>
      <c r="O62" s="4">
        <f t="shared" ca="1" si="56"/>
        <v>20</v>
      </c>
      <c r="P62" s="22">
        <f t="shared" ca="1" si="40"/>
        <v>339110</v>
      </c>
      <c r="Q62" s="22">
        <f t="shared" ca="1" si="40"/>
        <v>339110</v>
      </c>
      <c r="R62" s="22">
        <f t="shared" ca="1" si="57"/>
        <v>6157850</v>
      </c>
      <c r="S62" s="22">
        <f t="shared" ca="1" si="70"/>
        <v>6411730</v>
      </c>
      <c r="T62" s="100">
        <f t="shared" ca="1" si="58"/>
        <v>366090.29166666669</v>
      </c>
      <c r="U62" s="22">
        <f t="shared" ca="1" si="59"/>
        <v>339110</v>
      </c>
      <c r="V62" s="22">
        <f t="shared" ca="1" si="71"/>
        <v>339109.15277777775</v>
      </c>
      <c r="W62" s="22">
        <f t="shared" ca="1" si="72"/>
        <v>339109.15277777775</v>
      </c>
      <c r="X62" s="22">
        <f t="shared" ca="1" si="73"/>
        <v>353090.29166666663</v>
      </c>
      <c r="Y62" s="22">
        <f t="shared" ca="1" si="60"/>
        <v>353090</v>
      </c>
      <c r="Z62" s="22">
        <f t="shared" ca="1" si="41"/>
        <v>650000</v>
      </c>
      <c r="AA62" s="22">
        <f t="shared" ca="1" si="61"/>
        <v>6651730</v>
      </c>
      <c r="AB62" s="22">
        <f t="shared" ca="1" si="42"/>
        <v>366090.29166666669</v>
      </c>
      <c r="AC62" s="22">
        <f t="shared" ca="1" si="23"/>
        <v>366090</v>
      </c>
      <c r="AD62" s="22">
        <f t="shared" ca="1" si="35"/>
        <v>650000</v>
      </c>
      <c r="AE62" s="22">
        <f t="shared" ca="1" si="62"/>
        <v>187814300</v>
      </c>
      <c r="AF62" s="22">
        <f t="shared" ca="1" si="43"/>
        <v>0</v>
      </c>
      <c r="AG62" s="22">
        <f t="shared" ca="1" si="43"/>
        <v>0</v>
      </c>
      <c r="AH62" s="22">
        <f t="shared" ca="1" si="44"/>
        <v>0</v>
      </c>
      <c r="AI62" s="22">
        <f t="shared" ca="1" si="45"/>
        <v>0</v>
      </c>
      <c r="AJ62" s="22">
        <f t="shared" ca="1" si="63"/>
        <v>0</v>
      </c>
      <c r="AK62" s="22">
        <f t="shared" ca="1" si="64"/>
        <v>0</v>
      </c>
      <c r="AL62" s="22">
        <f t="shared" ca="1" si="28"/>
        <v>0</v>
      </c>
      <c r="AM62" s="22">
        <f t="shared" ca="1" si="29"/>
        <v>0</v>
      </c>
      <c r="AN62" s="22">
        <f t="shared" ca="1" si="46"/>
        <v>6157850</v>
      </c>
      <c r="AO62" s="22">
        <f t="shared" ca="1" si="65"/>
        <v>0</v>
      </c>
      <c r="AP62" s="22">
        <f t="shared" ca="1" si="66"/>
        <v>0</v>
      </c>
      <c r="AQ62" s="69">
        <f t="shared" ca="1" si="67"/>
        <v>10</v>
      </c>
      <c r="AR62" s="69">
        <f t="shared" ca="1" si="47"/>
        <v>10</v>
      </c>
      <c r="AS62" s="4">
        <f t="shared" ca="1" si="68"/>
        <v>2026</v>
      </c>
      <c r="AT62" s="4">
        <f t="shared" ca="1" si="48"/>
        <v>2026</v>
      </c>
      <c r="AU62" s="4">
        <f t="shared" ca="1" si="49"/>
        <v>0</v>
      </c>
      <c r="AV62" s="4">
        <f t="shared" ca="1" si="50"/>
        <v>30</v>
      </c>
      <c r="AW62" s="4">
        <f t="shared" si="51"/>
        <v>20</v>
      </c>
      <c r="AX62" s="4">
        <f t="shared" ca="1" si="69"/>
        <v>30</v>
      </c>
      <c r="AY62" s="19">
        <f t="shared" ca="1" si="52"/>
        <v>123160</v>
      </c>
      <c r="AZ62" s="19"/>
      <c r="BA62" s="19"/>
      <c r="BB62" s="19"/>
      <c r="BC62" s="19"/>
      <c r="BD62" s="4">
        <f t="shared" ca="1" si="8"/>
        <v>1</v>
      </c>
      <c r="BE62" s="19"/>
      <c r="BF62" s="19"/>
      <c r="BG62" s="19"/>
      <c r="BH62" s="19"/>
      <c r="BI62" s="120"/>
      <c r="BJ62" s="19"/>
      <c r="BK62" s="19"/>
      <c r="BL62" s="19"/>
      <c r="BM62" s="19"/>
      <c r="BN62" s="19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</row>
    <row r="63" spans="1:146" s="24" customFormat="1" ht="15" customHeight="1">
      <c r="A63" s="4">
        <v>34</v>
      </c>
      <c r="B63" s="268">
        <f t="shared" ca="1" si="53"/>
        <v>46346</v>
      </c>
      <c r="C63" s="401"/>
      <c r="D63" s="443">
        <f ca="1">IF(N63=0,IF(N59=1,SUM(D$26:E62)," "),IF(N63=0," ",IF(N64=1,D$54,IF(N64=0,IF(R63&lt;&gt;0,ROUNDUP(R63,-1),0)," "))))</f>
        <v>153940</v>
      </c>
      <c r="E63" s="443"/>
      <c r="F63" s="84">
        <f ca="1">IF(N63=0,IF(N62=1,SUM(F$26:F62)," "),IF(M$1=1,P63,IF(M$1=2,Q63," ")))</f>
        <v>330770</v>
      </c>
      <c r="G63" s="84">
        <f ca="1">IF(N63=0,IF(N62=1,SUM(G$26:G62)," "),IF(M$1=1,AF63,IF(M$1=2,AG63," ")))</f>
        <v>0</v>
      </c>
      <c r="H63" s="84">
        <f t="shared" ca="1" si="37"/>
        <v>484710</v>
      </c>
      <c r="I63" s="84">
        <f ca="1">IF(N63=0,IF(N58=1,SUM(I$26:I62)," "),IF(N63=0," ",IF(N64=1,I$54,IF(N64=0,IF(S63&lt;&gt;0,ROUNDUP(S63,-1),0)," "))))</f>
        <v>160290</v>
      </c>
      <c r="J63" s="84">
        <f t="shared" ca="1" si="38"/>
        <v>344410</v>
      </c>
      <c r="K63" s="84">
        <f t="shared" ca="1" si="39"/>
        <v>0</v>
      </c>
      <c r="L63" s="84">
        <f t="shared" ca="1" si="54"/>
        <v>504700</v>
      </c>
      <c r="M63" s="4">
        <v>34</v>
      </c>
      <c r="N63" s="4">
        <f t="shared" ca="1" si="55"/>
        <v>1</v>
      </c>
      <c r="O63" s="4">
        <f t="shared" ca="1" si="56"/>
        <v>20</v>
      </c>
      <c r="P63" s="22">
        <f t="shared" ca="1" si="40"/>
        <v>330770</v>
      </c>
      <c r="Q63" s="22">
        <f t="shared" ca="1" si="40"/>
        <v>330770</v>
      </c>
      <c r="R63" s="22">
        <f t="shared" ca="1" si="57"/>
        <v>6003910</v>
      </c>
      <c r="S63" s="22">
        <f t="shared" ca="1" si="70"/>
        <v>6251440</v>
      </c>
      <c r="T63" s="100">
        <f t="shared" ca="1" si="58"/>
        <v>357407.91666666669</v>
      </c>
      <c r="U63" s="22">
        <f t="shared" ca="1" si="59"/>
        <v>330770</v>
      </c>
      <c r="V63" s="22">
        <f t="shared" ca="1" si="71"/>
        <v>330770.73611111112</v>
      </c>
      <c r="W63" s="22">
        <f t="shared" ca="1" si="72"/>
        <v>330770.73611111112</v>
      </c>
      <c r="X63" s="22">
        <f t="shared" ca="1" si="73"/>
        <v>344407.91666666663</v>
      </c>
      <c r="Y63" s="22">
        <f t="shared" ca="1" si="60"/>
        <v>344410</v>
      </c>
      <c r="Z63" s="22">
        <f t="shared" ca="1" si="41"/>
        <v>650000</v>
      </c>
      <c r="AA63" s="22">
        <f t="shared" ca="1" si="61"/>
        <v>6491440</v>
      </c>
      <c r="AB63" s="22">
        <f t="shared" ca="1" si="42"/>
        <v>357407.91666666669</v>
      </c>
      <c r="AC63" s="22">
        <f t="shared" ca="1" si="23"/>
        <v>357410</v>
      </c>
      <c r="AD63" s="22">
        <f t="shared" ca="1" si="35"/>
        <v>650000</v>
      </c>
      <c r="AE63" s="22">
        <f t="shared" ca="1" si="62"/>
        <v>183196100</v>
      </c>
      <c r="AF63" s="22">
        <f t="shared" ca="1" si="43"/>
        <v>0</v>
      </c>
      <c r="AG63" s="22">
        <f t="shared" ca="1" si="43"/>
        <v>0</v>
      </c>
      <c r="AH63" s="22">
        <f t="shared" ca="1" si="44"/>
        <v>0</v>
      </c>
      <c r="AI63" s="22">
        <f t="shared" ca="1" si="45"/>
        <v>0</v>
      </c>
      <c r="AJ63" s="22">
        <f t="shared" ca="1" si="63"/>
        <v>0</v>
      </c>
      <c r="AK63" s="22">
        <f t="shared" ca="1" si="64"/>
        <v>0</v>
      </c>
      <c r="AL63" s="22">
        <f t="shared" ca="1" si="28"/>
        <v>0</v>
      </c>
      <c r="AM63" s="22">
        <f t="shared" ca="1" si="29"/>
        <v>0</v>
      </c>
      <c r="AN63" s="22">
        <f t="shared" ca="1" si="46"/>
        <v>6003910</v>
      </c>
      <c r="AO63" s="22">
        <f t="shared" ca="1" si="65"/>
        <v>0</v>
      </c>
      <c r="AP63" s="22">
        <f t="shared" ca="1" si="66"/>
        <v>0</v>
      </c>
      <c r="AQ63" s="69">
        <f t="shared" ca="1" si="67"/>
        <v>11</v>
      </c>
      <c r="AR63" s="69">
        <f t="shared" ca="1" si="47"/>
        <v>11</v>
      </c>
      <c r="AS63" s="4">
        <f t="shared" ca="1" si="68"/>
        <v>2026</v>
      </c>
      <c r="AT63" s="4">
        <f t="shared" ca="1" si="48"/>
        <v>2026</v>
      </c>
      <c r="AU63" s="4">
        <f t="shared" ca="1" si="49"/>
        <v>0</v>
      </c>
      <c r="AV63" s="4">
        <f t="shared" ca="1" si="50"/>
        <v>30</v>
      </c>
      <c r="AW63" s="4">
        <f t="shared" si="51"/>
        <v>20</v>
      </c>
      <c r="AX63" s="4">
        <f t="shared" ca="1" si="69"/>
        <v>30</v>
      </c>
      <c r="AY63" s="19">
        <f t="shared" ca="1" si="52"/>
        <v>120080</v>
      </c>
      <c r="AZ63" s="19"/>
      <c r="BA63" s="19"/>
      <c r="BB63" s="19"/>
      <c r="BC63" s="19"/>
      <c r="BD63" s="4">
        <f t="shared" ca="1" si="8"/>
        <v>1</v>
      </c>
      <c r="BE63" s="19"/>
      <c r="BF63" s="19"/>
      <c r="BG63" s="19"/>
      <c r="BH63" s="19"/>
      <c r="BI63" s="120"/>
      <c r="BJ63" s="19"/>
      <c r="BK63" s="19"/>
      <c r="BL63" s="19"/>
      <c r="BM63" s="19"/>
      <c r="BN63" s="19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</row>
    <row r="64" spans="1:146" s="24" customFormat="1" ht="15" customHeight="1">
      <c r="A64" s="4">
        <v>35</v>
      </c>
      <c r="B64" s="268">
        <f t="shared" ca="1" si="53"/>
        <v>46376</v>
      </c>
      <c r="C64" s="401"/>
      <c r="D64" s="443">
        <f ca="1">IF(N64=0,IF(N60=1,SUM(D$26:E63)," "),IF(N64=0," ",IF(N65=1,D$54,IF(N65=0,IF(R64&lt;&gt;0,ROUNDUP(R64,-1),0)," "))))</f>
        <v>153940</v>
      </c>
      <c r="E64" s="443"/>
      <c r="F64" s="84">
        <f ca="1">IF(N64=0,IF(N63=1,SUM(F$26:F63)," "),IF(M$1=1,P64,IF(M$1=2,Q64," ")))</f>
        <v>322430</v>
      </c>
      <c r="G64" s="84">
        <f ca="1">IF(N64=0,IF(N63=1,SUM(G$26:G63)," "),IF(M$1=1,AF64,IF(M$1=2,AG64," ")))</f>
        <v>0</v>
      </c>
      <c r="H64" s="84">
        <f t="shared" ca="1" si="37"/>
        <v>476370</v>
      </c>
      <c r="I64" s="84">
        <f ca="1">IF(N64=0,IF(N59=1,SUM(I$26:I63)," "),IF(N64=0," ",IF(N65=1,I$54,IF(N65=0,IF(S64&lt;&gt;0,ROUNDUP(S64,-1),0)," "))))</f>
        <v>160290</v>
      </c>
      <c r="J64" s="84">
        <f t="shared" ca="1" si="38"/>
        <v>335730</v>
      </c>
      <c r="K64" s="84">
        <f t="shared" ca="1" si="39"/>
        <v>0</v>
      </c>
      <c r="L64" s="84">
        <f t="shared" ca="1" si="54"/>
        <v>496020</v>
      </c>
      <c r="M64" s="4">
        <v>35</v>
      </c>
      <c r="N64" s="4">
        <f t="shared" ca="1" si="55"/>
        <v>1</v>
      </c>
      <c r="O64" s="4">
        <f t="shared" ca="1" si="56"/>
        <v>20</v>
      </c>
      <c r="P64" s="22">
        <f t="shared" ca="1" si="40"/>
        <v>322430</v>
      </c>
      <c r="Q64" s="22">
        <f t="shared" ca="1" si="40"/>
        <v>322430</v>
      </c>
      <c r="R64" s="22">
        <f t="shared" ca="1" si="57"/>
        <v>5849970</v>
      </c>
      <c r="S64" s="22">
        <f t="shared" ca="1" si="70"/>
        <v>6091150</v>
      </c>
      <c r="T64" s="100">
        <f t="shared" ca="1" si="58"/>
        <v>348725.54166666669</v>
      </c>
      <c r="U64" s="22">
        <f t="shared" ca="1" si="59"/>
        <v>322430</v>
      </c>
      <c r="V64" s="22">
        <f t="shared" ca="1" si="71"/>
        <v>322432.31944444444</v>
      </c>
      <c r="W64" s="22">
        <f t="shared" ca="1" si="72"/>
        <v>322432.31944444444</v>
      </c>
      <c r="X64" s="22">
        <f t="shared" ca="1" si="73"/>
        <v>335725.54166666663</v>
      </c>
      <c r="Y64" s="22">
        <f t="shared" ca="1" si="60"/>
        <v>335730</v>
      </c>
      <c r="Z64" s="22">
        <f t="shared" ca="1" si="41"/>
        <v>650000</v>
      </c>
      <c r="AA64" s="22">
        <f t="shared" ca="1" si="61"/>
        <v>6331150</v>
      </c>
      <c r="AB64" s="22">
        <f t="shared" ca="1" si="42"/>
        <v>348725.54166666669</v>
      </c>
      <c r="AC64" s="22">
        <f t="shared" ca="1" si="23"/>
        <v>348730</v>
      </c>
      <c r="AD64" s="22">
        <f t="shared" ca="1" si="35"/>
        <v>650000</v>
      </c>
      <c r="AE64" s="22">
        <f t="shared" ca="1" si="62"/>
        <v>178577900</v>
      </c>
      <c r="AF64" s="22">
        <f t="shared" ca="1" si="43"/>
        <v>0</v>
      </c>
      <c r="AG64" s="22">
        <f t="shared" ca="1" si="43"/>
        <v>0</v>
      </c>
      <c r="AH64" s="22">
        <f t="shared" ca="1" si="44"/>
        <v>0</v>
      </c>
      <c r="AI64" s="22">
        <f t="shared" ca="1" si="45"/>
        <v>0</v>
      </c>
      <c r="AJ64" s="22">
        <f t="shared" ca="1" si="63"/>
        <v>0</v>
      </c>
      <c r="AK64" s="22">
        <f t="shared" ca="1" si="64"/>
        <v>0</v>
      </c>
      <c r="AL64" s="22">
        <f t="shared" ca="1" si="28"/>
        <v>0</v>
      </c>
      <c r="AM64" s="22">
        <f t="shared" ca="1" si="29"/>
        <v>0</v>
      </c>
      <c r="AN64" s="22">
        <f t="shared" ca="1" si="46"/>
        <v>5849970</v>
      </c>
      <c r="AO64" s="22">
        <f t="shared" ca="1" si="65"/>
        <v>0</v>
      </c>
      <c r="AP64" s="22">
        <f t="shared" ca="1" si="66"/>
        <v>0</v>
      </c>
      <c r="AQ64" s="69">
        <f t="shared" ca="1" si="67"/>
        <v>12</v>
      </c>
      <c r="AR64" s="69">
        <f t="shared" ca="1" si="47"/>
        <v>12</v>
      </c>
      <c r="AS64" s="4">
        <f t="shared" ca="1" si="68"/>
        <v>2026</v>
      </c>
      <c r="AT64" s="4">
        <f t="shared" ca="1" si="48"/>
        <v>2026</v>
      </c>
      <c r="AU64" s="4">
        <f t="shared" ca="1" si="49"/>
        <v>0</v>
      </c>
      <c r="AV64" s="4">
        <f t="shared" ca="1" si="50"/>
        <v>30</v>
      </c>
      <c r="AW64" s="4">
        <f t="shared" si="51"/>
        <v>20</v>
      </c>
      <c r="AX64" s="4">
        <f t="shared" ca="1" si="69"/>
        <v>30</v>
      </c>
      <c r="AY64" s="19">
        <f t="shared" ca="1" si="52"/>
        <v>117000</v>
      </c>
      <c r="AZ64" s="19"/>
      <c r="BA64" s="19"/>
      <c r="BB64" s="19"/>
      <c r="BC64" s="19"/>
      <c r="BD64" s="4">
        <f t="shared" ca="1" si="8"/>
        <v>1</v>
      </c>
      <c r="BE64" s="19"/>
      <c r="BF64" s="19"/>
      <c r="BG64" s="19"/>
      <c r="BH64" s="19"/>
      <c r="BI64" s="120"/>
      <c r="BJ64" s="19"/>
      <c r="BK64" s="19"/>
      <c r="BL64" s="19"/>
      <c r="BM64" s="19"/>
      <c r="BN64" s="19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</row>
    <row r="65" spans="1:146" s="24" customFormat="1" ht="15" customHeight="1">
      <c r="A65" s="4">
        <v>36</v>
      </c>
      <c r="B65" s="268">
        <f t="shared" ca="1" si="53"/>
        <v>46407</v>
      </c>
      <c r="C65" s="401"/>
      <c r="D65" s="443">
        <f ca="1">IF(N65=0,IF(N61=1,SUM(D$26:E64)," "),IF(N65=0," ",IF(N66=1,D$54,IF(N66=0,IF(R65&lt;&gt;0,ROUNDUP(R65,-1),0)," "))))</f>
        <v>153940</v>
      </c>
      <c r="E65" s="443"/>
      <c r="F65" s="84">
        <f ca="1">IF(N65=0,IF(N64=1,SUM(F$26:F64)," "),IF(M$1=1,P65,IF(M$1=2,Q65," ")))</f>
        <v>314090</v>
      </c>
      <c r="G65" s="84">
        <f ca="1">IF(N65=0,IF(N64=1,SUM(G$26:G64)," "),IF(M$1=1,AF65,IF(M$1=2,AG65," ")))</f>
        <v>0</v>
      </c>
      <c r="H65" s="84">
        <f t="shared" ca="1" si="37"/>
        <v>468030</v>
      </c>
      <c r="I65" s="84">
        <f ca="1">IF(N65=0,IF(N60=1,SUM(I$26:I64)," "),IF(N65=0," ",IF(N66=1,I$54,IF(N66=0,IF(S65&lt;&gt;0,ROUNDUP(S65,-1),0)," "))))</f>
        <v>160290</v>
      </c>
      <c r="J65" s="84">
        <f t="shared" ca="1" si="38"/>
        <v>327040</v>
      </c>
      <c r="K65" s="84">
        <f t="shared" ca="1" si="39"/>
        <v>0</v>
      </c>
      <c r="L65" s="84">
        <f t="shared" ca="1" si="54"/>
        <v>487330</v>
      </c>
      <c r="M65" s="4">
        <v>36</v>
      </c>
      <c r="N65" s="4">
        <f t="shared" ca="1" si="55"/>
        <v>1</v>
      </c>
      <c r="O65" s="4">
        <f t="shared" ca="1" si="56"/>
        <v>20</v>
      </c>
      <c r="P65" s="22">
        <f t="shared" ca="1" si="40"/>
        <v>314090</v>
      </c>
      <c r="Q65" s="22">
        <f t="shared" ca="1" si="40"/>
        <v>314090</v>
      </c>
      <c r="R65" s="22">
        <f t="shared" ca="1" si="57"/>
        <v>5696030</v>
      </c>
      <c r="S65" s="22">
        <f t="shared" ca="1" si="70"/>
        <v>5930860</v>
      </c>
      <c r="T65" s="100">
        <f t="shared" ca="1" si="58"/>
        <v>340043.16666666669</v>
      </c>
      <c r="U65" s="22">
        <f t="shared" ca="1" si="59"/>
        <v>314090</v>
      </c>
      <c r="V65" s="22">
        <f t="shared" ca="1" si="71"/>
        <v>314093.90277777775</v>
      </c>
      <c r="W65" s="22">
        <f t="shared" ca="1" si="72"/>
        <v>314093.90277777775</v>
      </c>
      <c r="X65" s="22">
        <f t="shared" ca="1" si="73"/>
        <v>327043.16666666663</v>
      </c>
      <c r="Y65" s="22">
        <f t="shared" ca="1" si="60"/>
        <v>327040</v>
      </c>
      <c r="Z65" s="22">
        <f t="shared" ca="1" si="41"/>
        <v>650000</v>
      </c>
      <c r="AA65" s="22">
        <f t="shared" ca="1" si="61"/>
        <v>6170860</v>
      </c>
      <c r="AB65" s="22">
        <f t="shared" ca="1" si="42"/>
        <v>340043.16666666669</v>
      </c>
      <c r="AC65" s="22">
        <f t="shared" ca="1" si="23"/>
        <v>340040</v>
      </c>
      <c r="AD65" s="22">
        <f t="shared" ca="1" si="35"/>
        <v>650000</v>
      </c>
      <c r="AE65" s="22">
        <f t="shared" ca="1" si="62"/>
        <v>173959700</v>
      </c>
      <c r="AF65" s="22">
        <f t="shared" ca="1" si="43"/>
        <v>0</v>
      </c>
      <c r="AG65" s="22">
        <f t="shared" ca="1" si="43"/>
        <v>0</v>
      </c>
      <c r="AH65" s="22">
        <f t="shared" ca="1" si="44"/>
        <v>0</v>
      </c>
      <c r="AI65" s="22">
        <f t="shared" ca="1" si="45"/>
        <v>0</v>
      </c>
      <c r="AJ65" s="22">
        <f t="shared" ca="1" si="63"/>
        <v>0</v>
      </c>
      <c r="AK65" s="22">
        <f t="shared" ca="1" si="64"/>
        <v>0</v>
      </c>
      <c r="AL65" s="22">
        <f t="shared" ca="1" si="28"/>
        <v>0</v>
      </c>
      <c r="AM65" s="22">
        <f t="shared" ca="1" si="29"/>
        <v>0</v>
      </c>
      <c r="AN65" s="22">
        <f t="shared" ca="1" si="46"/>
        <v>5696030</v>
      </c>
      <c r="AO65" s="22">
        <f t="shared" ca="1" si="65"/>
        <v>0</v>
      </c>
      <c r="AP65" s="22">
        <f t="shared" ca="1" si="66"/>
        <v>0</v>
      </c>
      <c r="AQ65" s="69">
        <f t="shared" ca="1" si="67"/>
        <v>13</v>
      </c>
      <c r="AR65" s="69">
        <f t="shared" ca="1" si="47"/>
        <v>1</v>
      </c>
      <c r="AS65" s="4">
        <f t="shared" ca="1" si="68"/>
        <v>2026</v>
      </c>
      <c r="AT65" s="4">
        <f t="shared" ca="1" si="48"/>
        <v>2027</v>
      </c>
      <c r="AU65" s="4">
        <f t="shared" ca="1" si="49"/>
        <v>0</v>
      </c>
      <c r="AV65" s="4">
        <f t="shared" ca="1" si="50"/>
        <v>30</v>
      </c>
      <c r="AW65" s="4">
        <f t="shared" si="51"/>
        <v>20</v>
      </c>
      <c r="AX65" s="4">
        <f t="shared" ca="1" si="69"/>
        <v>30</v>
      </c>
      <c r="AY65" s="19">
        <f t="shared" ca="1" si="52"/>
        <v>113920</v>
      </c>
      <c r="AZ65" s="19"/>
      <c r="BA65" s="19"/>
      <c r="BB65" s="19"/>
      <c r="BC65" s="19"/>
      <c r="BD65" s="4">
        <f t="shared" ca="1" si="8"/>
        <v>1</v>
      </c>
      <c r="BE65" s="19"/>
      <c r="BF65" s="19"/>
      <c r="BG65" s="19"/>
      <c r="BH65" s="19"/>
      <c r="BI65" s="120"/>
      <c r="BJ65" s="19"/>
      <c r="BK65" s="19"/>
      <c r="BL65" s="19"/>
      <c r="BM65" s="19"/>
      <c r="BN65" s="19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</row>
    <row r="66" spans="1:146" s="24" customFormat="1" ht="15" customHeight="1">
      <c r="A66" s="4">
        <v>37</v>
      </c>
      <c r="B66" s="268">
        <f ca="1">IF(N66=0,IF(N65=1,"ИТОГО"," "),IF(M66=M14,DATE(YEAR(B65),MONTH(B65),O66),DATE(YEAR(B65),MONTH(B65)+1,O66)))</f>
        <v>46438</v>
      </c>
      <c r="C66" s="401"/>
      <c r="D66" s="443">
        <f ca="1">IF(N66=0,IF(N62=1,SUM(D$26:E65)," "),IF(N66=0," ",IF(N67=1,D$54,IF(N67=0,IF(R66&lt;&gt;0,ROUNDUP(R66,-1),0)," "))))</f>
        <v>153940</v>
      </c>
      <c r="E66" s="443"/>
      <c r="F66" s="84">
        <f ca="1">IF(N66=0,IF(N65=1,SUM(F$26:F65)," "),IF(M$1=1,P66,IF(M$1=2,Q66," ")))</f>
        <v>305750</v>
      </c>
      <c r="G66" s="84">
        <f ca="1">IF(N66=0,IF(N65=1,SUM(G$26:G65)," "),IF(M$1=1,AF66,IF(M$1=2,AG66," ")))</f>
        <v>0</v>
      </c>
      <c r="H66" s="84">
        <f t="shared" ca="1" si="37"/>
        <v>459690</v>
      </c>
      <c r="I66" s="84">
        <f ca="1">IF(N66=0,IF(N61=1,SUM(I$26:I65)," "),IF(N66=0," ",IF(N67=1,I$54,IF(N67=0,IF(S66&lt;&gt;0,ROUNDUP(S66,-1),0)," "))))</f>
        <v>160290</v>
      </c>
      <c r="J66" s="84">
        <f t="shared" ca="1" si="38"/>
        <v>318360</v>
      </c>
      <c r="K66" s="84">
        <f t="shared" ca="1" si="39"/>
        <v>0</v>
      </c>
      <c r="L66" s="84">
        <f t="shared" ca="1" si="54"/>
        <v>478650</v>
      </c>
      <c r="M66" s="4">
        <v>37</v>
      </c>
      <c r="N66" s="4">
        <f t="shared" ca="1" si="55"/>
        <v>1</v>
      </c>
      <c r="O66" s="4">
        <f ca="1">IF(M66=A$14,IF(MONTH(B65)=-2,AX66,DATE(YEAR(0),MONTH(0),DAY(D$16)-1)),AW66)</f>
        <v>20</v>
      </c>
      <c r="P66" s="22">
        <f t="shared" ca="1" si="40"/>
        <v>305750</v>
      </c>
      <c r="Q66" s="22">
        <f t="shared" ca="1" si="40"/>
        <v>305750</v>
      </c>
      <c r="R66" s="22">
        <f t="shared" ca="1" si="57"/>
        <v>5542090</v>
      </c>
      <c r="S66" s="22">
        <f t="shared" ca="1" si="70"/>
        <v>5770570</v>
      </c>
      <c r="T66" s="100">
        <f t="shared" ca="1" si="58"/>
        <v>331360.79166666669</v>
      </c>
      <c r="U66" s="22">
        <f t="shared" ca="1" si="59"/>
        <v>305750</v>
      </c>
      <c r="V66" s="22">
        <f t="shared" ca="1" si="71"/>
        <v>305755.48611111112</v>
      </c>
      <c r="W66" s="22">
        <f t="shared" ca="1" si="72"/>
        <v>305755.48611111112</v>
      </c>
      <c r="X66" s="22">
        <f t="shared" ca="1" si="73"/>
        <v>318360.79166666663</v>
      </c>
      <c r="Y66" s="22">
        <f t="shared" ca="1" si="60"/>
        <v>318360</v>
      </c>
      <c r="Z66" s="22">
        <f t="shared" ca="1" si="41"/>
        <v>650000</v>
      </c>
      <c r="AA66" s="22">
        <f t="shared" ca="1" si="61"/>
        <v>6010570</v>
      </c>
      <c r="AB66" s="22">
        <f t="shared" ca="1" si="42"/>
        <v>331360.79166666669</v>
      </c>
      <c r="AC66" s="22">
        <f t="shared" ca="1" si="23"/>
        <v>331360</v>
      </c>
      <c r="AD66" s="22">
        <f t="shared" ca="1" si="35"/>
        <v>650000</v>
      </c>
      <c r="AE66" s="22">
        <f t="shared" ca="1" si="62"/>
        <v>169341500</v>
      </c>
      <c r="AF66" s="22">
        <f t="shared" ca="1" si="43"/>
        <v>0</v>
      </c>
      <c r="AG66" s="22">
        <f t="shared" ca="1" si="43"/>
        <v>0</v>
      </c>
      <c r="AH66" s="22">
        <f t="shared" ca="1" si="44"/>
        <v>0</v>
      </c>
      <c r="AI66" s="22">
        <f t="shared" ca="1" si="45"/>
        <v>0</v>
      </c>
      <c r="AJ66" s="22">
        <f t="shared" ca="1" si="63"/>
        <v>0</v>
      </c>
      <c r="AK66" s="22">
        <f t="shared" ca="1" si="64"/>
        <v>0</v>
      </c>
      <c r="AL66" s="22">
        <f t="shared" ca="1" si="28"/>
        <v>0</v>
      </c>
      <c r="AM66" s="22">
        <f t="shared" ca="1" si="29"/>
        <v>0</v>
      </c>
      <c r="AN66" s="22">
        <f t="shared" ca="1" si="46"/>
        <v>5542090</v>
      </c>
      <c r="AO66" s="22">
        <f ca="1">IF(N67=1,AN65*G$12*20/36000+AN66*G$12*10/36000,IF(N67=0,IF(N66=0,0,AN66*G$12*Q$12/36000)))</f>
        <v>0</v>
      </c>
      <c r="AP66" s="22">
        <f ca="1">IF(N67=1,AN65*G$12*20/36000+AN66*G$12*10/36000,IF(N67=0,IF(N66=0,0,AN66*G$12*Q$12/36000)))</f>
        <v>0</v>
      </c>
      <c r="AQ66" s="69">
        <f t="shared" ca="1" si="67"/>
        <v>2</v>
      </c>
      <c r="AR66" s="69">
        <f t="shared" ca="1" si="47"/>
        <v>2</v>
      </c>
      <c r="AS66" s="4">
        <f t="shared" ca="1" si="68"/>
        <v>2027</v>
      </c>
      <c r="AT66" s="4">
        <f t="shared" ca="1" si="48"/>
        <v>2027</v>
      </c>
      <c r="AU66" s="4">
        <f t="shared" ca="1" si="49"/>
        <v>0</v>
      </c>
      <c r="AV66" s="4">
        <f t="shared" ca="1" si="50"/>
        <v>28</v>
      </c>
      <c r="AW66" s="4">
        <f t="shared" si="51"/>
        <v>20</v>
      </c>
      <c r="AX66" s="4">
        <f t="shared" ca="1" si="69"/>
        <v>30</v>
      </c>
      <c r="AY66" s="19">
        <f t="shared" ca="1" si="52"/>
        <v>110840</v>
      </c>
      <c r="AZ66" s="19"/>
      <c r="BA66" s="19"/>
      <c r="BB66" s="19"/>
      <c r="BC66" s="19"/>
      <c r="BD66" s="4">
        <f t="shared" ca="1" si="8"/>
        <v>1</v>
      </c>
      <c r="BE66" s="19"/>
      <c r="BF66" s="19"/>
      <c r="BG66" s="19"/>
      <c r="BH66" s="19"/>
      <c r="BI66" s="120"/>
      <c r="BJ66" s="19"/>
      <c r="BK66" s="19"/>
      <c r="BL66" s="19"/>
      <c r="BM66" s="19"/>
      <c r="BN66" s="19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</row>
    <row r="67" spans="1:146" s="24" customFormat="1" ht="15" customHeight="1">
      <c r="A67" s="4">
        <v>38</v>
      </c>
      <c r="B67" s="268">
        <f t="shared" ref="B67:B77" ca="1" si="74">IF(N67=0,IF(N66=1,"ИТОГО"," "),DATE(YEAR(B66),MONTH(B66)+1,O67))</f>
        <v>46466</v>
      </c>
      <c r="C67" s="401"/>
      <c r="D67" s="443">
        <f ca="1">IF(N67=0,IF(N63=1,SUM(D$26:E66)," "),IF(N67=0," ",IF(N68=1,D$54,IF(N68=0,IF(R67&lt;&gt;0,ROUNDUP(R67,-1),0)," "))))</f>
        <v>153940</v>
      </c>
      <c r="E67" s="443"/>
      <c r="F67" s="84">
        <f ca="1">IF(N67=0,IF(N66=1,SUM(F$26:F66)," "),IF(M$1=1,P67,IF(M$1=2,Q67," ")))</f>
        <v>297420</v>
      </c>
      <c r="G67" s="84">
        <f ca="1">IF(N67=0,IF(N66=1,SUM(G$26:G66)," "),IF(M$1=1,AF67,IF(M$1=2,AG67," ")))</f>
        <v>0</v>
      </c>
      <c r="H67" s="84">
        <f t="shared" ca="1" si="37"/>
        <v>451360</v>
      </c>
      <c r="I67" s="84">
        <f ca="1">IF(N67=0,IF(N62=1,SUM(I$26:I66)," "),IF(N67=0," ",IF(N68=1,I$54,IF(N68=0,IF(S67&lt;&gt;0,ROUNDUP(S67,-1),0)," "))))</f>
        <v>160290</v>
      </c>
      <c r="J67" s="84">
        <f t="shared" ca="1" si="38"/>
        <v>309680</v>
      </c>
      <c r="K67" s="84">
        <f t="shared" ca="1" si="39"/>
        <v>0</v>
      </c>
      <c r="L67" s="84">
        <f t="shared" ca="1" si="54"/>
        <v>469970</v>
      </c>
      <c r="M67" s="4">
        <v>38</v>
      </c>
      <c r="N67" s="4">
        <f t="shared" ca="1" si="55"/>
        <v>1</v>
      </c>
      <c r="O67" s="4">
        <f t="shared" ref="O67:O77" ca="1" si="75">IF(M67=A$14,IF(DATE(YEAR(0),MONTH(0),DAY(D$16)-1)&lt;AW67,DATE(YEAR(0),MONTH(0),DAY(D$16)-1),AW67),AW67)</f>
        <v>20</v>
      </c>
      <c r="P67" s="22">
        <f t="shared" ca="1" si="40"/>
        <v>297420</v>
      </c>
      <c r="Q67" s="22">
        <f t="shared" ca="1" si="40"/>
        <v>297420</v>
      </c>
      <c r="R67" s="22">
        <f t="shared" ca="1" si="57"/>
        <v>5388150</v>
      </c>
      <c r="S67" s="22">
        <f t="shared" ca="1" si="70"/>
        <v>5610280</v>
      </c>
      <c r="T67" s="100">
        <f t="shared" ca="1" si="58"/>
        <v>322678.41666666669</v>
      </c>
      <c r="U67" s="22">
        <f t="shared" ca="1" si="59"/>
        <v>297420</v>
      </c>
      <c r="V67" s="22">
        <f t="shared" ca="1" si="71"/>
        <v>297417.06944444444</v>
      </c>
      <c r="W67" s="22">
        <f t="shared" ca="1" si="72"/>
        <v>297417.06944444444</v>
      </c>
      <c r="X67" s="22">
        <f t="shared" ca="1" si="73"/>
        <v>309678.41666666663</v>
      </c>
      <c r="Y67" s="22">
        <f t="shared" ca="1" si="60"/>
        <v>309680</v>
      </c>
      <c r="Z67" s="22">
        <f t="shared" ca="1" si="41"/>
        <v>650000</v>
      </c>
      <c r="AA67" s="22">
        <f t="shared" ca="1" si="61"/>
        <v>5850280</v>
      </c>
      <c r="AB67" s="22">
        <f t="shared" ca="1" si="42"/>
        <v>322678.41666666669</v>
      </c>
      <c r="AC67" s="22">
        <f t="shared" ca="1" si="23"/>
        <v>322680</v>
      </c>
      <c r="AD67" s="22">
        <f t="shared" ca="1" si="35"/>
        <v>650000</v>
      </c>
      <c r="AE67" s="22">
        <f t="shared" ca="1" si="62"/>
        <v>164723300</v>
      </c>
      <c r="AF67" s="22">
        <f t="shared" ca="1" si="43"/>
        <v>0</v>
      </c>
      <c r="AG67" s="22">
        <f t="shared" ca="1" si="43"/>
        <v>0</v>
      </c>
      <c r="AH67" s="22">
        <f t="shared" ca="1" si="44"/>
        <v>0</v>
      </c>
      <c r="AI67" s="22">
        <f t="shared" ca="1" si="45"/>
        <v>0</v>
      </c>
      <c r="AJ67" s="22">
        <f t="shared" ca="1" si="63"/>
        <v>0</v>
      </c>
      <c r="AK67" s="22">
        <f t="shared" ca="1" si="64"/>
        <v>0</v>
      </c>
      <c r="AL67" s="22">
        <f t="shared" ca="1" si="28"/>
        <v>0</v>
      </c>
      <c r="AM67" s="22">
        <f t="shared" ca="1" si="29"/>
        <v>0</v>
      </c>
      <c r="AN67" s="22">
        <f t="shared" ca="1" si="46"/>
        <v>5388150</v>
      </c>
      <c r="AO67" s="22">
        <f t="shared" ref="AO67:AO102" ca="1" si="76">IF(N68=1,AN66*G$12*20/36000+AN67*G$12*10/36000,IF(N68=0,IF(N67=0,0,AN67*G$12*Q$12/36000+AN66*G$12*20/36000+AN67*G$12*10/36000)))</f>
        <v>0</v>
      </c>
      <c r="AP67" s="22">
        <f t="shared" ref="AP67:AP102" ca="1" si="77">IF(N68=1,AN66*G$12*20/36000+AN67*G$12*10/36000,IF(N68=0,IF(N67=0,0,AN67*G$12*Q$12/36000+AN66*G$12*20/36000+AN67*G$12*10/36000)))</f>
        <v>0</v>
      </c>
      <c r="AQ67" s="69">
        <f t="shared" ca="1" si="67"/>
        <v>3</v>
      </c>
      <c r="AR67" s="69">
        <f t="shared" ca="1" si="47"/>
        <v>3</v>
      </c>
      <c r="AS67" s="4">
        <f t="shared" ca="1" si="68"/>
        <v>2027</v>
      </c>
      <c r="AT67" s="4">
        <f t="shared" ca="1" si="48"/>
        <v>2027</v>
      </c>
      <c r="AU67" s="4">
        <f t="shared" ca="1" si="49"/>
        <v>0</v>
      </c>
      <c r="AV67" s="4">
        <f t="shared" ca="1" si="50"/>
        <v>30</v>
      </c>
      <c r="AW67" s="4">
        <f t="shared" si="51"/>
        <v>20</v>
      </c>
      <c r="AX67" s="4">
        <f t="shared" ca="1" si="69"/>
        <v>28</v>
      </c>
      <c r="AY67" s="19">
        <f t="shared" ca="1" si="52"/>
        <v>107760</v>
      </c>
      <c r="AZ67" s="19"/>
      <c r="BA67" s="19"/>
      <c r="BB67" s="19"/>
      <c r="BC67" s="19"/>
      <c r="BD67" s="4">
        <f t="shared" ca="1" si="8"/>
        <v>1</v>
      </c>
      <c r="BE67" s="19"/>
      <c r="BF67" s="19"/>
      <c r="BG67" s="19"/>
      <c r="BH67" s="19"/>
      <c r="BI67" s="120"/>
      <c r="BJ67" s="19"/>
      <c r="BK67" s="19"/>
      <c r="BL67" s="19"/>
      <c r="BM67" s="19"/>
      <c r="BN67" s="19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</row>
    <row r="68" spans="1:146" s="24" customFormat="1" ht="15" customHeight="1">
      <c r="A68" s="4">
        <v>39</v>
      </c>
      <c r="B68" s="268">
        <f t="shared" ca="1" si="74"/>
        <v>46497</v>
      </c>
      <c r="C68" s="401"/>
      <c r="D68" s="443">
        <f ca="1">IF(N68=0,IF(N64=1,SUM(D$26:E67)," "),IF(N68=0," ",IF(N69=1,D$54,IF(N69=0,IF(R68&lt;&gt;0,ROUNDUP(R68,-1),0)," "))))</f>
        <v>153940</v>
      </c>
      <c r="E68" s="443"/>
      <c r="F68" s="84">
        <f ca="1">IF(N68=0,IF(N67=1,SUM(F$26:F67)," "),IF(M$1=1,P68,IF(M$1=2,Q68," ")))</f>
        <v>289080</v>
      </c>
      <c r="G68" s="84">
        <f ca="1">IF(N68=0,IF(N67=1,SUM(G$26:G67)," "),IF(M$1=1,AF68,IF(M$1=2,AG68," ")))</f>
        <v>0</v>
      </c>
      <c r="H68" s="84">
        <f t="shared" ca="1" si="37"/>
        <v>443020</v>
      </c>
      <c r="I68" s="84">
        <f ca="1">IF(N68=0,IF(N63=1,SUM(I$26:I67)," "),IF(N68=0," ",IF(N69=1,I$54,IF(N69=0,IF(S68&lt;&gt;0,ROUNDUP(S68,-1),0)," "))))</f>
        <v>160290</v>
      </c>
      <c r="J68" s="84">
        <f t="shared" ca="1" si="38"/>
        <v>301000</v>
      </c>
      <c r="K68" s="84">
        <f t="shared" ca="1" si="39"/>
        <v>0</v>
      </c>
      <c r="L68" s="84">
        <f t="shared" ca="1" si="54"/>
        <v>461290</v>
      </c>
      <c r="M68" s="4">
        <v>39</v>
      </c>
      <c r="N68" s="4">
        <f t="shared" ca="1" si="55"/>
        <v>1</v>
      </c>
      <c r="O68" s="4">
        <f t="shared" ca="1" si="75"/>
        <v>20</v>
      </c>
      <c r="P68" s="22">
        <f t="shared" ca="1" si="40"/>
        <v>289080</v>
      </c>
      <c r="Q68" s="22">
        <f t="shared" ca="1" si="40"/>
        <v>289080</v>
      </c>
      <c r="R68" s="22">
        <f t="shared" ca="1" si="57"/>
        <v>5234210</v>
      </c>
      <c r="S68" s="22">
        <f t="shared" ca="1" si="70"/>
        <v>5449990</v>
      </c>
      <c r="T68" s="100">
        <f t="shared" ca="1" si="58"/>
        <v>313996.04166666669</v>
      </c>
      <c r="U68" s="22">
        <f t="shared" ca="1" si="59"/>
        <v>289080</v>
      </c>
      <c r="V68" s="22">
        <f t="shared" ca="1" si="71"/>
        <v>289078.65277777775</v>
      </c>
      <c r="W68" s="22">
        <f t="shared" ca="1" si="72"/>
        <v>289078.65277777775</v>
      </c>
      <c r="X68" s="22">
        <f t="shared" ca="1" si="73"/>
        <v>300996.04166666663</v>
      </c>
      <c r="Y68" s="22">
        <f t="shared" ca="1" si="60"/>
        <v>301000</v>
      </c>
      <c r="Z68" s="22">
        <f t="shared" ca="1" si="41"/>
        <v>650000</v>
      </c>
      <c r="AA68" s="22">
        <f t="shared" ca="1" si="61"/>
        <v>5689990</v>
      </c>
      <c r="AB68" s="22">
        <f t="shared" ca="1" si="42"/>
        <v>313996.04166666669</v>
      </c>
      <c r="AC68" s="22">
        <f t="shared" ca="1" si="23"/>
        <v>314000</v>
      </c>
      <c r="AD68" s="22">
        <f t="shared" ca="1" si="35"/>
        <v>650000</v>
      </c>
      <c r="AE68" s="22">
        <f t="shared" ca="1" si="62"/>
        <v>160105100</v>
      </c>
      <c r="AF68" s="22">
        <f t="shared" ca="1" si="43"/>
        <v>0</v>
      </c>
      <c r="AG68" s="22">
        <f t="shared" ca="1" si="43"/>
        <v>0</v>
      </c>
      <c r="AH68" s="22">
        <f t="shared" ca="1" si="44"/>
        <v>0</v>
      </c>
      <c r="AI68" s="22">
        <f t="shared" ca="1" si="45"/>
        <v>0</v>
      </c>
      <c r="AJ68" s="22">
        <f t="shared" ca="1" si="63"/>
        <v>0</v>
      </c>
      <c r="AK68" s="22">
        <f t="shared" ca="1" si="64"/>
        <v>0</v>
      </c>
      <c r="AL68" s="22">
        <f t="shared" ca="1" si="28"/>
        <v>0</v>
      </c>
      <c r="AM68" s="22">
        <f t="shared" ca="1" si="29"/>
        <v>0</v>
      </c>
      <c r="AN68" s="22">
        <f t="shared" ca="1" si="46"/>
        <v>5234210</v>
      </c>
      <c r="AO68" s="22">
        <f t="shared" ca="1" si="76"/>
        <v>0</v>
      </c>
      <c r="AP68" s="22">
        <f t="shared" ca="1" si="77"/>
        <v>0</v>
      </c>
      <c r="AQ68" s="69">
        <f t="shared" ca="1" si="67"/>
        <v>4</v>
      </c>
      <c r="AR68" s="69">
        <f t="shared" ca="1" si="47"/>
        <v>4</v>
      </c>
      <c r="AS68" s="4">
        <f t="shared" ca="1" si="68"/>
        <v>2027</v>
      </c>
      <c r="AT68" s="4">
        <f t="shared" ca="1" si="48"/>
        <v>2027</v>
      </c>
      <c r="AU68" s="4">
        <f t="shared" ca="1" si="49"/>
        <v>0</v>
      </c>
      <c r="AV68" s="4">
        <f t="shared" ca="1" si="50"/>
        <v>30</v>
      </c>
      <c r="AW68" s="4">
        <f t="shared" si="51"/>
        <v>20</v>
      </c>
      <c r="AX68" s="4">
        <f t="shared" ca="1" si="69"/>
        <v>30</v>
      </c>
      <c r="AY68" s="19">
        <f t="shared" ca="1" si="52"/>
        <v>104680</v>
      </c>
      <c r="AZ68" s="19"/>
      <c r="BA68" s="19"/>
      <c r="BB68" s="19"/>
      <c r="BC68" s="19"/>
      <c r="BD68" s="4">
        <f t="shared" ca="1" si="8"/>
        <v>1</v>
      </c>
      <c r="BE68" s="19"/>
      <c r="BF68" s="19"/>
      <c r="BG68" s="19"/>
      <c r="BH68" s="19"/>
      <c r="BI68" s="120"/>
      <c r="BJ68" s="19"/>
      <c r="BK68" s="19"/>
      <c r="BL68" s="19"/>
      <c r="BM68" s="19"/>
      <c r="BN68" s="19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</row>
    <row r="69" spans="1:146" s="24" customFormat="1" ht="15" customHeight="1">
      <c r="A69" s="4">
        <v>40</v>
      </c>
      <c r="B69" s="268">
        <f t="shared" ca="1" si="74"/>
        <v>46527</v>
      </c>
      <c r="C69" s="401"/>
      <c r="D69" s="443">
        <f ca="1">IF(N69=0,IF(N65=1,SUM(D$26:E68)," "),IF(N69=0," ",IF(N70=1,D$54,IF(N70=0,IF(R69&lt;&gt;0,ROUNDUP(R69,-1),0)," "))))</f>
        <v>153940</v>
      </c>
      <c r="E69" s="443"/>
      <c r="F69" s="84">
        <f ca="1">IF(N69=0,IF(N68=1,SUM(F$26:F68)," "),IF(M$1=1,P69,IF(M$1=2,Q69," ")))</f>
        <v>280740</v>
      </c>
      <c r="G69" s="84">
        <f ca="1">IF(N69=0,IF(N68=1,SUM(G$26:G68)," "),IF(M$1=1,AF69,IF(M$1=2,AG69," ")))</f>
        <v>0</v>
      </c>
      <c r="H69" s="84">
        <f t="shared" ca="1" si="37"/>
        <v>434680</v>
      </c>
      <c r="I69" s="84">
        <f ca="1">IF(N69=0,IF(N64=1,SUM(I$26:I68)," "),IF(N69=0," ",IF(N70=1,I$54,IF(N70=0,IF(S69&lt;&gt;0,ROUNDUP(S69,-1),0)," "))))</f>
        <v>160290</v>
      </c>
      <c r="J69" s="84">
        <f t="shared" ca="1" si="38"/>
        <v>292310</v>
      </c>
      <c r="K69" s="84">
        <f t="shared" ca="1" si="39"/>
        <v>0</v>
      </c>
      <c r="L69" s="84">
        <f t="shared" ca="1" si="54"/>
        <v>452600</v>
      </c>
      <c r="M69" s="4">
        <v>40</v>
      </c>
      <c r="N69" s="4">
        <f t="shared" ca="1" si="55"/>
        <v>1</v>
      </c>
      <c r="O69" s="4">
        <f t="shared" ca="1" si="75"/>
        <v>20</v>
      </c>
      <c r="P69" s="22">
        <f t="shared" ca="1" si="40"/>
        <v>280740</v>
      </c>
      <c r="Q69" s="22">
        <f t="shared" ca="1" si="40"/>
        <v>280740</v>
      </c>
      <c r="R69" s="22">
        <f t="shared" ca="1" si="57"/>
        <v>5080270</v>
      </c>
      <c r="S69" s="22">
        <f t="shared" ca="1" si="70"/>
        <v>5289700</v>
      </c>
      <c r="T69" s="100">
        <f t="shared" ca="1" si="58"/>
        <v>305313.66666666669</v>
      </c>
      <c r="U69" s="22">
        <f t="shared" ca="1" si="59"/>
        <v>280740</v>
      </c>
      <c r="V69" s="22">
        <f t="shared" ca="1" si="71"/>
        <v>280740.23611111112</v>
      </c>
      <c r="W69" s="22">
        <f t="shared" ca="1" si="72"/>
        <v>280740.23611111112</v>
      </c>
      <c r="X69" s="22">
        <f t="shared" ca="1" si="73"/>
        <v>292313.66666666663</v>
      </c>
      <c r="Y69" s="22">
        <f t="shared" ca="1" si="60"/>
        <v>292310</v>
      </c>
      <c r="Z69" s="22">
        <f t="shared" ca="1" si="41"/>
        <v>650000</v>
      </c>
      <c r="AA69" s="22">
        <f t="shared" ca="1" si="61"/>
        <v>5529700</v>
      </c>
      <c r="AB69" s="22">
        <f t="shared" ca="1" si="42"/>
        <v>305313.66666666669</v>
      </c>
      <c r="AC69" s="22">
        <f t="shared" ca="1" si="23"/>
        <v>305310</v>
      </c>
      <c r="AD69" s="22">
        <f t="shared" ca="1" si="35"/>
        <v>650000</v>
      </c>
      <c r="AE69" s="22">
        <f t="shared" ca="1" si="62"/>
        <v>155486900</v>
      </c>
      <c r="AF69" s="22">
        <f t="shared" ca="1" si="43"/>
        <v>0</v>
      </c>
      <c r="AG69" s="22">
        <f t="shared" ca="1" si="43"/>
        <v>0</v>
      </c>
      <c r="AH69" s="22">
        <f t="shared" ca="1" si="44"/>
        <v>0</v>
      </c>
      <c r="AI69" s="22">
        <f t="shared" ca="1" si="45"/>
        <v>0</v>
      </c>
      <c r="AJ69" s="22">
        <f t="shared" ca="1" si="63"/>
        <v>0</v>
      </c>
      <c r="AK69" s="22">
        <f t="shared" ca="1" si="64"/>
        <v>0</v>
      </c>
      <c r="AL69" s="22">
        <f t="shared" ca="1" si="28"/>
        <v>0</v>
      </c>
      <c r="AM69" s="22">
        <f t="shared" ca="1" si="29"/>
        <v>0</v>
      </c>
      <c r="AN69" s="22">
        <f t="shared" ca="1" si="46"/>
        <v>5080270</v>
      </c>
      <c r="AO69" s="22">
        <f t="shared" ca="1" si="76"/>
        <v>0</v>
      </c>
      <c r="AP69" s="22">
        <f t="shared" ca="1" si="77"/>
        <v>0</v>
      </c>
      <c r="AQ69" s="69">
        <f t="shared" ca="1" si="67"/>
        <v>5</v>
      </c>
      <c r="AR69" s="69">
        <f t="shared" ca="1" si="47"/>
        <v>5</v>
      </c>
      <c r="AS69" s="4">
        <f t="shared" ca="1" si="68"/>
        <v>2027</v>
      </c>
      <c r="AT69" s="4">
        <f t="shared" ca="1" si="48"/>
        <v>2027</v>
      </c>
      <c r="AU69" s="4">
        <f t="shared" ca="1" si="49"/>
        <v>0</v>
      </c>
      <c r="AV69" s="4">
        <f t="shared" ca="1" si="50"/>
        <v>30</v>
      </c>
      <c r="AW69" s="4">
        <f t="shared" si="51"/>
        <v>20</v>
      </c>
      <c r="AX69" s="4">
        <f t="shared" ca="1" si="69"/>
        <v>30</v>
      </c>
      <c r="AY69" s="19">
        <f t="shared" ca="1" si="52"/>
        <v>101600</v>
      </c>
      <c r="AZ69" s="19"/>
      <c r="BA69" s="19"/>
      <c r="BB69" s="19"/>
      <c r="BC69" s="19"/>
      <c r="BD69" s="4">
        <f t="shared" ca="1" si="8"/>
        <v>1</v>
      </c>
      <c r="BE69" s="19"/>
      <c r="BF69" s="19"/>
      <c r="BG69" s="19"/>
      <c r="BH69" s="19"/>
      <c r="BI69" s="120"/>
      <c r="BJ69" s="19"/>
      <c r="BK69" s="19"/>
      <c r="BL69" s="19"/>
      <c r="BM69" s="19"/>
      <c r="BN69" s="19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</row>
    <row r="70" spans="1:146" s="24" customFormat="1" ht="15" customHeight="1">
      <c r="A70" s="4">
        <v>41</v>
      </c>
      <c r="B70" s="268">
        <f t="shared" ca="1" si="74"/>
        <v>46558</v>
      </c>
      <c r="C70" s="401"/>
      <c r="D70" s="443">
        <f ca="1">IF(N70=0,IF(N66=1,SUM(D$26:E69)," "),IF(N70=0," ",IF(N71=1,D$54,IF(N71=0,IF(R70&lt;&gt;0,ROUNDUP(R70,-1),0)," "))))</f>
        <v>153940</v>
      </c>
      <c r="E70" s="443"/>
      <c r="F70" s="84">
        <f ca="1">IF(N70=0,IF(N69=1,SUM(F$26:F69)," "),IF(M$1=1,P70,IF(M$1=2,Q70," ")))</f>
        <v>272400</v>
      </c>
      <c r="G70" s="84">
        <f ca="1">IF(N70=0,IF(N69=1,SUM(G$26:G69)," "),IF(M$1=1,AF70,IF(M$1=2,AG70," ")))</f>
        <v>0</v>
      </c>
      <c r="H70" s="84">
        <f t="shared" ca="1" si="37"/>
        <v>426340</v>
      </c>
      <c r="I70" s="84">
        <f ca="1">IF(N70=0,IF(N65=1,SUM(I$26:I69)," "),IF(N70=0," ",IF(N71=1,I$54,IF(N71=0,IF(S70&lt;&gt;0,ROUNDUP(S70,-1),0)," "))))</f>
        <v>160290</v>
      </c>
      <c r="J70" s="84">
        <f t="shared" ca="1" si="38"/>
        <v>283630</v>
      </c>
      <c r="K70" s="84">
        <f t="shared" ca="1" si="39"/>
        <v>0</v>
      </c>
      <c r="L70" s="84">
        <f t="shared" ca="1" si="54"/>
        <v>443920</v>
      </c>
      <c r="M70" s="4">
        <v>41</v>
      </c>
      <c r="N70" s="4">
        <f t="shared" ca="1" si="55"/>
        <v>1</v>
      </c>
      <c r="O70" s="4">
        <f t="shared" ca="1" si="75"/>
        <v>20</v>
      </c>
      <c r="P70" s="22">
        <f t="shared" ca="1" si="40"/>
        <v>272400</v>
      </c>
      <c r="Q70" s="22">
        <f t="shared" ca="1" si="40"/>
        <v>272400</v>
      </c>
      <c r="R70" s="22">
        <f t="shared" ca="1" si="57"/>
        <v>4926330</v>
      </c>
      <c r="S70" s="22">
        <f t="shared" ca="1" si="70"/>
        <v>5129410</v>
      </c>
      <c r="T70" s="100">
        <f t="shared" ca="1" si="58"/>
        <v>296631.29166666669</v>
      </c>
      <c r="U70" s="22">
        <f t="shared" ca="1" si="59"/>
        <v>272400</v>
      </c>
      <c r="V70" s="22">
        <f t="shared" ca="1" si="71"/>
        <v>272401.81944444444</v>
      </c>
      <c r="W70" s="22">
        <f t="shared" ca="1" si="72"/>
        <v>272401.81944444444</v>
      </c>
      <c r="X70" s="22">
        <f t="shared" ca="1" si="73"/>
        <v>283631.29166666663</v>
      </c>
      <c r="Y70" s="22">
        <f t="shared" ca="1" si="60"/>
        <v>283630</v>
      </c>
      <c r="Z70" s="22">
        <f t="shared" ca="1" si="41"/>
        <v>650000</v>
      </c>
      <c r="AA70" s="22">
        <f t="shared" ca="1" si="61"/>
        <v>5369410</v>
      </c>
      <c r="AB70" s="22">
        <f t="shared" ca="1" si="42"/>
        <v>296631.29166666669</v>
      </c>
      <c r="AC70" s="22">
        <f t="shared" ca="1" si="23"/>
        <v>296630</v>
      </c>
      <c r="AD70" s="22">
        <f t="shared" ca="1" si="35"/>
        <v>650000</v>
      </c>
      <c r="AE70" s="22">
        <f t="shared" ca="1" si="62"/>
        <v>150868700</v>
      </c>
      <c r="AF70" s="22">
        <f t="shared" ca="1" si="43"/>
        <v>0</v>
      </c>
      <c r="AG70" s="22">
        <f t="shared" ca="1" si="43"/>
        <v>0</v>
      </c>
      <c r="AH70" s="22">
        <f t="shared" ca="1" si="44"/>
        <v>0</v>
      </c>
      <c r="AI70" s="22">
        <f t="shared" ca="1" si="45"/>
        <v>0</v>
      </c>
      <c r="AJ70" s="22">
        <f t="shared" ca="1" si="63"/>
        <v>0</v>
      </c>
      <c r="AK70" s="22">
        <f t="shared" ca="1" si="64"/>
        <v>0</v>
      </c>
      <c r="AL70" s="22">
        <f t="shared" ca="1" si="28"/>
        <v>0</v>
      </c>
      <c r="AM70" s="22">
        <f t="shared" ca="1" si="29"/>
        <v>0</v>
      </c>
      <c r="AN70" s="22">
        <f t="shared" ca="1" si="46"/>
        <v>4926330</v>
      </c>
      <c r="AO70" s="22">
        <f t="shared" ca="1" si="76"/>
        <v>0</v>
      </c>
      <c r="AP70" s="22">
        <f t="shared" ca="1" si="77"/>
        <v>0</v>
      </c>
      <c r="AQ70" s="69">
        <f t="shared" ca="1" si="67"/>
        <v>6</v>
      </c>
      <c r="AR70" s="69">
        <f t="shared" ca="1" si="47"/>
        <v>6</v>
      </c>
      <c r="AS70" s="4">
        <f t="shared" ca="1" si="68"/>
        <v>2027</v>
      </c>
      <c r="AT70" s="4">
        <f t="shared" ca="1" si="48"/>
        <v>2027</v>
      </c>
      <c r="AU70" s="4">
        <f t="shared" ca="1" si="49"/>
        <v>0</v>
      </c>
      <c r="AV70" s="4">
        <f t="shared" ca="1" si="50"/>
        <v>30</v>
      </c>
      <c r="AW70" s="4">
        <f t="shared" si="51"/>
        <v>20</v>
      </c>
      <c r="AX70" s="4">
        <f t="shared" ca="1" si="69"/>
        <v>30</v>
      </c>
      <c r="AY70" s="19">
        <f t="shared" ca="1" si="52"/>
        <v>98530</v>
      </c>
      <c r="AZ70" s="19"/>
      <c r="BA70" s="19"/>
      <c r="BB70" s="19"/>
      <c r="BC70" s="19"/>
      <c r="BD70" s="4">
        <f t="shared" ca="1" si="8"/>
        <v>1</v>
      </c>
      <c r="BE70" s="19"/>
      <c r="BF70" s="19"/>
      <c r="BG70" s="19"/>
      <c r="BH70" s="19"/>
      <c r="BI70" s="120"/>
      <c r="BJ70" s="19"/>
      <c r="BK70" s="19"/>
      <c r="BL70" s="19"/>
      <c r="BM70" s="19"/>
      <c r="BN70" s="19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</row>
    <row r="71" spans="1:146" s="24" customFormat="1" ht="15" customHeight="1">
      <c r="A71" s="4">
        <v>42</v>
      </c>
      <c r="B71" s="268">
        <f t="shared" ca="1" si="74"/>
        <v>46588</v>
      </c>
      <c r="C71" s="401"/>
      <c r="D71" s="443">
        <f ca="1">IF(N71=0,IF(N67=1,SUM(D$26:E70)," "),IF(N71=0," ",IF(N72=1,D$54,IF(N72=0,IF(R71&lt;&gt;0,ROUNDUP(R71,-1),0)," "))))</f>
        <v>153940</v>
      </c>
      <c r="E71" s="443"/>
      <c r="F71" s="84">
        <f ca="1">IF(N71=0,IF(N70=1,SUM(F$26:F70)," "),IF(M$1=1,P71,IF(M$1=2,Q71," ")))</f>
        <v>264060</v>
      </c>
      <c r="G71" s="84">
        <f ca="1">IF(N71=0,IF(N70=1,SUM(G$26:G70)," "),IF(M$1=1,AF71,IF(M$1=2,AG71," ")))</f>
        <v>0</v>
      </c>
      <c r="H71" s="84">
        <f t="shared" ca="1" si="37"/>
        <v>418000</v>
      </c>
      <c r="I71" s="84">
        <f ca="1">IF(N71=0,IF(N66=1,SUM(I$26:I70)," "),IF(N71=0," ",IF(N72=1,I$54,IF(N72=0,IF(S71&lt;&gt;0,ROUNDUP(S71,-1),0)," "))))</f>
        <v>160290</v>
      </c>
      <c r="J71" s="84">
        <f t="shared" ca="1" si="38"/>
        <v>274950</v>
      </c>
      <c r="K71" s="84">
        <f t="shared" ca="1" si="39"/>
        <v>0</v>
      </c>
      <c r="L71" s="84">
        <f t="shared" ca="1" si="54"/>
        <v>435240</v>
      </c>
      <c r="M71" s="4">
        <v>42</v>
      </c>
      <c r="N71" s="4">
        <f t="shared" ca="1" si="55"/>
        <v>1</v>
      </c>
      <c r="O71" s="4">
        <f t="shared" ca="1" si="75"/>
        <v>20</v>
      </c>
      <c r="P71" s="22">
        <f t="shared" ca="1" si="40"/>
        <v>264060</v>
      </c>
      <c r="Q71" s="22">
        <f t="shared" ca="1" si="40"/>
        <v>264060</v>
      </c>
      <c r="R71" s="22">
        <f t="shared" ca="1" si="57"/>
        <v>4772390</v>
      </c>
      <c r="S71" s="22">
        <f t="shared" ca="1" si="70"/>
        <v>4969120</v>
      </c>
      <c r="T71" s="100">
        <f t="shared" ca="1" si="58"/>
        <v>287948.91666666669</v>
      </c>
      <c r="U71" s="22">
        <f t="shared" ca="1" si="59"/>
        <v>264060</v>
      </c>
      <c r="V71" s="22">
        <f t="shared" ca="1" si="71"/>
        <v>264063.40277777775</v>
      </c>
      <c r="W71" s="22">
        <f t="shared" ca="1" si="72"/>
        <v>264063.40277777775</v>
      </c>
      <c r="X71" s="22">
        <f t="shared" ca="1" si="73"/>
        <v>274948.91666666663</v>
      </c>
      <c r="Y71" s="22">
        <f t="shared" ca="1" si="60"/>
        <v>274950</v>
      </c>
      <c r="Z71" s="22">
        <f t="shared" ca="1" si="41"/>
        <v>650000</v>
      </c>
      <c r="AA71" s="22">
        <f t="shared" ca="1" si="61"/>
        <v>5209120</v>
      </c>
      <c r="AB71" s="22">
        <f t="shared" ca="1" si="42"/>
        <v>287948.91666666669</v>
      </c>
      <c r="AC71" s="22">
        <f t="shared" ca="1" si="23"/>
        <v>287950</v>
      </c>
      <c r="AD71" s="22">
        <f t="shared" ca="1" si="35"/>
        <v>650000</v>
      </c>
      <c r="AE71" s="22">
        <f t="shared" ca="1" si="62"/>
        <v>146250500</v>
      </c>
      <c r="AF71" s="22">
        <f t="shared" ca="1" si="43"/>
        <v>0</v>
      </c>
      <c r="AG71" s="22">
        <f t="shared" ca="1" si="43"/>
        <v>0</v>
      </c>
      <c r="AH71" s="22">
        <f t="shared" ca="1" si="44"/>
        <v>0</v>
      </c>
      <c r="AI71" s="22">
        <f t="shared" ca="1" si="45"/>
        <v>0</v>
      </c>
      <c r="AJ71" s="22">
        <f t="shared" ca="1" si="63"/>
        <v>0</v>
      </c>
      <c r="AK71" s="22">
        <f t="shared" ca="1" si="64"/>
        <v>0</v>
      </c>
      <c r="AL71" s="22">
        <f t="shared" ca="1" si="28"/>
        <v>0</v>
      </c>
      <c r="AM71" s="22">
        <f t="shared" ca="1" si="29"/>
        <v>0</v>
      </c>
      <c r="AN71" s="22">
        <f t="shared" ca="1" si="46"/>
        <v>4772390</v>
      </c>
      <c r="AO71" s="22">
        <f t="shared" ca="1" si="76"/>
        <v>0</v>
      </c>
      <c r="AP71" s="22">
        <f t="shared" ca="1" si="77"/>
        <v>0</v>
      </c>
      <c r="AQ71" s="69">
        <f t="shared" ca="1" si="67"/>
        <v>7</v>
      </c>
      <c r="AR71" s="69">
        <f t="shared" ca="1" si="47"/>
        <v>7</v>
      </c>
      <c r="AS71" s="4">
        <f t="shared" ca="1" si="68"/>
        <v>2027</v>
      </c>
      <c r="AT71" s="4">
        <f t="shared" ca="1" si="48"/>
        <v>2027</v>
      </c>
      <c r="AU71" s="4">
        <f t="shared" ca="1" si="49"/>
        <v>0</v>
      </c>
      <c r="AV71" s="4">
        <f t="shared" ca="1" si="50"/>
        <v>30</v>
      </c>
      <c r="AW71" s="4">
        <f t="shared" si="51"/>
        <v>20</v>
      </c>
      <c r="AX71" s="4">
        <f t="shared" ca="1" si="69"/>
        <v>30</v>
      </c>
      <c r="AY71" s="19">
        <f t="shared" ca="1" si="52"/>
        <v>95450</v>
      </c>
      <c r="AZ71" s="19"/>
      <c r="BA71" s="19"/>
      <c r="BB71" s="19"/>
      <c r="BC71" s="19"/>
      <c r="BD71" s="4">
        <f t="shared" ca="1" si="8"/>
        <v>1</v>
      </c>
      <c r="BE71" s="19"/>
      <c r="BF71" s="19"/>
      <c r="BG71" s="19"/>
      <c r="BH71" s="19"/>
      <c r="BI71" s="120"/>
      <c r="BJ71" s="19"/>
      <c r="BK71" s="19"/>
      <c r="BL71" s="19"/>
      <c r="BM71" s="19"/>
      <c r="BN71" s="19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</row>
    <row r="72" spans="1:146" s="24" customFormat="1" ht="15" customHeight="1">
      <c r="A72" s="4">
        <v>43</v>
      </c>
      <c r="B72" s="268">
        <f t="shared" ca="1" si="74"/>
        <v>46619</v>
      </c>
      <c r="C72" s="401"/>
      <c r="D72" s="443">
        <f ca="1">IF(N72=0,IF(N68=1,SUM(D$26:E71)," "),IF(N72=0," ",IF(N73=1,D$54,IF(N73=0,IF(R72&lt;&gt;0,ROUNDUP(R72,-1),0)," "))))</f>
        <v>153940</v>
      </c>
      <c r="E72" s="443"/>
      <c r="F72" s="84">
        <f ca="1">IF(N72=0,IF(N71=1,SUM(F$26:F71)," "),IF(M$1=1,P72,IF(M$1=2,Q72," ")))</f>
        <v>255720</v>
      </c>
      <c r="G72" s="84">
        <f ca="1">IF(N72=0,IF(N71=1,SUM(G$26:G71)," "),IF(M$1=1,AF72,IF(M$1=2,AG72," ")))</f>
        <v>0</v>
      </c>
      <c r="H72" s="84">
        <f t="shared" ca="1" si="37"/>
        <v>409660</v>
      </c>
      <c r="I72" s="84">
        <f ca="1">IF(N72=0,IF(N67=1,SUM(I$26:I71)," "),IF(N72=0," ",IF(N73=1,I$54,IF(N73=0,IF(S72&lt;&gt;0,ROUNDUP(S72,-1),0)," "))))</f>
        <v>160290</v>
      </c>
      <c r="J72" s="84">
        <f t="shared" ca="1" si="38"/>
        <v>266270</v>
      </c>
      <c r="K72" s="84">
        <f t="shared" ca="1" si="39"/>
        <v>0</v>
      </c>
      <c r="L72" s="84">
        <f t="shared" ca="1" si="54"/>
        <v>426560</v>
      </c>
      <c r="M72" s="4">
        <v>43</v>
      </c>
      <c r="N72" s="4">
        <f t="shared" ca="1" si="55"/>
        <v>1</v>
      </c>
      <c r="O72" s="4">
        <f t="shared" ca="1" si="75"/>
        <v>20</v>
      </c>
      <c r="P72" s="22">
        <f t="shared" ca="1" si="40"/>
        <v>255720</v>
      </c>
      <c r="Q72" s="22">
        <f t="shared" ca="1" si="40"/>
        <v>255720</v>
      </c>
      <c r="R72" s="22">
        <f t="shared" ca="1" si="57"/>
        <v>4618450</v>
      </c>
      <c r="S72" s="22">
        <f t="shared" ca="1" si="70"/>
        <v>4808830</v>
      </c>
      <c r="T72" s="100">
        <f t="shared" ca="1" si="58"/>
        <v>279266.54166666669</v>
      </c>
      <c r="U72" s="22">
        <f t="shared" ca="1" si="59"/>
        <v>255720</v>
      </c>
      <c r="V72" s="22">
        <f t="shared" ca="1" si="71"/>
        <v>255724.98611111112</v>
      </c>
      <c r="W72" s="22">
        <f t="shared" ca="1" si="72"/>
        <v>255724.98611111112</v>
      </c>
      <c r="X72" s="22">
        <f t="shared" ca="1" si="73"/>
        <v>266266.54166666663</v>
      </c>
      <c r="Y72" s="22">
        <f t="shared" ca="1" si="60"/>
        <v>266270</v>
      </c>
      <c r="Z72" s="22">
        <f t="shared" ca="1" si="41"/>
        <v>650000</v>
      </c>
      <c r="AA72" s="22">
        <f t="shared" ca="1" si="61"/>
        <v>5048830</v>
      </c>
      <c r="AB72" s="22">
        <f t="shared" ca="1" si="42"/>
        <v>279266.54166666669</v>
      </c>
      <c r="AC72" s="22">
        <f t="shared" ca="1" si="23"/>
        <v>279270</v>
      </c>
      <c r="AD72" s="22">
        <f t="shared" ca="1" si="35"/>
        <v>650000</v>
      </c>
      <c r="AE72" s="22">
        <f t="shared" ca="1" si="62"/>
        <v>141632300</v>
      </c>
      <c r="AF72" s="22">
        <f t="shared" ca="1" si="43"/>
        <v>0</v>
      </c>
      <c r="AG72" s="22">
        <f t="shared" ca="1" si="43"/>
        <v>0</v>
      </c>
      <c r="AH72" s="22">
        <f t="shared" ca="1" si="44"/>
        <v>0</v>
      </c>
      <c r="AI72" s="22">
        <f t="shared" ca="1" si="45"/>
        <v>0</v>
      </c>
      <c r="AJ72" s="22">
        <f t="shared" ca="1" si="63"/>
        <v>0</v>
      </c>
      <c r="AK72" s="22">
        <f t="shared" ca="1" si="64"/>
        <v>0</v>
      </c>
      <c r="AL72" s="22">
        <f t="shared" ca="1" si="28"/>
        <v>0</v>
      </c>
      <c r="AM72" s="22">
        <f t="shared" ca="1" si="29"/>
        <v>0</v>
      </c>
      <c r="AN72" s="22">
        <f t="shared" ca="1" si="46"/>
        <v>4618450</v>
      </c>
      <c r="AO72" s="22">
        <f t="shared" ca="1" si="76"/>
        <v>0</v>
      </c>
      <c r="AP72" s="22">
        <f t="shared" ca="1" si="77"/>
        <v>0</v>
      </c>
      <c r="AQ72" s="69">
        <f t="shared" ca="1" si="67"/>
        <v>8</v>
      </c>
      <c r="AR72" s="69">
        <f t="shared" ca="1" si="47"/>
        <v>8</v>
      </c>
      <c r="AS72" s="4">
        <f t="shared" ca="1" si="68"/>
        <v>2027</v>
      </c>
      <c r="AT72" s="4">
        <f t="shared" ca="1" si="48"/>
        <v>2027</v>
      </c>
      <c r="AU72" s="4">
        <f t="shared" ca="1" si="49"/>
        <v>0</v>
      </c>
      <c r="AV72" s="4">
        <f t="shared" ca="1" si="50"/>
        <v>30</v>
      </c>
      <c r="AW72" s="4">
        <f t="shared" si="51"/>
        <v>20</v>
      </c>
      <c r="AX72" s="4">
        <f t="shared" ca="1" si="69"/>
        <v>30</v>
      </c>
      <c r="AY72" s="19">
        <f t="shared" ca="1" si="52"/>
        <v>92370</v>
      </c>
      <c r="AZ72" s="19"/>
      <c r="BA72" s="19"/>
      <c r="BB72" s="19"/>
      <c r="BC72" s="19"/>
      <c r="BD72" s="4">
        <f t="shared" ca="1" si="8"/>
        <v>1</v>
      </c>
      <c r="BE72" s="19"/>
      <c r="BF72" s="19"/>
      <c r="BG72" s="19"/>
      <c r="BH72" s="19"/>
      <c r="BI72" s="120"/>
      <c r="BJ72" s="19"/>
      <c r="BK72" s="19"/>
      <c r="BL72" s="19"/>
      <c r="BM72" s="19"/>
      <c r="BN72" s="19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</row>
    <row r="73" spans="1:146" s="24" customFormat="1" ht="15" customHeight="1">
      <c r="A73" s="4">
        <v>44</v>
      </c>
      <c r="B73" s="268">
        <f t="shared" ca="1" si="74"/>
        <v>46650</v>
      </c>
      <c r="C73" s="401"/>
      <c r="D73" s="443">
        <f ca="1">IF(N73=0,IF(N69=1,SUM(D$26:E72)," "),IF(N73=0," ",IF(N74=1,D$54,IF(N74=0,IF(R73&lt;&gt;0,ROUNDUP(R73,-1),0)," "))))</f>
        <v>153940</v>
      </c>
      <c r="E73" s="443"/>
      <c r="F73" s="84">
        <f ca="1">IF(N73=0,IF(N72=1,SUM(F$26:F72)," "),IF(M$1=1,P73,IF(M$1=2,Q73," ")))</f>
        <v>247390</v>
      </c>
      <c r="G73" s="84">
        <f ca="1">IF(N73=0,IF(N72=1,SUM(G$26:G72)," "),IF(M$1=1,AF73,IF(M$1=2,AG73," ")))</f>
        <v>0</v>
      </c>
      <c r="H73" s="84">
        <f t="shared" ca="1" si="37"/>
        <v>401330</v>
      </c>
      <c r="I73" s="84">
        <f ca="1">IF(N73=0,IF(N68=1,SUM(I$26:I72)," "),IF(N73=0," ",IF(N74=1,I$54,IF(N74=0,IF(S73&lt;&gt;0,ROUNDUP(S73,-1),0)," "))))</f>
        <v>160290</v>
      </c>
      <c r="J73" s="84">
        <f t="shared" ca="1" si="38"/>
        <v>257580</v>
      </c>
      <c r="K73" s="84">
        <f t="shared" ca="1" si="39"/>
        <v>0</v>
      </c>
      <c r="L73" s="84">
        <f t="shared" ca="1" si="54"/>
        <v>417870</v>
      </c>
      <c r="M73" s="4">
        <v>44</v>
      </c>
      <c r="N73" s="4">
        <f t="shared" ca="1" si="55"/>
        <v>1</v>
      </c>
      <c r="O73" s="4">
        <f t="shared" ca="1" si="75"/>
        <v>20</v>
      </c>
      <c r="P73" s="22">
        <f t="shared" ca="1" si="40"/>
        <v>247390</v>
      </c>
      <c r="Q73" s="22">
        <f t="shared" ca="1" si="40"/>
        <v>247390</v>
      </c>
      <c r="R73" s="22">
        <f t="shared" ca="1" si="57"/>
        <v>4464510</v>
      </c>
      <c r="S73" s="22">
        <f t="shared" ca="1" si="70"/>
        <v>4648540</v>
      </c>
      <c r="T73" s="100">
        <f t="shared" ca="1" si="58"/>
        <v>270584.16666666669</v>
      </c>
      <c r="U73" s="22">
        <f t="shared" ca="1" si="59"/>
        <v>247390</v>
      </c>
      <c r="V73" s="22">
        <f t="shared" ca="1" si="71"/>
        <v>247386.56944444444</v>
      </c>
      <c r="W73" s="22">
        <f t="shared" ca="1" si="72"/>
        <v>247386.56944444444</v>
      </c>
      <c r="X73" s="22">
        <f t="shared" ca="1" si="73"/>
        <v>257584.16666666666</v>
      </c>
      <c r="Y73" s="22">
        <f t="shared" ca="1" si="60"/>
        <v>257580</v>
      </c>
      <c r="Z73" s="22">
        <f t="shared" ca="1" si="41"/>
        <v>650000</v>
      </c>
      <c r="AA73" s="22">
        <f t="shared" ca="1" si="61"/>
        <v>4888540</v>
      </c>
      <c r="AB73" s="22">
        <f t="shared" ca="1" si="42"/>
        <v>270584.16666666669</v>
      </c>
      <c r="AC73" s="22">
        <f t="shared" ca="1" si="23"/>
        <v>270580</v>
      </c>
      <c r="AD73" s="22">
        <f t="shared" ca="1" si="35"/>
        <v>650000</v>
      </c>
      <c r="AE73" s="22">
        <f t="shared" ca="1" si="62"/>
        <v>137014100</v>
      </c>
      <c r="AF73" s="22">
        <f t="shared" ca="1" si="43"/>
        <v>0</v>
      </c>
      <c r="AG73" s="22">
        <f t="shared" ca="1" si="43"/>
        <v>0</v>
      </c>
      <c r="AH73" s="22">
        <f t="shared" ca="1" si="44"/>
        <v>0</v>
      </c>
      <c r="AI73" s="22">
        <f t="shared" ca="1" si="45"/>
        <v>0</v>
      </c>
      <c r="AJ73" s="22">
        <f t="shared" ca="1" si="63"/>
        <v>0</v>
      </c>
      <c r="AK73" s="22">
        <f t="shared" ca="1" si="64"/>
        <v>0</v>
      </c>
      <c r="AL73" s="22">
        <f t="shared" ca="1" si="28"/>
        <v>0</v>
      </c>
      <c r="AM73" s="22">
        <f t="shared" ca="1" si="29"/>
        <v>0</v>
      </c>
      <c r="AN73" s="22">
        <f t="shared" ca="1" si="46"/>
        <v>4464510</v>
      </c>
      <c r="AO73" s="22">
        <f t="shared" ca="1" si="76"/>
        <v>0</v>
      </c>
      <c r="AP73" s="22">
        <f t="shared" ca="1" si="77"/>
        <v>0</v>
      </c>
      <c r="AQ73" s="69">
        <f t="shared" ca="1" si="67"/>
        <v>9</v>
      </c>
      <c r="AR73" s="69">
        <f t="shared" ca="1" si="47"/>
        <v>9</v>
      </c>
      <c r="AS73" s="4">
        <f t="shared" ca="1" si="68"/>
        <v>2027</v>
      </c>
      <c r="AT73" s="4">
        <f t="shared" ca="1" si="48"/>
        <v>2027</v>
      </c>
      <c r="AU73" s="4">
        <f t="shared" ca="1" si="49"/>
        <v>0</v>
      </c>
      <c r="AV73" s="4">
        <f t="shared" ca="1" si="50"/>
        <v>30</v>
      </c>
      <c r="AW73" s="4">
        <f t="shared" si="51"/>
        <v>20</v>
      </c>
      <c r="AX73" s="4">
        <f t="shared" ca="1" si="69"/>
        <v>30</v>
      </c>
      <c r="AY73" s="19">
        <f t="shared" ca="1" si="52"/>
        <v>89290</v>
      </c>
      <c r="AZ73" s="19"/>
      <c r="BA73" s="19"/>
      <c r="BB73" s="19"/>
      <c r="BC73" s="19"/>
      <c r="BD73" s="4">
        <f t="shared" ca="1" si="8"/>
        <v>1</v>
      </c>
      <c r="BE73" s="19"/>
      <c r="BF73" s="19"/>
      <c r="BG73" s="19"/>
      <c r="BH73" s="19"/>
      <c r="BI73" s="120"/>
      <c r="BJ73" s="19"/>
      <c r="BK73" s="19"/>
      <c r="BL73" s="19"/>
      <c r="BM73" s="19"/>
      <c r="BN73" s="19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</row>
    <row r="74" spans="1:146" s="24" customFormat="1" ht="15" customHeight="1">
      <c r="A74" s="4">
        <v>45</v>
      </c>
      <c r="B74" s="268">
        <f t="shared" ca="1" si="74"/>
        <v>46680</v>
      </c>
      <c r="C74" s="401"/>
      <c r="D74" s="443">
        <f ca="1">IF(N74=0,IF(N70=1,SUM(D$26:E73)," "),IF(N74=0," ",IF(N75=1,D$54,IF(N75=0,IF(R74&lt;&gt;0,ROUNDUP(R74,-1),0)," "))))</f>
        <v>153940</v>
      </c>
      <c r="E74" s="443"/>
      <c r="F74" s="84">
        <f ca="1">IF(N74=0,IF(N73=1,SUM(F$26:F73)," "),IF(M$1=1,P74,IF(M$1=2,Q74," ")))</f>
        <v>239050</v>
      </c>
      <c r="G74" s="84">
        <f ca="1">IF(N74=0,IF(N73=1,SUM(G$26:G73)," "),IF(M$1=1,AF74,IF(M$1=2,AG74," ")))</f>
        <v>0</v>
      </c>
      <c r="H74" s="84">
        <f t="shared" ca="1" si="37"/>
        <v>392990</v>
      </c>
      <c r="I74" s="84">
        <f ca="1">IF(N74=0,IF(N69=1,SUM(I$26:I73)," "),IF(N74=0," ",IF(N75=1,I$54,IF(N75=0,IF(S74&lt;&gt;0,ROUNDUP(S74,-1),0)," "))))</f>
        <v>160290</v>
      </c>
      <c r="J74" s="84">
        <f t="shared" ca="1" si="38"/>
        <v>248900</v>
      </c>
      <c r="K74" s="84">
        <f t="shared" ca="1" si="39"/>
        <v>0</v>
      </c>
      <c r="L74" s="84">
        <f t="shared" ca="1" si="54"/>
        <v>409190</v>
      </c>
      <c r="M74" s="4">
        <v>45</v>
      </c>
      <c r="N74" s="4">
        <f t="shared" ca="1" si="55"/>
        <v>1</v>
      </c>
      <c r="O74" s="4">
        <f t="shared" ca="1" si="75"/>
        <v>20</v>
      </c>
      <c r="P74" s="22">
        <f t="shared" ca="1" si="40"/>
        <v>239050</v>
      </c>
      <c r="Q74" s="22">
        <f t="shared" ca="1" si="40"/>
        <v>239050</v>
      </c>
      <c r="R74" s="22">
        <f t="shared" ca="1" si="57"/>
        <v>4310570</v>
      </c>
      <c r="S74" s="22">
        <f t="shared" ca="1" si="70"/>
        <v>4488250</v>
      </c>
      <c r="T74" s="100">
        <f t="shared" ca="1" si="58"/>
        <v>261901.79166666669</v>
      </c>
      <c r="U74" s="22">
        <f t="shared" ca="1" si="59"/>
        <v>239050</v>
      </c>
      <c r="V74" s="22">
        <f t="shared" ca="1" si="71"/>
        <v>239048.15277777775</v>
      </c>
      <c r="W74" s="22">
        <f t="shared" ca="1" si="72"/>
        <v>239048.15277777775</v>
      </c>
      <c r="X74" s="22">
        <f t="shared" ca="1" si="73"/>
        <v>248901.79166666666</v>
      </c>
      <c r="Y74" s="22">
        <f t="shared" ca="1" si="60"/>
        <v>248900</v>
      </c>
      <c r="Z74" s="22">
        <f t="shared" ca="1" si="41"/>
        <v>650000</v>
      </c>
      <c r="AA74" s="22">
        <f t="shared" ca="1" si="61"/>
        <v>4728250</v>
      </c>
      <c r="AB74" s="22">
        <f t="shared" ca="1" si="42"/>
        <v>261901.79166666669</v>
      </c>
      <c r="AC74" s="22">
        <f t="shared" ca="1" si="23"/>
        <v>261900</v>
      </c>
      <c r="AD74" s="22">
        <f t="shared" ca="1" si="35"/>
        <v>650000</v>
      </c>
      <c r="AE74" s="22">
        <f t="shared" ca="1" si="62"/>
        <v>132395900</v>
      </c>
      <c r="AF74" s="22">
        <f t="shared" ca="1" si="43"/>
        <v>0</v>
      </c>
      <c r="AG74" s="22">
        <f t="shared" ca="1" si="43"/>
        <v>0</v>
      </c>
      <c r="AH74" s="22">
        <f t="shared" ca="1" si="44"/>
        <v>0</v>
      </c>
      <c r="AI74" s="22">
        <f t="shared" ca="1" si="45"/>
        <v>0</v>
      </c>
      <c r="AJ74" s="22">
        <f t="shared" ca="1" si="63"/>
        <v>0</v>
      </c>
      <c r="AK74" s="22">
        <f t="shared" ca="1" si="64"/>
        <v>0</v>
      </c>
      <c r="AL74" s="22">
        <f t="shared" ca="1" si="28"/>
        <v>0</v>
      </c>
      <c r="AM74" s="22">
        <f t="shared" ca="1" si="29"/>
        <v>0</v>
      </c>
      <c r="AN74" s="22">
        <f t="shared" ca="1" si="46"/>
        <v>4310570</v>
      </c>
      <c r="AO74" s="22">
        <f t="shared" ca="1" si="76"/>
        <v>0</v>
      </c>
      <c r="AP74" s="22">
        <f t="shared" ca="1" si="77"/>
        <v>0</v>
      </c>
      <c r="AQ74" s="69">
        <f t="shared" ca="1" si="67"/>
        <v>10</v>
      </c>
      <c r="AR74" s="69">
        <f t="shared" ca="1" si="47"/>
        <v>10</v>
      </c>
      <c r="AS74" s="4">
        <f t="shared" ca="1" si="68"/>
        <v>2027</v>
      </c>
      <c r="AT74" s="4">
        <f t="shared" ca="1" si="48"/>
        <v>2027</v>
      </c>
      <c r="AU74" s="4">
        <f t="shared" ca="1" si="49"/>
        <v>0</v>
      </c>
      <c r="AV74" s="4">
        <f t="shared" ca="1" si="50"/>
        <v>30</v>
      </c>
      <c r="AW74" s="4">
        <f t="shared" si="51"/>
        <v>20</v>
      </c>
      <c r="AX74" s="4">
        <f t="shared" ca="1" si="69"/>
        <v>30</v>
      </c>
      <c r="AY74" s="19">
        <f t="shared" ca="1" si="52"/>
        <v>86210</v>
      </c>
      <c r="AZ74" s="19"/>
      <c r="BA74" s="19"/>
      <c r="BB74" s="19"/>
      <c r="BC74" s="19"/>
      <c r="BD74" s="4">
        <f t="shared" ca="1" si="8"/>
        <v>1</v>
      </c>
      <c r="BE74" s="19"/>
      <c r="BF74" s="19"/>
      <c r="BG74" s="19"/>
      <c r="BH74" s="19"/>
      <c r="BI74" s="120"/>
      <c r="BJ74" s="19"/>
      <c r="BK74" s="19"/>
      <c r="BL74" s="19"/>
      <c r="BM74" s="19"/>
      <c r="BN74" s="19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</row>
    <row r="75" spans="1:146" s="24" customFormat="1" ht="15" customHeight="1">
      <c r="A75" s="4">
        <v>46</v>
      </c>
      <c r="B75" s="268">
        <f t="shared" ca="1" si="74"/>
        <v>46711</v>
      </c>
      <c r="C75" s="401"/>
      <c r="D75" s="443">
        <f ca="1">IF(N75=0,IF(N71=1,SUM(D$26:E74)," "),IF(N75=0," ",IF(N76=1,D$54,IF(N76=0,IF(R75&lt;&gt;0,ROUNDUP(R75,-1),0)," "))))</f>
        <v>153940</v>
      </c>
      <c r="E75" s="443"/>
      <c r="F75" s="84">
        <f ca="1">IF(N75=0,IF(N74=1,SUM(F$26:F74)," "),IF(M$1=1,P75,IF(M$1=2,Q75," ")))</f>
        <v>230710</v>
      </c>
      <c r="G75" s="84">
        <f ca="1">IF(N75=0,IF(N74=1,SUM(G$26:G74)," "),IF(M$1=1,AF75,IF(M$1=2,AG75," ")))</f>
        <v>0</v>
      </c>
      <c r="H75" s="84">
        <f t="shared" ca="1" si="37"/>
        <v>384650</v>
      </c>
      <c r="I75" s="84">
        <f ca="1">IF(N75=0,IF(N70=1,SUM(I$26:I74)," "),IF(N75=0," ",IF(N76=1,I$54,IF(N76=0,IF(S75&lt;&gt;0,ROUNDUP(S75,-1),0)," "))))</f>
        <v>160290</v>
      </c>
      <c r="J75" s="84">
        <f t="shared" ca="1" si="38"/>
        <v>240220</v>
      </c>
      <c r="K75" s="84">
        <f t="shared" ca="1" si="39"/>
        <v>0</v>
      </c>
      <c r="L75" s="84">
        <f t="shared" ca="1" si="54"/>
        <v>400510</v>
      </c>
      <c r="M75" s="4">
        <v>46</v>
      </c>
      <c r="N75" s="4">
        <f t="shared" ca="1" si="55"/>
        <v>1</v>
      </c>
      <c r="O75" s="4">
        <f t="shared" ca="1" si="75"/>
        <v>20</v>
      </c>
      <c r="P75" s="22">
        <f t="shared" ca="1" si="40"/>
        <v>230710</v>
      </c>
      <c r="Q75" s="22">
        <f t="shared" ca="1" si="40"/>
        <v>230710</v>
      </c>
      <c r="R75" s="22">
        <f t="shared" ca="1" si="57"/>
        <v>4156630</v>
      </c>
      <c r="S75" s="22">
        <f t="shared" ca="1" si="70"/>
        <v>4327960</v>
      </c>
      <c r="T75" s="100">
        <f t="shared" ca="1" si="58"/>
        <v>253219.41666666669</v>
      </c>
      <c r="U75" s="22">
        <f t="shared" ca="1" si="59"/>
        <v>230710</v>
      </c>
      <c r="V75" s="22">
        <f t="shared" ca="1" si="71"/>
        <v>230709.73611111112</v>
      </c>
      <c r="W75" s="22">
        <f t="shared" ca="1" si="72"/>
        <v>230709.73611111112</v>
      </c>
      <c r="X75" s="22">
        <f t="shared" ca="1" si="73"/>
        <v>240219.41666666666</v>
      </c>
      <c r="Y75" s="22">
        <f t="shared" ca="1" si="60"/>
        <v>240220</v>
      </c>
      <c r="Z75" s="22">
        <f t="shared" ca="1" si="41"/>
        <v>650000</v>
      </c>
      <c r="AA75" s="22">
        <f t="shared" ca="1" si="61"/>
        <v>4567960</v>
      </c>
      <c r="AB75" s="22">
        <f t="shared" ca="1" si="42"/>
        <v>253219.41666666669</v>
      </c>
      <c r="AC75" s="22">
        <f t="shared" ca="1" si="23"/>
        <v>253220</v>
      </c>
      <c r="AD75" s="22">
        <f t="shared" ca="1" si="35"/>
        <v>650000</v>
      </c>
      <c r="AE75" s="22">
        <f t="shared" ca="1" si="62"/>
        <v>127777700</v>
      </c>
      <c r="AF75" s="22">
        <f t="shared" ca="1" si="43"/>
        <v>0</v>
      </c>
      <c r="AG75" s="22">
        <f t="shared" ca="1" si="43"/>
        <v>0</v>
      </c>
      <c r="AH75" s="22">
        <f t="shared" ca="1" si="44"/>
        <v>0</v>
      </c>
      <c r="AI75" s="22">
        <f t="shared" ca="1" si="45"/>
        <v>0</v>
      </c>
      <c r="AJ75" s="22">
        <f t="shared" ca="1" si="63"/>
        <v>0</v>
      </c>
      <c r="AK75" s="22">
        <f t="shared" ca="1" si="64"/>
        <v>0</v>
      </c>
      <c r="AL75" s="22">
        <f t="shared" ca="1" si="28"/>
        <v>0</v>
      </c>
      <c r="AM75" s="22">
        <f t="shared" ca="1" si="29"/>
        <v>0</v>
      </c>
      <c r="AN75" s="22">
        <f t="shared" ca="1" si="46"/>
        <v>4156630</v>
      </c>
      <c r="AO75" s="22">
        <f t="shared" ca="1" si="76"/>
        <v>0</v>
      </c>
      <c r="AP75" s="22">
        <f t="shared" ca="1" si="77"/>
        <v>0</v>
      </c>
      <c r="AQ75" s="69">
        <f t="shared" ca="1" si="67"/>
        <v>11</v>
      </c>
      <c r="AR75" s="69">
        <f t="shared" ca="1" si="47"/>
        <v>11</v>
      </c>
      <c r="AS75" s="4">
        <f t="shared" ca="1" si="68"/>
        <v>2027</v>
      </c>
      <c r="AT75" s="4">
        <f t="shared" ca="1" si="48"/>
        <v>2027</v>
      </c>
      <c r="AU75" s="4">
        <f t="shared" ca="1" si="49"/>
        <v>0</v>
      </c>
      <c r="AV75" s="4">
        <f t="shared" ca="1" si="50"/>
        <v>30</v>
      </c>
      <c r="AW75" s="4">
        <f t="shared" si="51"/>
        <v>20</v>
      </c>
      <c r="AX75" s="4">
        <f t="shared" ca="1" si="69"/>
        <v>30</v>
      </c>
      <c r="AY75" s="19">
        <f t="shared" ca="1" si="52"/>
        <v>83130</v>
      </c>
      <c r="AZ75" s="19"/>
      <c r="BA75" s="19"/>
      <c r="BB75" s="19"/>
      <c r="BC75" s="19"/>
      <c r="BD75" s="4">
        <f t="shared" ca="1" si="8"/>
        <v>1</v>
      </c>
      <c r="BE75" s="19"/>
      <c r="BF75" s="19"/>
      <c r="BG75" s="19"/>
      <c r="BH75" s="19"/>
      <c r="BI75" s="120"/>
      <c r="BJ75" s="19"/>
      <c r="BK75" s="19"/>
      <c r="BL75" s="19"/>
      <c r="BM75" s="19"/>
      <c r="BN75" s="19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</row>
    <row r="76" spans="1:146" s="24" customFormat="1" ht="15" customHeight="1">
      <c r="A76" s="4">
        <v>47</v>
      </c>
      <c r="B76" s="268">
        <f t="shared" ca="1" si="74"/>
        <v>46741</v>
      </c>
      <c r="C76" s="401"/>
      <c r="D76" s="443">
        <f ca="1">IF(N76=0,IF(N72=1,SUM(D$26:E75)," "),IF(N76=0," ",IF(N77=1,D$54,IF(N77=0,IF(R76&lt;&gt;0,ROUNDUP(R76,-1),0)," "))))</f>
        <v>153940</v>
      </c>
      <c r="E76" s="443"/>
      <c r="F76" s="84">
        <f ca="1">IF(N76=0,IF(N75=1,SUM(F$26:F75)," "),IF(M$1=1,P76,IF(M$1=2,Q76," ")))</f>
        <v>222370</v>
      </c>
      <c r="G76" s="84">
        <f ca="1">IF(N76=0,IF(N75=1,SUM(G$26:G75)," "),IF(M$1=1,AF76,IF(M$1=2,AG76," ")))</f>
        <v>0</v>
      </c>
      <c r="H76" s="84">
        <f t="shared" ca="1" si="37"/>
        <v>376310</v>
      </c>
      <c r="I76" s="84">
        <f ca="1">IF(N76=0,IF(N71=1,SUM(I$26:I75)," "),IF(N76=0," ",IF(N77=1,I$54,IF(N77=0,IF(S76&lt;&gt;0,ROUNDUP(S76,-1),0)," "))))</f>
        <v>160290</v>
      </c>
      <c r="J76" s="84">
        <f t="shared" ca="1" si="38"/>
        <v>231540</v>
      </c>
      <c r="K76" s="84">
        <f t="shared" ca="1" si="39"/>
        <v>0</v>
      </c>
      <c r="L76" s="84">
        <f t="shared" ca="1" si="54"/>
        <v>391830</v>
      </c>
      <c r="M76" s="4">
        <v>47</v>
      </c>
      <c r="N76" s="4">
        <f t="shared" ca="1" si="55"/>
        <v>1</v>
      </c>
      <c r="O76" s="4">
        <f t="shared" ca="1" si="75"/>
        <v>20</v>
      </c>
      <c r="P76" s="22">
        <f t="shared" ca="1" si="40"/>
        <v>222370</v>
      </c>
      <c r="Q76" s="22">
        <f t="shared" ca="1" si="40"/>
        <v>222370</v>
      </c>
      <c r="R76" s="22">
        <f t="shared" ca="1" si="57"/>
        <v>4002690</v>
      </c>
      <c r="S76" s="22">
        <f t="shared" ca="1" si="70"/>
        <v>4167670</v>
      </c>
      <c r="T76" s="100">
        <f t="shared" ca="1" si="58"/>
        <v>244537.04166666669</v>
      </c>
      <c r="U76" s="22">
        <f t="shared" ca="1" si="59"/>
        <v>222370</v>
      </c>
      <c r="V76" s="22">
        <f t="shared" ca="1" si="71"/>
        <v>222371.31944444444</v>
      </c>
      <c r="W76" s="22">
        <f t="shared" ca="1" si="72"/>
        <v>222371.31944444444</v>
      </c>
      <c r="X76" s="22">
        <f t="shared" ca="1" si="73"/>
        <v>231537.04166666666</v>
      </c>
      <c r="Y76" s="22">
        <f t="shared" ca="1" si="60"/>
        <v>231540</v>
      </c>
      <c r="Z76" s="22">
        <f t="shared" ca="1" si="41"/>
        <v>650000</v>
      </c>
      <c r="AA76" s="22">
        <f t="shared" ca="1" si="61"/>
        <v>4407670</v>
      </c>
      <c r="AB76" s="22">
        <f t="shared" ca="1" si="42"/>
        <v>244537.04166666669</v>
      </c>
      <c r="AC76" s="22">
        <f t="shared" ca="1" si="23"/>
        <v>244540</v>
      </c>
      <c r="AD76" s="22">
        <f t="shared" ca="1" si="35"/>
        <v>650000</v>
      </c>
      <c r="AE76" s="22">
        <f t="shared" ca="1" si="62"/>
        <v>123159500</v>
      </c>
      <c r="AF76" s="22">
        <f t="shared" ca="1" si="43"/>
        <v>0</v>
      </c>
      <c r="AG76" s="22">
        <f t="shared" ca="1" si="43"/>
        <v>0</v>
      </c>
      <c r="AH76" s="22">
        <f t="shared" ca="1" si="44"/>
        <v>0</v>
      </c>
      <c r="AI76" s="22">
        <f t="shared" ca="1" si="45"/>
        <v>0</v>
      </c>
      <c r="AJ76" s="22">
        <f t="shared" ca="1" si="63"/>
        <v>0</v>
      </c>
      <c r="AK76" s="22">
        <f t="shared" ca="1" si="64"/>
        <v>0</v>
      </c>
      <c r="AL76" s="22">
        <f t="shared" ca="1" si="28"/>
        <v>0</v>
      </c>
      <c r="AM76" s="22">
        <f t="shared" ca="1" si="29"/>
        <v>0</v>
      </c>
      <c r="AN76" s="22">
        <f t="shared" ca="1" si="46"/>
        <v>4002690</v>
      </c>
      <c r="AO76" s="22">
        <f t="shared" ca="1" si="76"/>
        <v>0</v>
      </c>
      <c r="AP76" s="22">
        <f t="shared" ca="1" si="77"/>
        <v>0</v>
      </c>
      <c r="AQ76" s="69">
        <f t="shared" ca="1" si="67"/>
        <v>12</v>
      </c>
      <c r="AR76" s="69">
        <f t="shared" ca="1" si="47"/>
        <v>12</v>
      </c>
      <c r="AS76" s="4">
        <f t="shared" ca="1" si="68"/>
        <v>2027</v>
      </c>
      <c r="AT76" s="4">
        <f t="shared" ca="1" si="48"/>
        <v>2027</v>
      </c>
      <c r="AU76" s="4">
        <f t="shared" ca="1" si="49"/>
        <v>0</v>
      </c>
      <c r="AV76" s="4">
        <f t="shared" ca="1" si="50"/>
        <v>30</v>
      </c>
      <c r="AW76" s="4">
        <f t="shared" si="51"/>
        <v>20</v>
      </c>
      <c r="AX76" s="4">
        <f t="shared" ca="1" si="69"/>
        <v>30</v>
      </c>
      <c r="AY76" s="19">
        <f t="shared" ca="1" si="52"/>
        <v>80050</v>
      </c>
      <c r="AZ76" s="19"/>
      <c r="BA76" s="19"/>
      <c r="BB76" s="19"/>
      <c r="BC76" s="19"/>
      <c r="BD76" s="4">
        <f t="shared" ca="1" si="8"/>
        <v>1</v>
      </c>
      <c r="BE76" s="19"/>
      <c r="BF76" s="19"/>
      <c r="BG76" s="19"/>
      <c r="BH76" s="19"/>
      <c r="BI76" s="120"/>
      <c r="BJ76" s="19"/>
      <c r="BK76" s="19"/>
      <c r="BL76" s="19"/>
      <c r="BM76" s="19"/>
      <c r="BN76" s="19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</row>
    <row r="77" spans="1:146" s="24" customFormat="1" ht="15" customHeight="1">
      <c r="A77" s="4">
        <v>48</v>
      </c>
      <c r="B77" s="268">
        <f t="shared" ca="1" si="74"/>
        <v>46772</v>
      </c>
      <c r="C77" s="401"/>
      <c r="D77" s="443">
        <f ca="1">IF(N77=0,IF(N73=1,SUM(D$26:E76)," "),IF(N77=0," ",IF(N78=1,D$54,IF(N78=0,IF(R77&lt;&gt;0,ROUNDUP(R77,-1),0)," "))))</f>
        <v>153940</v>
      </c>
      <c r="E77" s="443"/>
      <c r="F77" s="84">
        <f ca="1">IF(N77=0,IF(N76=1,SUM(F$26:F76)," "),IF(M$1=1,P77,IF(M$1=2,Q77," ")))</f>
        <v>214030</v>
      </c>
      <c r="G77" s="84">
        <f ca="1">IF(N77=0,IF(N76=1,SUM(G$26:G76)," "),IF(M$1=1,AF77,IF(M$1=2,AG77," ")))</f>
        <v>0</v>
      </c>
      <c r="H77" s="84">
        <f t="shared" ca="1" si="37"/>
        <v>367970</v>
      </c>
      <c r="I77" s="84">
        <f ca="1">IF(N77=0,IF(N72=1,SUM(I$26:I76)," "),IF(N77=0," ",IF(N78=1,I$54,IF(N78=0,IF(S77&lt;&gt;0,ROUNDUP(S77,-1),0)," "))))</f>
        <v>160290</v>
      </c>
      <c r="J77" s="84">
        <f t="shared" ca="1" si="38"/>
        <v>222850</v>
      </c>
      <c r="K77" s="84">
        <f t="shared" ca="1" si="39"/>
        <v>0</v>
      </c>
      <c r="L77" s="84">
        <f t="shared" ca="1" si="54"/>
        <v>383140</v>
      </c>
      <c r="M77" s="4">
        <v>48</v>
      </c>
      <c r="N77" s="4">
        <f t="shared" ca="1" si="55"/>
        <v>1</v>
      </c>
      <c r="O77" s="4">
        <f t="shared" ca="1" si="75"/>
        <v>20</v>
      </c>
      <c r="P77" s="22">
        <f t="shared" ca="1" si="40"/>
        <v>214030</v>
      </c>
      <c r="Q77" s="22">
        <f t="shared" ca="1" si="40"/>
        <v>214030</v>
      </c>
      <c r="R77" s="22">
        <f t="shared" ca="1" si="57"/>
        <v>3848750</v>
      </c>
      <c r="S77" s="22">
        <f t="shared" ca="1" si="70"/>
        <v>4007380</v>
      </c>
      <c r="T77" s="100">
        <f t="shared" ca="1" si="58"/>
        <v>235854.66666666669</v>
      </c>
      <c r="U77" s="22">
        <f t="shared" ca="1" si="59"/>
        <v>214030</v>
      </c>
      <c r="V77" s="22">
        <f t="shared" ca="1" si="71"/>
        <v>214032.90277777778</v>
      </c>
      <c r="W77" s="22">
        <f t="shared" ca="1" si="72"/>
        <v>214032.90277777778</v>
      </c>
      <c r="X77" s="22">
        <f t="shared" ca="1" si="73"/>
        <v>222854.66666666666</v>
      </c>
      <c r="Y77" s="22">
        <f t="shared" ca="1" si="60"/>
        <v>222850</v>
      </c>
      <c r="Z77" s="22">
        <f t="shared" ca="1" si="41"/>
        <v>650000</v>
      </c>
      <c r="AA77" s="22">
        <f t="shared" ca="1" si="61"/>
        <v>4247380</v>
      </c>
      <c r="AB77" s="22">
        <f t="shared" ca="1" si="42"/>
        <v>235854.66666666669</v>
      </c>
      <c r="AC77" s="22">
        <f t="shared" ca="1" si="23"/>
        <v>235850</v>
      </c>
      <c r="AD77" s="22">
        <f t="shared" ca="1" si="35"/>
        <v>650000</v>
      </c>
      <c r="AE77" s="22">
        <f t="shared" ca="1" si="62"/>
        <v>118541300</v>
      </c>
      <c r="AF77" s="22">
        <f t="shared" ca="1" si="43"/>
        <v>0</v>
      </c>
      <c r="AG77" s="22">
        <f t="shared" ca="1" si="43"/>
        <v>0</v>
      </c>
      <c r="AH77" s="22">
        <f t="shared" ca="1" si="44"/>
        <v>0</v>
      </c>
      <c r="AI77" s="22">
        <f t="shared" ca="1" si="45"/>
        <v>0</v>
      </c>
      <c r="AJ77" s="22">
        <f t="shared" ca="1" si="63"/>
        <v>0</v>
      </c>
      <c r="AK77" s="22">
        <f t="shared" ca="1" si="64"/>
        <v>0</v>
      </c>
      <c r="AL77" s="22">
        <f t="shared" ca="1" si="28"/>
        <v>0</v>
      </c>
      <c r="AM77" s="22">
        <f t="shared" ca="1" si="29"/>
        <v>0</v>
      </c>
      <c r="AN77" s="22">
        <f t="shared" ca="1" si="46"/>
        <v>3848750</v>
      </c>
      <c r="AO77" s="22">
        <f t="shared" ca="1" si="76"/>
        <v>0</v>
      </c>
      <c r="AP77" s="22">
        <f t="shared" ca="1" si="77"/>
        <v>0</v>
      </c>
      <c r="AQ77" s="69">
        <f t="shared" ca="1" si="67"/>
        <v>13</v>
      </c>
      <c r="AR77" s="69">
        <f t="shared" ca="1" si="47"/>
        <v>1</v>
      </c>
      <c r="AS77" s="4">
        <f t="shared" ca="1" si="68"/>
        <v>2027</v>
      </c>
      <c r="AT77" s="4">
        <f t="shared" ca="1" si="48"/>
        <v>2028</v>
      </c>
      <c r="AU77" s="4">
        <f t="shared" ca="1" si="49"/>
        <v>0</v>
      </c>
      <c r="AV77" s="4">
        <f t="shared" ca="1" si="50"/>
        <v>30</v>
      </c>
      <c r="AW77" s="4">
        <f t="shared" si="51"/>
        <v>20</v>
      </c>
      <c r="AX77" s="4">
        <f t="shared" ca="1" si="69"/>
        <v>30</v>
      </c>
      <c r="AY77" s="19">
        <f t="shared" ca="1" si="52"/>
        <v>76970</v>
      </c>
      <c r="AZ77" s="19"/>
      <c r="BA77" s="19"/>
      <c r="BB77" s="19"/>
      <c r="BC77" s="19"/>
      <c r="BD77" s="4">
        <f t="shared" ca="1" si="8"/>
        <v>1</v>
      </c>
      <c r="BE77" s="19"/>
      <c r="BF77" s="19"/>
      <c r="BG77" s="19"/>
      <c r="BH77" s="19"/>
      <c r="BI77" s="120"/>
      <c r="BJ77" s="19"/>
      <c r="BK77" s="19"/>
      <c r="BL77" s="19"/>
      <c r="BM77" s="19"/>
      <c r="BN77" s="19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</row>
    <row r="78" spans="1:146" s="24" customFormat="1" ht="15" customHeight="1">
      <c r="A78" s="4">
        <v>49</v>
      </c>
      <c r="B78" s="268">
        <f ca="1">IF(N78=0,IF(N77=1,"ИТОГО"," "),IF(M78=M14,DATE(YEAR(B77),MONTH(B77),O78),DATE(YEAR(B77),MONTH(B77)+1,O78)))</f>
        <v>46803</v>
      </c>
      <c r="C78" s="401"/>
      <c r="D78" s="443">
        <f ca="1">IF(N78=0,IF(N74=1,SUM(D$26:E77)," "),IF(N78=0," ",IF(N79=1,D$54,IF(N79=0,IF(R78&lt;&gt;0,ROUNDUP(R78,-1),0)," "))))</f>
        <v>153940</v>
      </c>
      <c r="E78" s="443"/>
      <c r="F78" s="84">
        <f ca="1">IF(N78=0,IF(N77=1,SUM(F$26:F77)," "),IF(M$1=1,P78,IF(M$1=2,Q78," ")))</f>
        <v>205690</v>
      </c>
      <c r="G78" s="84">
        <f ca="1">IF(N78=0,IF(N77=1,SUM(G$26:G77)," "),IF(M$1=1,AF78,IF(M$1=2,AG78," ")))</f>
        <v>0</v>
      </c>
      <c r="H78" s="84">
        <f t="shared" ca="1" si="37"/>
        <v>359630</v>
      </c>
      <c r="I78" s="84">
        <f ca="1">IF(N78=0,IF(N73=1,SUM(I$26:I77)," "),IF(N78=0," ",IF(N79=1,I$54,IF(N79=0,IF(S78&lt;&gt;0,ROUNDUP(S78,-1),0)," "))))</f>
        <v>160290</v>
      </c>
      <c r="J78" s="84">
        <f t="shared" ca="1" si="38"/>
        <v>214170</v>
      </c>
      <c r="K78" s="84">
        <f t="shared" ca="1" si="39"/>
        <v>0</v>
      </c>
      <c r="L78" s="84">
        <f t="shared" ca="1" si="54"/>
        <v>374460</v>
      </c>
      <c r="M78" s="4">
        <v>49</v>
      </c>
      <c r="N78" s="4">
        <f t="shared" ca="1" si="55"/>
        <v>1</v>
      </c>
      <c r="O78" s="4">
        <f ca="1">IF(M78=A$14,IF(MONTH(B77)=-2,AX78,DATE(YEAR(0),MONTH(0),DAY(D$16)-1)),AW78)</f>
        <v>20</v>
      </c>
      <c r="P78" s="22">
        <f t="shared" ca="1" si="40"/>
        <v>205690</v>
      </c>
      <c r="Q78" s="22">
        <f t="shared" ca="1" si="40"/>
        <v>205690</v>
      </c>
      <c r="R78" s="22">
        <f t="shared" ca="1" si="57"/>
        <v>3694810</v>
      </c>
      <c r="S78" s="22">
        <f t="shared" ca="1" si="70"/>
        <v>3847090</v>
      </c>
      <c r="T78" s="100">
        <f t="shared" ca="1" si="58"/>
        <v>227172.29166666669</v>
      </c>
      <c r="U78" s="22">
        <f t="shared" ca="1" si="59"/>
        <v>205690</v>
      </c>
      <c r="V78" s="22">
        <f t="shared" ca="1" si="71"/>
        <v>205694.48611111109</v>
      </c>
      <c r="W78" s="22">
        <f t="shared" ca="1" si="72"/>
        <v>205694.48611111109</v>
      </c>
      <c r="X78" s="22">
        <f t="shared" ca="1" si="73"/>
        <v>214172.29166666666</v>
      </c>
      <c r="Y78" s="22">
        <f t="shared" ca="1" si="60"/>
        <v>214170</v>
      </c>
      <c r="Z78" s="22">
        <f t="shared" ca="1" si="41"/>
        <v>650000</v>
      </c>
      <c r="AA78" s="22">
        <f t="shared" ca="1" si="61"/>
        <v>4087090</v>
      </c>
      <c r="AB78" s="22">
        <f t="shared" ca="1" si="42"/>
        <v>227172.29166666669</v>
      </c>
      <c r="AC78" s="22">
        <f t="shared" ca="1" si="23"/>
        <v>227170</v>
      </c>
      <c r="AD78" s="22">
        <f t="shared" ca="1" si="35"/>
        <v>650000</v>
      </c>
      <c r="AE78" s="22">
        <f t="shared" ca="1" si="62"/>
        <v>113923100</v>
      </c>
      <c r="AF78" s="22">
        <f t="shared" ca="1" si="43"/>
        <v>0</v>
      </c>
      <c r="AG78" s="22">
        <f t="shared" ca="1" si="43"/>
        <v>0</v>
      </c>
      <c r="AH78" s="22">
        <f t="shared" ca="1" si="44"/>
        <v>0</v>
      </c>
      <c r="AI78" s="22">
        <f t="shared" ca="1" si="45"/>
        <v>0</v>
      </c>
      <c r="AJ78" s="22">
        <f t="shared" ca="1" si="63"/>
        <v>0</v>
      </c>
      <c r="AK78" s="22">
        <f t="shared" ca="1" si="64"/>
        <v>0</v>
      </c>
      <c r="AL78" s="22">
        <f t="shared" ca="1" si="28"/>
        <v>0</v>
      </c>
      <c r="AM78" s="22">
        <f t="shared" ca="1" si="29"/>
        <v>0</v>
      </c>
      <c r="AN78" s="22">
        <f t="shared" ca="1" si="46"/>
        <v>3694810</v>
      </c>
      <c r="AO78" s="22">
        <f t="shared" ca="1" si="76"/>
        <v>0</v>
      </c>
      <c r="AP78" s="22">
        <f t="shared" ca="1" si="77"/>
        <v>0</v>
      </c>
      <c r="AQ78" s="69">
        <f t="shared" ca="1" si="67"/>
        <v>2</v>
      </c>
      <c r="AR78" s="69">
        <f t="shared" ca="1" si="47"/>
        <v>2</v>
      </c>
      <c r="AS78" s="4">
        <f t="shared" ca="1" si="68"/>
        <v>2028</v>
      </c>
      <c r="AT78" s="4">
        <f t="shared" ca="1" si="48"/>
        <v>2028</v>
      </c>
      <c r="AU78" s="4">
        <f t="shared" ca="1" si="49"/>
        <v>1</v>
      </c>
      <c r="AV78" s="4">
        <f t="shared" ca="1" si="50"/>
        <v>29</v>
      </c>
      <c r="AW78" s="4">
        <f t="shared" si="51"/>
        <v>20</v>
      </c>
      <c r="AX78" s="4">
        <f t="shared" ca="1" si="69"/>
        <v>30</v>
      </c>
      <c r="AY78" s="19">
        <f t="shared" ca="1" si="52"/>
        <v>73900</v>
      </c>
      <c r="AZ78" s="19"/>
      <c r="BA78" s="19"/>
      <c r="BB78" s="19"/>
      <c r="BC78" s="19"/>
      <c r="BD78" s="4">
        <f t="shared" ca="1" si="8"/>
        <v>1</v>
      </c>
      <c r="BE78" s="19"/>
      <c r="BF78" s="19"/>
      <c r="BG78" s="19"/>
      <c r="BH78" s="19"/>
      <c r="BI78" s="120"/>
      <c r="BJ78" s="19"/>
      <c r="BK78" s="19"/>
      <c r="BL78" s="19"/>
      <c r="BM78" s="19"/>
      <c r="BN78" s="19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</row>
    <row r="79" spans="1:146" s="24" customFormat="1" ht="15" customHeight="1">
      <c r="A79" s="4"/>
      <c r="B79" s="268">
        <f ca="1">IF(N79=0,IF(N78=1,"ИТОГО"," "),DATE(YEAR(B78),MONTH(B78)+1,O79))</f>
        <v>46832</v>
      </c>
      <c r="C79" s="268"/>
      <c r="D79" s="443">
        <f ca="1">IF(N79=0,IF(N75=1,SUM(D$26:E78)," "),IF(N79=0," ",IF(N80=1,D$54,IF(N80=0,IF(R79&lt;&gt;0,ROUNDUP(R79,-1),0)," "))))</f>
        <v>153940</v>
      </c>
      <c r="E79" s="443"/>
      <c r="F79" s="84">
        <f ca="1">IF(N79=0,IF(N78=1,SUM(F$26:F78)," "),IF(M$1=1,P79,IF(M$1=2,Q79," ")))</f>
        <v>197360</v>
      </c>
      <c r="G79" s="84">
        <f ca="1">IF(N79=0,IF(N78=1,SUM(G$26:G78)," "),IF(M$1=1,AF79,IF(M$1=2,AG79," ")))</f>
        <v>0</v>
      </c>
      <c r="H79" s="84">
        <f t="shared" ca="1" si="37"/>
        <v>351300</v>
      </c>
      <c r="I79" s="84">
        <f ca="1">IF(N79=0,IF(N74=1,SUM(I$26:I78)," "),IF(N79=0," ",IF(N80=1,I$54,IF(N80=0,IF(S79&lt;&gt;0,ROUNDUP(S79,-1),0)," "))))</f>
        <v>160290</v>
      </c>
      <c r="J79" s="84">
        <f t="shared" ca="1" si="38"/>
        <v>205490</v>
      </c>
      <c r="K79" s="84">
        <f t="shared" ca="1" si="39"/>
        <v>0</v>
      </c>
      <c r="L79" s="84">
        <f t="shared" ca="1" si="54"/>
        <v>365780</v>
      </c>
      <c r="M79" s="4">
        <v>50</v>
      </c>
      <c r="N79" s="4">
        <f t="shared" ca="1" si="55"/>
        <v>1</v>
      </c>
      <c r="O79" s="4">
        <f t="shared" ref="O79:O89" ca="1" si="78">IF(M79=A$14,IF(DATE(YEAR(0),MONTH(0),DAY(D$16)-1)&lt;AW79,DATE(YEAR(0),MONTH(0),DAY(D$16)-1),AW79),AW79)</f>
        <v>20</v>
      </c>
      <c r="P79" s="22">
        <f t="shared" ca="1" si="40"/>
        <v>197360</v>
      </c>
      <c r="Q79" s="22">
        <f t="shared" ca="1" si="40"/>
        <v>197360</v>
      </c>
      <c r="R79" s="22">
        <f t="shared" ca="1" si="57"/>
        <v>3540870</v>
      </c>
      <c r="S79" s="22">
        <f t="shared" ca="1" si="70"/>
        <v>3686800</v>
      </c>
      <c r="T79" s="100">
        <f t="shared" ca="1" si="58"/>
        <v>218489.91666666669</v>
      </c>
      <c r="U79" s="22">
        <f t="shared" ca="1" si="59"/>
        <v>197360</v>
      </c>
      <c r="V79" s="22">
        <f t="shared" ca="1" si="71"/>
        <v>197356.06944444444</v>
      </c>
      <c r="W79" s="22">
        <f t="shared" ca="1" si="72"/>
        <v>197356.06944444444</v>
      </c>
      <c r="X79" s="22">
        <f t="shared" ca="1" si="73"/>
        <v>205489.91666666666</v>
      </c>
      <c r="Y79" s="22">
        <f t="shared" ca="1" si="60"/>
        <v>205490</v>
      </c>
      <c r="Z79" s="22">
        <f t="shared" ca="1" si="41"/>
        <v>650000</v>
      </c>
      <c r="AA79" s="22">
        <f t="shared" ca="1" si="61"/>
        <v>3926800</v>
      </c>
      <c r="AB79" s="22">
        <f t="shared" ca="1" si="42"/>
        <v>218489.91666666669</v>
      </c>
      <c r="AC79" s="22">
        <f t="shared" ca="1" si="23"/>
        <v>218490</v>
      </c>
      <c r="AD79" s="22">
        <f t="shared" ca="1" si="35"/>
        <v>650000</v>
      </c>
      <c r="AE79" s="22">
        <f t="shared" ca="1" si="62"/>
        <v>109304900</v>
      </c>
      <c r="AF79" s="22">
        <f t="shared" ca="1" si="43"/>
        <v>0</v>
      </c>
      <c r="AG79" s="22">
        <f t="shared" ca="1" si="43"/>
        <v>0</v>
      </c>
      <c r="AH79" s="22">
        <f t="shared" ca="1" si="44"/>
        <v>0</v>
      </c>
      <c r="AI79" s="22">
        <f t="shared" ca="1" si="45"/>
        <v>0</v>
      </c>
      <c r="AJ79" s="22">
        <f t="shared" ca="1" si="63"/>
        <v>0</v>
      </c>
      <c r="AK79" s="22">
        <f t="shared" ca="1" si="64"/>
        <v>0</v>
      </c>
      <c r="AL79" s="22">
        <f t="shared" ca="1" si="28"/>
        <v>0</v>
      </c>
      <c r="AM79" s="22">
        <f t="shared" ca="1" si="29"/>
        <v>0</v>
      </c>
      <c r="AN79" s="22">
        <f t="shared" ca="1" si="46"/>
        <v>3540870</v>
      </c>
      <c r="AO79" s="22">
        <f t="shared" ca="1" si="76"/>
        <v>0</v>
      </c>
      <c r="AP79" s="22">
        <f t="shared" ca="1" si="77"/>
        <v>0</v>
      </c>
      <c r="AQ79" s="69">
        <f t="shared" ca="1" si="67"/>
        <v>3</v>
      </c>
      <c r="AR79" s="69">
        <f t="shared" ca="1" si="47"/>
        <v>3</v>
      </c>
      <c r="AS79" s="4">
        <f t="shared" ca="1" si="68"/>
        <v>2028</v>
      </c>
      <c r="AT79" s="4">
        <f t="shared" ca="1" si="48"/>
        <v>2028</v>
      </c>
      <c r="AU79" s="4">
        <f t="shared" ca="1" si="49"/>
        <v>1</v>
      </c>
      <c r="AV79" s="4">
        <f t="shared" ca="1" si="50"/>
        <v>30</v>
      </c>
      <c r="AW79" s="4">
        <f t="shared" si="51"/>
        <v>20</v>
      </c>
      <c r="AX79" s="4">
        <f t="shared" ca="1" si="69"/>
        <v>29</v>
      </c>
      <c r="AY79" s="19">
        <f t="shared" ca="1" si="52"/>
        <v>70820</v>
      </c>
      <c r="AZ79" s="19"/>
      <c r="BA79" s="19"/>
      <c r="BB79" s="19"/>
      <c r="BC79" s="19"/>
      <c r="BD79" s="4">
        <f t="shared" ca="1" si="8"/>
        <v>1</v>
      </c>
      <c r="BE79" s="19"/>
      <c r="BF79" s="19"/>
      <c r="BG79" s="19"/>
      <c r="BH79" s="19"/>
      <c r="BI79" s="120"/>
      <c r="BJ79" s="19"/>
      <c r="BK79" s="19"/>
      <c r="BL79" s="19"/>
      <c r="BM79" s="19"/>
      <c r="BN79" s="19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</row>
    <row r="80" spans="1:146" s="24" customFormat="1" ht="15" customHeight="1">
      <c r="A80" s="4"/>
      <c r="B80" s="268">
        <f t="shared" ref="B80:B89" ca="1" si="79">IF(N80=0,IF(N79=1,"ИТОГО"," "),DATE(YEAR(B79),MONTH(B79)+1,O80))</f>
        <v>46863</v>
      </c>
      <c r="C80" s="268"/>
      <c r="D80" s="443">
        <f ca="1">IF(N80=0,IF(N76=1,SUM(D$26:E79)," "),IF(N80=0," ",IF(N81=1,D$54,IF(N81=0,IF(R80&lt;&gt;0,ROUNDUP(R80,-1),0)," "))))</f>
        <v>153940</v>
      </c>
      <c r="E80" s="443"/>
      <c r="F80" s="84">
        <f ca="1">IF(N80=0,IF(N79=1,SUM(F$26:F79)," "),IF(M$1=1,P80,IF(M$1=2,Q80," ")))</f>
        <v>189020</v>
      </c>
      <c r="G80" s="84">
        <f ca="1">IF(N80=0,IF(N79=1,SUM(G$26:G79)," "),IF(M$1=1,AF80,IF(M$1=2,AG80," ")))</f>
        <v>0</v>
      </c>
      <c r="H80" s="84">
        <f t="shared" ca="1" si="37"/>
        <v>342960</v>
      </c>
      <c r="I80" s="84">
        <f ca="1">IF(N80=0,IF(N75=1,SUM(I$26:I79)," "),IF(N80=0," ",IF(N81=1,I$54,IF(N81=0,IF(S80&lt;&gt;0,ROUNDUP(S80,-1),0)," "))))</f>
        <v>160290</v>
      </c>
      <c r="J80" s="84">
        <f t="shared" ca="1" si="38"/>
        <v>196810</v>
      </c>
      <c r="K80" s="84">
        <f t="shared" ca="1" si="39"/>
        <v>0</v>
      </c>
      <c r="L80" s="84">
        <f t="shared" ca="1" si="54"/>
        <v>357100</v>
      </c>
      <c r="M80" s="4">
        <v>51</v>
      </c>
      <c r="N80" s="4">
        <f t="shared" ca="1" si="55"/>
        <v>1</v>
      </c>
      <c r="O80" s="4">
        <f t="shared" ca="1" si="78"/>
        <v>20</v>
      </c>
      <c r="P80" s="22">
        <f t="shared" ca="1" si="40"/>
        <v>189020</v>
      </c>
      <c r="Q80" s="22">
        <f t="shared" ca="1" si="40"/>
        <v>189020</v>
      </c>
      <c r="R80" s="22">
        <f t="shared" ca="1" si="57"/>
        <v>3386930</v>
      </c>
      <c r="S80" s="22">
        <f t="shared" ca="1" si="70"/>
        <v>3526510</v>
      </c>
      <c r="T80" s="100">
        <f t="shared" ca="1" si="58"/>
        <v>209807.54166666669</v>
      </c>
      <c r="U80" s="22">
        <f t="shared" ca="1" si="59"/>
        <v>189020</v>
      </c>
      <c r="V80" s="22">
        <f t="shared" ca="1" si="71"/>
        <v>189017.65277777778</v>
      </c>
      <c r="W80" s="22">
        <f t="shared" ca="1" si="72"/>
        <v>189017.65277777778</v>
      </c>
      <c r="X80" s="22">
        <f t="shared" ca="1" si="73"/>
        <v>196807.54166666666</v>
      </c>
      <c r="Y80" s="22">
        <f t="shared" ca="1" si="60"/>
        <v>196810</v>
      </c>
      <c r="Z80" s="22">
        <f t="shared" ca="1" si="41"/>
        <v>650000</v>
      </c>
      <c r="AA80" s="22">
        <f t="shared" ca="1" si="61"/>
        <v>3766510</v>
      </c>
      <c r="AB80" s="22">
        <f t="shared" ca="1" si="42"/>
        <v>209807.54166666669</v>
      </c>
      <c r="AC80" s="22">
        <f t="shared" ca="1" si="23"/>
        <v>209810</v>
      </c>
      <c r="AD80" s="22">
        <f t="shared" ca="1" si="35"/>
        <v>650000</v>
      </c>
      <c r="AE80" s="22">
        <f t="shared" ca="1" si="62"/>
        <v>104686700</v>
      </c>
      <c r="AF80" s="22">
        <f t="shared" ca="1" si="43"/>
        <v>0</v>
      </c>
      <c r="AG80" s="22">
        <f t="shared" ca="1" si="43"/>
        <v>0</v>
      </c>
      <c r="AH80" s="22">
        <f t="shared" ca="1" si="44"/>
        <v>0</v>
      </c>
      <c r="AI80" s="22">
        <f t="shared" ca="1" si="45"/>
        <v>0</v>
      </c>
      <c r="AJ80" s="22">
        <f t="shared" ca="1" si="63"/>
        <v>0</v>
      </c>
      <c r="AK80" s="22">
        <f t="shared" ca="1" si="64"/>
        <v>0</v>
      </c>
      <c r="AL80" s="22">
        <f t="shared" ca="1" si="28"/>
        <v>0</v>
      </c>
      <c r="AM80" s="22">
        <f t="shared" ca="1" si="29"/>
        <v>0</v>
      </c>
      <c r="AN80" s="22">
        <f t="shared" ca="1" si="46"/>
        <v>3386930</v>
      </c>
      <c r="AO80" s="22">
        <f t="shared" ca="1" si="76"/>
        <v>0</v>
      </c>
      <c r="AP80" s="22">
        <f t="shared" ca="1" si="77"/>
        <v>0</v>
      </c>
      <c r="AQ80" s="69">
        <f t="shared" ca="1" si="67"/>
        <v>4</v>
      </c>
      <c r="AR80" s="69">
        <f t="shared" ca="1" si="47"/>
        <v>4</v>
      </c>
      <c r="AS80" s="4">
        <f t="shared" ca="1" si="68"/>
        <v>2028</v>
      </c>
      <c r="AT80" s="4">
        <f t="shared" ca="1" si="48"/>
        <v>2028</v>
      </c>
      <c r="AU80" s="4">
        <f t="shared" ca="1" si="49"/>
        <v>1</v>
      </c>
      <c r="AV80" s="4">
        <f t="shared" ca="1" si="50"/>
        <v>30</v>
      </c>
      <c r="AW80" s="4">
        <f t="shared" si="51"/>
        <v>20</v>
      </c>
      <c r="AX80" s="4">
        <f t="shared" ca="1" si="69"/>
        <v>30</v>
      </c>
      <c r="AY80" s="19">
        <f t="shared" ca="1" si="52"/>
        <v>67740</v>
      </c>
      <c r="AZ80" s="19"/>
      <c r="BA80" s="19"/>
      <c r="BB80" s="19"/>
      <c r="BC80" s="19"/>
      <c r="BD80" s="4">
        <f t="shared" ca="1" si="8"/>
        <v>1</v>
      </c>
      <c r="BE80" s="19"/>
      <c r="BF80" s="19"/>
      <c r="BG80" s="19"/>
      <c r="BH80" s="19"/>
      <c r="BI80" s="120"/>
      <c r="BJ80" s="19"/>
      <c r="BK80" s="19"/>
      <c r="BL80" s="19"/>
      <c r="BM80" s="19"/>
      <c r="BN80" s="19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</row>
    <row r="81" spans="1:146" s="24" customFormat="1" ht="15" customHeight="1">
      <c r="A81" s="4"/>
      <c r="B81" s="268">
        <f t="shared" ca="1" si="79"/>
        <v>46893</v>
      </c>
      <c r="C81" s="268"/>
      <c r="D81" s="443">
        <f ca="1">IF(N81=0,IF(N77=1,SUM(D$26:E80)," "),IF(N81=0," ",IF(N82=1,D$54,IF(N82=0,IF(R81&lt;&gt;0,ROUNDUP(R81,-1),0)," "))))</f>
        <v>153940</v>
      </c>
      <c r="E81" s="443"/>
      <c r="F81" s="84">
        <f ca="1">IF(N81=0,IF(N80=1,SUM(F$26:F80)," "),IF(M$1=1,P81,IF(M$1=2,Q81," ")))</f>
        <v>180680</v>
      </c>
      <c r="G81" s="84">
        <f ca="1">IF(N81=0,IF(N80=1,SUM(G$26:G80)," "),IF(M$1=1,AF81,IF(M$1=2,AG81," ")))</f>
        <v>0</v>
      </c>
      <c r="H81" s="84">
        <f t="shared" ca="1" si="37"/>
        <v>334620</v>
      </c>
      <c r="I81" s="84">
        <f ca="1">IF(N81=0,IF(N76=1,SUM(I$26:I80)," "),IF(N81=0," ",IF(N82=1,I$54,IF(N82=0,IF(S81&lt;&gt;0,ROUNDUP(S81,-1),0)," "))))</f>
        <v>160290</v>
      </c>
      <c r="J81" s="84">
        <f t="shared" ca="1" si="38"/>
        <v>188120</v>
      </c>
      <c r="K81" s="84">
        <f t="shared" ca="1" si="39"/>
        <v>0</v>
      </c>
      <c r="L81" s="84">
        <f t="shared" ca="1" si="54"/>
        <v>348410</v>
      </c>
      <c r="M81" s="4">
        <v>52</v>
      </c>
      <c r="N81" s="4">
        <f t="shared" ca="1" si="55"/>
        <v>1</v>
      </c>
      <c r="O81" s="4">
        <f t="shared" ca="1" si="78"/>
        <v>20</v>
      </c>
      <c r="P81" s="22">
        <f t="shared" ca="1" si="40"/>
        <v>180680</v>
      </c>
      <c r="Q81" s="22">
        <f t="shared" ca="1" si="40"/>
        <v>180680</v>
      </c>
      <c r="R81" s="22">
        <f t="shared" ca="1" si="57"/>
        <v>3232990</v>
      </c>
      <c r="S81" s="22">
        <f t="shared" ca="1" si="70"/>
        <v>3366220</v>
      </c>
      <c r="T81" s="100">
        <f t="shared" ca="1" si="58"/>
        <v>201125.16666666669</v>
      </c>
      <c r="U81" s="22">
        <f t="shared" ca="1" si="59"/>
        <v>180680</v>
      </c>
      <c r="V81" s="22">
        <f t="shared" ca="1" si="71"/>
        <v>180679.23611111112</v>
      </c>
      <c r="W81" s="22">
        <f t="shared" ca="1" si="72"/>
        <v>180679.23611111112</v>
      </c>
      <c r="X81" s="22">
        <f t="shared" ca="1" si="73"/>
        <v>188125.16666666666</v>
      </c>
      <c r="Y81" s="22">
        <f t="shared" ca="1" si="60"/>
        <v>188120</v>
      </c>
      <c r="Z81" s="22">
        <f t="shared" ca="1" si="41"/>
        <v>650000</v>
      </c>
      <c r="AA81" s="22">
        <f t="shared" ca="1" si="61"/>
        <v>3606220</v>
      </c>
      <c r="AB81" s="22">
        <f t="shared" ca="1" si="42"/>
        <v>201125.16666666669</v>
      </c>
      <c r="AC81" s="22">
        <f t="shared" ca="1" si="23"/>
        <v>201120</v>
      </c>
      <c r="AD81" s="22">
        <f t="shared" ca="1" si="35"/>
        <v>650000</v>
      </c>
      <c r="AE81" s="22">
        <f t="shared" ca="1" si="62"/>
        <v>100068500</v>
      </c>
      <c r="AF81" s="22">
        <f t="shared" ca="1" si="43"/>
        <v>0</v>
      </c>
      <c r="AG81" s="22">
        <f t="shared" ca="1" si="43"/>
        <v>0</v>
      </c>
      <c r="AH81" s="22">
        <f t="shared" ca="1" si="44"/>
        <v>0</v>
      </c>
      <c r="AI81" s="22">
        <f t="shared" ca="1" si="45"/>
        <v>0</v>
      </c>
      <c r="AJ81" s="22">
        <f t="shared" ca="1" si="63"/>
        <v>0</v>
      </c>
      <c r="AK81" s="22">
        <f t="shared" ca="1" si="64"/>
        <v>0</v>
      </c>
      <c r="AL81" s="22">
        <f t="shared" ca="1" si="28"/>
        <v>0</v>
      </c>
      <c r="AM81" s="22">
        <f t="shared" ca="1" si="29"/>
        <v>0</v>
      </c>
      <c r="AN81" s="22">
        <f t="shared" ca="1" si="46"/>
        <v>3232990</v>
      </c>
      <c r="AO81" s="22">
        <f t="shared" ca="1" si="76"/>
        <v>0</v>
      </c>
      <c r="AP81" s="22">
        <f t="shared" ca="1" si="77"/>
        <v>0</v>
      </c>
      <c r="AQ81" s="69">
        <f t="shared" ca="1" si="67"/>
        <v>5</v>
      </c>
      <c r="AR81" s="69">
        <f t="shared" ca="1" si="47"/>
        <v>5</v>
      </c>
      <c r="AS81" s="4">
        <f t="shared" ca="1" si="68"/>
        <v>2028</v>
      </c>
      <c r="AT81" s="4">
        <f t="shared" ca="1" si="48"/>
        <v>2028</v>
      </c>
      <c r="AU81" s="4">
        <f t="shared" ca="1" si="49"/>
        <v>1</v>
      </c>
      <c r="AV81" s="4">
        <f t="shared" ca="1" si="50"/>
        <v>30</v>
      </c>
      <c r="AW81" s="4">
        <f t="shared" si="51"/>
        <v>20</v>
      </c>
      <c r="AX81" s="4">
        <f t="shared" ca="1" si="69"/>
        <v>30</v>
      </c>
      <c r="AY81" s="19">
        <f t="shared" ca="1" si="52"/>
        <v>64660</v>
      </c>
      <c r="AZ81" s="19"/>
      <c r="BA81" s="19"/>
      <c r="BB81" s="19"/>
      <c r="BC81" s="19"/>
      <c r="BD81" s="4">
        <f t="shared" ca="1" si="8"/>
        <v>1</v>
      </c>
      <c r="BE81" s="19"/>
      <c r="BF81" s="19"/>
      <c r="BG81" s="19"/>
      <c r="BH81" s="19"/>
      <c r="BI81" s="120"/>
      <c r="BJ81" s="19"/>
      <c r="BK81" s="19"/>
      <c r="BL81" s="19"/>
      <c r="BM81" s="19"/>
      <c r="BN81" s="19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</row>
    <row r="82" spans="1:146" s="24" customFormat="1" ht="15" customHeight="1">
      <c r="A82" s="4"/>
      <c r="B82" s="268">
        <f t="shared" ca="1" si="79"/>
        <v>46924</v>
      </c>
      <c r="C82" s="268"/>
      <c r="D82" s="443">
        <f ca="1">IF(N82=0,IF(N78=1,SUM(D$26:E81)," "),IF(N82=0," ",IF(N83=1,D$54,IF(N83=0,IF(R82&lt;&gt;0,ROUNDUP(R82,-1),0)," "))))</f>
        <v>153940</v>
      </c>
      <c r="E82" s="443"/>
      <c r="F82" s="84">
        <f ca="1">IF(N82=0,IF(N81=1,SUM(F$26:F81)," "),IF(M$1=1,P82,IF(M$1=2,Q82," ")))</f>
        <v>172340</v>
      </c>
      <c r="G82" s="84">
        <f ca="1">IF(N82=0,IF(N81=1,SUM(G$26:G81)," "),IF(M$1=1,AF82,IF(M$1=2,AG82," ")))</f>
        <v>0</v>
      </c>
      <c r="H82" s="84">
        <f t="shared" ca="1" si="37"/>
        <v>326280</v>
      </c>
      <c r="I82" s="84">
        <f ca="1">IF(N82=0,IF(N77=1,SUM(I$26:I81)," "),IF(N82=0," ",IF(N83=1,I$54,IF(N83=0,IF(S82&lt;&gt;0,ROUNDUP(S82,-1),0)," "))))</f>
        <v>160290</v>
      </c>
      <c r="J82" s="84">
        <f t="shared" ca="1" si="38"/>
        <v>179440</v>
      </c>
      <c r="K82" s="84">
        <f t="shared" ca="1" si="39"/>
        <v>0</v>
      </c>
      <c r="L82" s="84">
        <f t="shared" ca="1" si="54"/>
        <v>339730</v>
      </c>
      <c r="M82" s="4">
        <v>53</v>
      </c>
      <c r="N82" s="4">
        <f t="shared" ca="1" si="55"/>
        <v>1</v>
      </c>
      <c r="O82" s="4">
        <f t="shared" ca="1" si="78"/>
        <v>20</v>
      </c>
      <c r="P82" s="22">
        <f t="shared" ca="1" si="40"/>
        <v>172340</v>
      </c>
      <c r="Q82" s="22">
        <f t="shared" ca="1" si="40"/>
        <v>172340</v>
      </c>
      <c r="R82" s="22">
        <f t="shared" ca="1" si="57"/>
        <v>3079050</v>
      </c>
      <c r="S82" s="22">
        <f t="shared" ca="1" si="70"/>
        <v>3205930</v>
      </c>
      <c r="T82" s="100">
        <f t="shared" ca="1" si="58"/>
        <v>192442.79166666666</v>
      </c>
      <c r="U82" s="22">
        <f t="shared" ca="1" si="59"/>
        <v>172340</v>
      </c>
      <c r="V82" s="22">
        <f t="shared" ca="1" si="71"/>
        <v>172340.81944444444</v>
      </c>
      <c r="W82" s="22">
        <f t="shared" ca="1" si="72"/>
        <v>172340.81944444444</v>
      </c>
      <c r="X82" s="22">
        <f t="shared" ca="1" si="73"/>
        <v>179442.79166666666</v>
      </c>
      <c r="Y82" s="22">
        <f t="shared" ca="1" si="60"/>
        <v>179440</v>
      </c>
      <c r="Z82" s="22">
        <f t="shared" ca="1" si="41"/>
        <v>650000</v>
      </c>
      <c r="AA82" s="22">
        <f t="shared" ca="1" si="61"/>
        <v>3445930</v>
      </c>
      <c r="AB82" s="22">
        <f t="shared" ca="1" si="42"/>
        <v>192442.79166666666</v>
      </c>
      <c r="AC82" s="22">
        <f t="shared" ca="1" si="23"/>
        <v>192440</v>
      </c>
      <c r="AD82" s="22">
        <f t="shared" ca="1" si="35"/>
        <v>650000</v>
      </c>
      <c r="AE82" s="22">
        <f t="shared" ca="1" si="62"/>
        <v>95450300</v>
      </c>
      <c r="AF82" s="22">
        <f t="shared" ca="1" si="43"/>
        <v>0</v>
      </c>
      <c r="AG82" s="22">
        <f t="shared" ca="1" si="43"/>
        <v>0</v>
      </c>
      <c r="AH82" s="22">
        <f t="shared" ca="1" si="44"/>
        <v>0</v>
      </c>
      <c r="AI82" s="22">
        <f t="shared" ca="1" si="45"/>
        <v>0</v>
      </c>
      <c r="AJ82" s="22">
        <f t="shared" ca="1" si="63"/>
        <v>0</v>
      </c>
      <c r="AK82" s="22">
        <f t="shared" ca="1" si="64"/>
        <v>0</v>
      </c>
      <c r="AL82" s="22">
        <f t="shared" ca="1" si="28"/>
        <v>0</v>
      </c>
      <c r="AM82" s="22">
        <f t="shared" ca="1" si="29"/>
        <v>0</v>
      </c>
      <c r="AN82" s="22">
        <f t="shared" ca="1" si="46"/>
        <v>3079050</v>
      </c>
      <c r="AO82" s="22">
        <f t="shared" ca="1" si="76"/>
        <v>0</v>
      </c>
      <c r="AP82" s="22">
        <f t="shared" ca="1" si="77"/>
        <v>0</v>
      </c>
      <c r="AQ82" s="69">
        <f t="shared" ca="1" si="67"/>
        <v>6</v>
      </c>
      <c r="AR82" s="69">
        <f t="shared" ca="1" si="47"/>
        <v>6</v>
      </c>
      <c r="AS82" s="4">
        <f t="shared" ca="1" si="68"/>
        <v>2028</v>
      </c>
      <c r="AT82" s="4">
        <f t="shared" ca="1" si="48"/>
        <v>2028</v>
      </c>
      <c r="AU82" s="4">
        <f t="shared" ca="1" si="49"/>
        <v>1</v>
      </c>
      <c r="AV82" s="4">
        <f t="shared" ca="1" si="50"/>
        <v>30</v>
      </c>
      <c r="AW82" s="4">
        <f t="shared" si="51"/>
        <v>20</v>
      </c>
      <c r="AX82" s="4">
        <f t="shared" ca="1" si="69"/>
        <v>30</v>
      </c>
      <c r="AY82" s="19">
        <f t="shared" ca="1" si="52"/>
        <v>61580</v>
      </c>
      <c r="AZ82" s="19"/>
      <c r="BA82" s="19"/>
      <c r="BB82" s="19"/>
      <c r="BC82" s="19"/>
      <c r="BD82" s="4">
        <f t="shared" ca="1" si="8"/>
        <v>1</v>
      </c>
      <c r="BE82" s="19"/>
      <c r="BF82" s="19"/>
      <c r="BG82" s="19"/>
      <c r="BH82" s="19"/>
      <c r="BI82" s="120"/>
      <c r="BJ82" s="19"/>
      <c r="BK82" s="19"/>
      <c r="BL82" s="19"/>
      <c r="BM82" s="19"/>
      <c r="BN82" s="19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</row>
    <row r="83" spans="1:146" s="24" customFormat="1" ht="15" customHeight="1">
      <c r="A83" s="4"/>
      <c r="B83" s="268">
        <f t="shared" ca="1" si="79"/>
        <v>46954</v>
      </c>
      <c r="C83" s="268"/>
      <c r="D83" s="443">
        <f ca="1">IF(N83=0,IF(N79=1,SUM(D$26:E82)," "),IF(N83=0," ",IF(N84=1,D$54,IF(N84=0,IF(R83&lt;&gt;0,ROUNDUP(R83,-1),0)," "))))</f>
        <v>153940</v>
      </c>
      <c r="E83" s="443"/>
      <c r="F83" s="84">
        <f ca="1">IF(N83=0,IF(N82=1,SUM(F$26:F82)," "),IF(M$1=1,P83,IF(M$1=2,Q83," ")))</f>
        <v>164000</v>
      </c>
      <c r="G83" s="84">
        <f ca="1">IF(N83=0,IF(N82=1,SUM(G$26:G82)," "),IF(M$1=1,AF83,IF(M$1=2,AG83," ")))</f>
        <v>0</v>
      </c>
      <c r="H83" s="84">
        <f t="shared" ca="1" si="37"/>
        <v>317940</v>
      </c>
      <c r="I83" s="84">
        <f ca="1">IF(N83=0,IF(N78=1,SUM(I$26:I82)," "),IF(N83=0," ",IF(N84=1,I$54,IF(N84=0,IF(S83&lt;&gt;0,ROUNDUP(S83,-1),0)," "))))</f>
        <v>160290</v>
      </c>
      <c r="J83" s="84">
        <f t="shared" ca="1" si="38"/>
        <v>170760</v>
      </c>
      <c r="K83" s="84">
        <f t="shared" ca="1" si="39"/>
        <v>0</v>
      </c>
      <c r="L83" s="84">
        <f t="shared" ca="1" si="54"/>
        <v>331050</v>
      </c>
      <c r="M83" s="4">
        <v>54</v>
      </c>
      <c r="N83" s="4">
        <f t="shared" ca="1" si="55"/>
        <v>1</v>
      </c>
      <c r="O83" s="4">
        <f t="shared" ca="1" si="78"/>
        <v>20</v>
      </c>
      <c r="P83" s="22">
        <f t="shared" ca="1" si="40"/>
        <v>164000</v>
      </c>
      <c r="Q83" s="22">
        <f t="shared" ca="1" si="40"/>
        <v>164000</v>
      </c>
      <c r="R83" s="22">
        <f t="shared" ca="1" si="57"/>
        <v>2925110</v>
      </c>
      <c r="S83" s="22">
        <f t="shared" ca="1" si="70"/>
        <v>3045640</v>
      </c>
      <c r="T83" s="100">
        <f t="shared" ca="1" si="58"/>
        <v>183760.41666666666</v>
      </c>
      <c r="U83" s="22">
        <f t="shared" ca="1" si="59"/>
        <v>164000</v>
      </c>
      <c r="V83" s="22">
        <f t="shared" ca="1" si="71"/>
        <v>164002.40277777778</v>
      </c>
      <c r="W83" s="22">
        <f t="shared" ca="1" si="72"/>
        <v>164002.40277777778</v>
      </c>
      <c r="X83" s="22">
        <f t="shared" ca="1" si="73"/>
        <v>170760.41666666666</v>
      </c>
      <c r="Y83" s="22">
        <f t="shared" ca="1" si="60"/>
        <v>170760</v>
      </c>
      <c r="Z83" s="22">
        <f t="shared" ca="1" si="41"/>
        <v>650000</v>
      </c>
      <c r="AA83" s="22">
        <f t="shared" ca="1" si="61"/>
        <v>3285640</v>
      </c>
      <c r="AB83" s="22">
        <f t="shared" ca="1" si="42"/>
        <v>183760.41666666666</v>
      </c>
      <c r="AC83" s="22">
        <f t="shared" ca="1" si="23"/>
        <v>183760</v>
      </c>
      <c r="AD83" s="22">
        <f t="shared" ca="1" si="35"/>
        <v>650000</v>
      </c>
      <c r="AE83" s="22">
        <f t="shared" ca="1" si="62"/>
        <v>90832100</v>
      </c>
      <c r="AF83" s="22">
        <f t="shared" ca="1" si="43"/>
        <v>0</v>
      </c>
      <c r="AG83" s="22">
        <f t="shared" ca="1" si="43"/>
        <v>0</v>
      </c>
      <c r="AH83" s="22">
        <f t="shared" ca="1" si="44"/>
        <v>0</v>
      </c>
      <c r="AI83" s="22">
        <f t="shared" ca="1" si="45"/>
        <v>0</v>
      </c>
      <c r="AJ83" s="22">
        <f t="shared" ca="1" si="63"/>
        <v>0</v>
      </c>
      <c r="AK83" s="22">
        <f t="shared" ca="1" si="64"/>
        <v>0</v>
      </c>
      <c r="AL83" s="22">
        <f t="shared" ca="1" si="28"/>
        <v>0</v>
      </c>
      <c r="AM83" s="22">
        <f t="shared" ca="1" si="29"/>
        <v>0</v>
      </c>
      <c r="AN83" s="22">
        <f t="shared" ca="1" si="46"/>
        <v>2925110</v>
      </c>
      <c r="AO83" s="22">
        <f t="shared" ca="1" si="76"/>
        <v>0</v>
      </c>
      <c r="AP83" s="22">
        <f t="shared" ca="1" si="77"/>
        <v>0</v>
      </c>
      <c r="AQ83" s="69">
        <f t="shared" ca="1" si="67"/>
        <v>7</v>
      </c>
      <c r="AR83" s="69">
        <f t="shared" ca="1" si="47"/>
        <v>7</v>
      </c>
      <c r="AS83" s="4">
        <f t="shared" ca="1" si="68"/>
        <v>2028</v>
      </c>
      <c r="AT83" s="4">
        <f t="shared" ca="1" si="48"/>
        <v>2028</v>
      </c>
      <c r="AU83" s="4">
        <f t="shared" ca="1" si="49"/>
        <v>1</v>
      </c>
      <c r="AV83" s="4">
        <f t="shared" ca="1" si="50"/>
        <v>30</v>
      </c>
      <c r="AW83" s="4">
        <f t="shared" si="51"/>
        <v>20</v>
      </c>
      <c r="AX83" s="4">
        <f t="shared" ca="1" si="69"/>
        <v>30</v>
      </c>
      <c r="AY83" s="19">
        <f t="shared" ca="1" si="52"/>
        <v>58500</v>
      </c>
      <c r="AZ83" s="19"/>
      <c r="BA83" s="19"/>
      <c r="BB83" s="19"/>
      <c r="BC83" s="19"/>
      <c r="BD83" s="4">
        <f t="shared" ca="1" si="8"/>
        <v>1</v>
      </c>
      <c r="BE83" s="19"/>
      <c r="BF83" s="19"/>
      <c r="BG83" s="19"/>
      <c r="BH83" s="19"/>
      <c r="BI83" s="120"/>
      <c r="BJ83" s="19"/>
      <c r="BK83" s="19"/>
      <c r="BL83" s="19"/>
      <c r="BM83" s="19"/>
      <c r="BN83" s="19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</row>
    <row r="84" spans="1:146" s="24" customFormat="1" ht="15" customHeight="1">
      <c r="A84" s="4"/>
      <c r="B84" s="268">
        <f t="shared" ca="1" si="79"/>
        <v>46985</v>
      </c>
      <c r="C84" s="268"/>
      <c r="D84" s="443">
        <f ca="1">IF(N84=0,IF(N80=1,SUM(D$26:E83)," "),IF(N84=0," ",IF(N85=1,D$54,IF(N85=0,IF(R84&lt;&gt;0,ROUNDUP(R84,-1),0)," "))))</f>
        <v>153940</v>
      </c>
      <c r="E84" s="443"/>
      <c r="F84" s="84">
        <f ca="1">IF(N84=0,IF(N83=1,SUM(F$26:F83)," "),IF(M$1=1,P84,IF(M$1=2,Q84," ")))</f>
        <v>155660</v>
      </c>
      <c r="G84" s="84">
        <f ca="1">IF(N84=0,IF(N83=1,SUM(G$26:G83)," "),IF(M$1=1,AF84,IF(M$1=2,AG84," ")))</f>
        <v>0</v>
      </c>
      <c r="H84" s="84">
        <f t="shared" ca="1" si="37"/>
        <v>309600</v>
      </c>
      <c r="I84" s="84">
        <f ca="1">IF(N84=0,IF(N79=1,SUM(I$26:I83)," "),IF(N84=0," ",IF(N85=1,I$54,IF(N85=0,IF(S84&lt;&gt;0,ROUNDUP(S84,-1),0)," "))))</f>
        <v>160290</v>
      </c>
      <c r="J84" s="84">
        <f t="shared" ca="1" si="38"/>
        <v>162080</v>
      </c>
      <c r="K84" s="84">
        <f t="shared" ca="1" si="39"/>
        <v>0</v>
      </c>
      <c r="L84" s="84">
        <f t="shared" ca="1" si="54"/>
        <v>322370</v>
      </c>
      <c r="M84" s="4">
        <v>55</v>
      </c>
      <c r="N84" s="4">
        <f t="shared" ca="1" si="55"/>
        <v>1</v>
      </c>
      <c r="O84" s="4">
        <f t="shared" ca="1" si="78"/>
        <v>20</v>
      </c>
      <c r="P84" s="22">
        <f t="shared" ca="1" si="40"/>
        <v>155660</v>
      </c>
      <c r="Q84" s="22">
        <f t="shared" ca="1" si="40"/>
        <v>155660</v>
      </c>
      <c r="R84" s="22">
        <f t="shared" ca="1" si="57"/>
        <v>2771170</v>
      </c>
      <c r="S84" s="22">
        <f t="shared" ca="1" si="70"/>
        <v>2885350</v>
      </c>
      <c r="T84" s="100">
        <f t="shared" ca="1" si="58"/>
        <v>175078.04166666666</v>
      </c>
      <c r="U84" s="22">
        <f t="shared" ca="1" si="59"/>
        <v>155660</v>
      </c>
      <c r="V84" s="22">
        <f t="shared" ca="1" si="71"/>
        <v>155663.98611111112</v>
      </c>
      <c r="W84" s="22">
        <f t="shared" ca="1" si="72"/>
        <v>155663.98611111112</v>
      </c>
      <c r="X84" s="22">
        <f t="shared" ca="1" si="73"/>
        <v>162078.04166666666</v>
      </c>
      <c r="Y84" s="22">
        <f t="shared" ca="1" si="60"/>
        <v>162080</v>
      </c>
      <c r="Z84" s="22">
        <f t="shared" ca="1" si="41"/>
        <v>650000</v>
      </c>
      <c r="AA84" s="22">
        <f t="shared" ca="1" si="61"/>
        <v>3125350</v>
      </c>
      <c r="AB84" s="22">
        <f t="shared" ca="1" si="42"/>
        <v>175078.04166666666</v>
      </c>
      <c r="AC84" s="22">
        <f t="shared" ca="1" si="23"/>
        <v>175080</v>
      </c>
      <c r="AD84" s="22">
        <f t="shared" ca="1" si="35"/>
        <v>650000</v>
      </c>
      <c r="AE84" s="22">
        <f t="shared" ca="1" si="62"/>
        <v>86213900</v>
      </c>
      <c r="AF84" s="22">
        <f t="shared" ca="1" si="43"/>
        <v>0</v>
      </c>
      <c r="AG84" s="22">
        <f t="shared" ca="1" si="43"/>
        <v>0</v>
      </c>
      <c r="AH84" s="22">
        <f t="shared" ca="1" si="44"/>
        <v>0</v>
      </c>
      <c r="AI84" s="22">
        <f t="shared" ca="1" si="45"/>
        <v>0</v>
      </c>
      <c r="AJ84" s="22">
        <f t="shared" ca="1" si="63"/>
        <v>0</v>
      </c>
      <c r="AK84" s="22">
        <f t="shared" ca="1" si="64"/>
        <v>0</v>
      </c>
      <c r="AL84" s="22">
        <f t="shared" ca="1" si="28"/>
        <v>0</v>
      </c>
      <c r="AM84" s="22">
        <f t="shared" ca="1" si="29"/>
        <v>0</v>
      </c>
      <c r="AN84" s="22">
        <f t="shared" ca="1" si="46"/>
        <v>2771170</v>
      </c>
      <c r="AO84" s="22">
        <f t="shared" ca="1" si="76"/>
        <v>0</v>
      </c>
      <c r="AP84" s="22">
        <f t="shared" ca="1" si="77"/>
        <v>0</v>
      </c>
      <c r="AQ84" s="69">
        <f t="shared" ca="1" si="67"/>
        <v>8</v>
      </c>
      <c r="AR84" s="69">
        <f t="shared" ca="1" si="47"/>
        <v>8</v>
      </c>
      <c r="AS84" s="4">
        <f t="shared" ca="1" si="68"/>
        <v>2028</v>
      </c>
      <c r="AT84" s="4">
        <f t="shared" ca="1" si="48"/>
        <v>2028</v>
      </c>
      <c r="AU84" s="4">
        <f t="shared" ca="1" si="49"/>
        <v>1</v>
      </c>
      <c r="AV84" s="4">
        <f t="shared" ca="1" si="50"/>
        <v>30</v>
      </c>
      <c r="AW84" s="4">
        <f t="shared" si="51"/>
        <v>20</v>
      </c>
      <c r="AX84" s="4">
        <f t="shared" ca="1" si="69"/>
        <v>30</v>
      </c>
      <c r="AY84" s="19">
        <f t="shared" ca="1" si="52"/>
        <v>55420</v>
      </c>
      <c r="AZ84" s="19"/>
      <c r="BA84" s="19"/>
      <c r="BB84" s="19"/>
      <c r="BC84" s="19"/>
      <c r="BD84" s="4">
        <f t="shared" ca="1" si="8"/>
        <v>1</v>
      </c>
      <c r="BE84" s="19"/>
      <c r="BF84" s="19"/>
      <c r="BG84" s="19"/>
      <c r="BH84" s="19"/>
      <c r="BI84" s="120"/>
      <c r="BJ84" s="19"/>
      <c r="BK84" s="19"/>
      <c r="BL84" s="19"/>
      <c r="BM84" s="19"/>
      <c r="BN84" s="19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</row>
    <row r="85" spans="1:146" s="24" customFormat="1" ht="15" customHeight="1">
      <c r="A85" s="4"/>
      <c r="B85" s="268">
        <f t="shared" ca="1" si="79"/>
        <v>47016</v>
      </c>
      <c r="C85" s="268"/>
      <c r="D85" s="443">
        <f ca="1">IF(N85=0,IF(N81=1,SUM(D$26:E84)," "),IF(N85=0," ",IF(N86=1,D$54,IF(N86=0,IF(R85&lt;&gt;0,ROUNDUP(R85,-1),0)," "))))</f>
        <v>153940</v>
      </c>
      <c r="E85" s="443"/>
      <c r="F85" s="84">
        <f ca="1">IF(N85=0,IF(N84=1,SUM(F$26:F84)," "),IF(M$1=1,P85,IF(M$1=2,Q85," ")))</f>
        <v>147330</v>
      </c>
      <c r="G85" s="84">
        <f ca="1">IF(N85=0,IF(N84=1,SUM(G$26:G84)," "),IF(M$1=1,AF85,IF(M$1=2,AG85," ")))</f>
        <v>0</v>
      </c>
      <c r="H85" s="84">
        <f t="shared" ca="1" si="37"/>
        <v>301270</v>
      </c>
      <c r="I85" s="84">
        <f ca="1">IF(N85=0,IF(N80=1,SUM(I$26:I84)," "),IF(N85=0," ",IF(N86=1,I$54,IF(N86=0,IF(S85&lt;&gt;0,ROUNDUP(S85,-1),0)," "))))</f>
        <v>160290</v>
      </c>
      <c r="J85" s="84">
        <f t="shared" ca="1" si="38"/>
        <v>153400</v>
      </c>
      <c r="K85" s="84">
        <f t="shared" ca="1" si="39"/>
        <v>0</v>
      </c>
      <c r="L85" s="84">
        <f t="shared" ca="1" si="54"/>
        <v>313690</v>
      </c>
      <c r="M85" s="4">
        <v>56</v>
      </c>
      <c r="N85" s="4">
        <f t="shared" ca="1" si="55"/>
        <v>1</v>
      </c>
      <c r="O85" s="4">
        <f t="shared" ca="1" si="78"/>
        <v>20</v>
      </c>
      <c r="P85" s="22">
        <f t="shared" ca="1" si="40"/>
        <v>147330</v>
      </c>
      <c r="Q85" s="22">
        <f t="shared" ca="1" si="40"/>
        <v>147330</v>
      </c>
      <c r="R85" s="22">
        <f t="shared" ca="1" si="57"/>
        <v>2617230</v>
      </c>
      <c r="S85" s="22">
        <f t="shared" ca="1" si="70"/>
        <v>2725060</v>
      </c>
      <c r="T85" s="100">
        <f t="shared" ca="1" si="58"/>
        <v>166395.66666666666</v>
      </c>
      <c r="U85" s="22">
        <f t="shared" ca="1" si="59"/>
        <v>147330</v>
      </c>
      <c r="V85" s="22">
        <f t="shared" ca="1" si="71"/>
        <v>147325.56944444444</v>
      </c>
      <c r="W85" s="22">
        <f t="shared" ca="1" si="72"/>
        <v>147325.56944444444</v>
      </c>
      <c r="X85" s="22">
        <f t="shared" ca="1" si="73"/>
        <v>153395.66666666666</v>
      </c>
      <c r="Y85" s="22">
        <f t="shared" ca="1" si="60"/>
        <v>153400</v>
      </c>
      <c r="Z85" s="22">
        <f t="shared" ca="1" si="41"/>
        <v>650000</v>
      </c>
      <c r="AA85" s="22">
        <f t="shared" ca="1" si="61"/>
        <v>2965060</v>
      </c>
      <c r="AB85" s="22">
        <f t="shared" ca="1" si="42"/>
        <v>166395.66666666666</v>
      </c>
      <c r="AC85" s="22">
        <f t="shared" ca="1" si="23"/>
        <v>166400</v>
      </c>
      <c r="AD85" s="22">
        <f t="shared" ca="1" si="35"/>
        <v>650000</v>
      </c>
      <c r="AE85" s="22">
        <f t="shared" ca="1" si="62"/>
        <v>81595700</v>
      </c>
      <c r="AF85" s="22">
        <f t="shared" ca="1" si="43"/>
        <v>0</v>
      </c>
      <c r="AG85" s="22">
        <f t="shared" ca="1" si="43"/>
        <v>0</v>
      </c>
      <c r="AH85" s="22">
        <f t="shared" ca="1" si="44"/>
        <v>0</v>
      </c>
      <c r="AI85" s="22">
        <f t="shared" ca="1" si="45"/>
        <v>0</v>
      </c>
      <c r="AJ85" s="22">
        <f t="shared" ca="1" si="63"/>
        <v>0</v>
      </c>
      <c r="AK85" s="22">
        <f t="shared" ca="1" si="64"/>
        <v>0</v>
      </c>
      <c r="AL85" s="22">
        <f t="shared" ca="1" si="28"/>
        <v>0</v>
      </c>
      <c r="AM85" s="22">
        <f t="shared" ca="1" si="29"/>
        <v>0</v>
      </c>
      <c r="AN85" s="22">
        <f t="shared" ca="1" si="46"/>
        <v>2617230</v>
      </c>
      <c r="AO85" s="22">
        <f t="shared" ca="1" si="76"/>
        <v>0</v>
      </c>
      <c r="AP85" s="22">
        <f t="shared" ca="1" si="77"/>
        <v>0</v>
      </c>
      <c r="AQ85" s="69">
        <f t="shared" ca="1" si="67"/>
        <v>9</v>
      </c>
      <c r="AR85" s="69">
        <f t="shared" ca="1" si="47"/>
        <v>9</v>
      </c>
      <c r="AS85" s="4">
        <f t="shared" ca="1" si="68"/>
        <v>2028</v>
      </c>
      <c r="AT85" s="4">
        <f t="shared" ca="1" si="48"/>
        <v>2028</v>
      </c>
      <c r="AU85" s="4">
        <f t="shared" ca="1" si="49"/>
        <v>1</v>
      </c>
      <c r="AV85" s="4">
        <f t="shared" ca="1" si="50"/>
        <v>30</v>
      </c>
      <c r="AW85" s="4">
        <f t="shared" si="51"/>
        <v>20</v>
      </c>
      <c r="AX85" s="4">
        <f t="shared" ca="1" si="69"/>
        <v>30</v>
      </c>
      <c r="AY85" s="19">
        <f t="shared" ca="1" si="52"/>
        <v>52340</v>
      </c>
      <c r="AZ85" s="19"/>
      <c r="BA85" s="19"/>
      <c r="BB85" s="19"/>
      <c r="BC85" s="19"/>
      <c r="BD85" s="4">
        <f t="shared" ca="1" si="8"/>
        <v>1</v>
      </c>
      <c r="BE85" s="19"/>
      <c r="BF85" s="19"/>
      <c r="BG85" s="19"/>
      <c r="BH85" s="19"/>
      <c r="BI85" s="120"/>
      <c r="BJ85" s="19"/>
      <c r="BK85" s="19"/>
      <c r="BL85" s="19"/>
      <c r="BM85" s="19"/>
      <c r="BN85" s="19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</row>
    <row r="86" spans="1:146" s="24" customFormat="1" ht="15" customHeight="1">
      <c r="A86" s="4"/>
      <c r="B86" s="268">
        <f t="shared" ca="1" si="79"/>
        <v>47046</v>
      </c>
      <c r="C86" s="268"/>
      <c r="D86" s="443">
        <f ca="1">IF(N86=0,IF(N82=1,SUM(D$26:E85)," "),IF(N86=0," ",IF(N87=1,D$54,IF(N87=0,IF(R86&lt;&gt;0,ROUNDUP(R86,-1),0)," "))))</f>
        <v>153940</v>
      </c>
      <c r="E86" s="443"/>
      <c r="F86" s="84">
        <f ca="1">IF(N86=0,IF(N85=1,SUM(F$26:F85)," "),IF(M$1=1,P86,IF(M$1=2,Q86," ")))</f>
        <v>138990</v>
      </c>
      <c r="G86" s="84">
        <f ca="1">IF(N86=0,IF(N85=1,SUM(G$26:G85)," "),IF(M$1=1,AF86,IF(M$1=2,AG86," ")))</f>
        <v>0</v>
      </c>
      <c r="H86" s="84">
        <f t="shared" ca="1" si="37"/>
        <v>292930</v>
      </c>
      <c r="I86" s="84">
        <f ca="1">IF(N86=0,IF(N81=1,SUM(I$26:I85)," "),IF(N86=0," ",IF(N87=1,I$54,IF(N87=0,IF(S86&lt;&gt;0,ROUNDUP(S86,-1),0)," "))))</f>
        <v>160290</v>
      </c>
      <c r="J86" s="84">
        <f t="shared" ref="J86:J102" ca="1" si="80">IF(M86&lt;=$D$15,AA86,IF($M$1=1,Y86,IF($M$1=2,Y86," ")))</f>
        <v>144710</v>
      </c>
      <c r="K86" s="84">
        <f t="shared" ref="K86:K102" ca="1" si="81">IF(M86&lt;=D$15,AF86,IF(M$1=1,AK86,IF(M$1=2,AK86," ")))</f>
        <v>0</v>
      </c>
      <c r="L86" s="84">
        <f t="shared" ca="1" si="54"/>
        <v>305000</v>
      </c>
      <c r="M86" s="4">
        <v>57</v>
      </c>
      <c r="N86" s="4">
        <f t="shared" ca="1" si="55"/>
        <v>1</v>
      </c>
      <c r="O86" s="4">
        <f t="shared" ca="1" si="78"/>
        <v>20</v>
      </c>
      <c r="P86" s="22">
        <f t="shared" ca="1" si="40"/>
        <v>138990</v>
      </c>
      <c r="Q86" s="22">
        <f t="shared" ca="1" si="40"/>
        <v>138990</v>
      </c>
      <c r="R86" s="22">
        <f t="shared" ca="1" si="57"/>
        <v>2463290</v>
      </c>
      <c r="S86" s="22">
        <f t="shared" ca="1" si="70"/>
        <v>2564770</v>
      </c>
      <c r="T86" s="100">
        <f t="shared" ca="1" si="58"/>
        <v>157713.29166666666</v>
      </c>
      <c r="U86" s="22">
        <f t="shared" ca="1" si="59"/>
        <v>138990</v>
      </c>
      <c r="V86" s="22">
        <f t="shared" ca="1" si="71"/>
        <v>138987.15277777778</v>
      </c>
      <c r="W86" s="22">
        <f t="shared" ca="1" si="72"/>
        <v>138987.15277777778</v>
      </c>
      <c r="X86" s="22">
        <f t="shared" ca="1" si="73"/>
        <v>144713.29166666666</v>
      </c>
      <c r="Y86" s="22">
        <f t="shared" ca="1" si="60"/>
        <v>144710</v>
      </c>
      <c r="Z86" s="22">
        <f t="shared" ca="1" si="41"/>
        <v>650000</v>
      </c>
      <c r="AA86" s="22">
        <f t="shared" ca="1" si="61"/>
        <v>2804770</v>
      </c>
      <c r="AB86" s="22">
        <f ca="1">IF(N87=1,AA85*D$11*20/36000+AA86*D$11*10/36000,IF(N87=0,IF(N86=0,0,AA86*D$11*Q$12/36000)))</f>
        <v>157713.29166666666</v>
      </c>
      <c r="AC86" s="22">
        <f t="shared" ca="1" si="23"/>
        <v>157710</v>
      </c>
      <c r="AD86" s="22">
        <f t="shared" ca="1" si="35"/>
        <v>650000</v>
      </c>
      <c r="AE86" s="22">
        <f t="shared" ca="1" si="62"/>
        <v>76977500</v>
      </c>
      <c r="AF86" s="22">
        <f t="shared" ca="1" si="43"/>
        <v>0</v>
      </c>
      <c r="AG86" s="22">
        <f t="shared" ca="1" si="43"/>
        <v>0</v>
      </c>
      <c r="AH86" s="22">
        <f t="shared" ca="1" si="44"/>
        <v>0</v>
      </c>
      <c r="AI86" s="22">
        <f ca="1">IF(N87=1,AA85*G$12*20/36000+AA86*G$12*10/36000,IF(N87=0,IF(N86=0,0,AA86*G$12*Q$12/36000)))</f>
        <v>0</v>
      </c>
      <c r="AJ86" s="22">
        <f t="shared" ca="1" si="63"/>
        <v>0</v>
      </c>
      <c r="AK86" s="22">
        <f t="shared" ca="1" si="64"/>
        <v>0</v>
      </c>
      <c r="AL86" s="22">
        <f t="shared" ca="1" si="28"/>
        <v>0</v>
      </c>
      <c r="AM86" s="22">
        <f t="shared" ca="1" si="29"/>
        <v>0</v>
      </c>
      <c r="AN86" s="22">
        <f t="shared" ca="1" si="46"/>
        <v>2463290</v>
      </c>
      <c r="AO86" s="22">
        <f t="shared" ca="1" si="76"/>
        <v>0</v>
      </c>
      <c r="AP86" s="22">
        <f t="shared" ca="1" si="77"/>
        <v>0</v>
      </c>
      <c r="AQ86" s="69">
        <f t="shared" ca="1" si="67"/>
        <v>10</v>
      </c>
      <c r="AR86" s="69">
        <f t="shared" ca="1" si="47"/>
        <v>10</v>
      </c>
      <c r="AS86" s="4">
        <f t="shared" ca="1" si="68"/>
        <v>2028</v>
      </c>
      <c r="AT86" s="4">
        <f t="shared" ca="1" si="48"/>
        <v>2028</v>
      </c>
      <c r="AU86" s="4">
        <f t="shared" ca="1" si="49"/>
        <v>1</v>
      </c>
      <c r="AV86" s="4">
        <f t="shared" ca="1" si="50"/>
        <v>30</v>
      </c>
      <c r="AW86" s="4">
        <f t="shared" ref="AW86:AW102" si="82">IF(C$25=30,AV86,20)</f>
        <v>20</v>
      </c>
      <c r="AX86" s="4">
        <f t="shared" ca="1" si="69"/>
        <v>30</v>
      </c>
      <c r="AY86" s="19">
        <f t="shared" ca="1" si="52"/>
        <v>49270</v>
      </c>
      <c r="AZ86" s="19"/>
      <c r="BA86" s="19"/>
      <c r="BB86" s="19"/>
      <c r="BC86" s="19"/>
      <c r="BD86" s="4">
        <f t="shared" ca="1" si="8"/>
        <v>1</v>
      </c>
      <c r="BE86" s="19"/>
      <c r="BF86" s="19"/>
      <c r="BG86" s="19"/>
      <c r="BH86" s="19"/>
      <c r="BI86" s="120"/>
      <c r="BJ86" s="19"/>
      <c r="BK86" s="19"/>
      <c r="BL86" s="19"/>
      <c r="BM86" s="19"/>
      <c r="BN86" s="19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</row>
    <row r="87" spans="1:146" s="24" customFormat="1" ht="15" customHeight="1">
      <c r="A87" s="4"/>
      <c r="B87" s="268">
        <f t="shared" ca="1" si="79"/>
        <v>47077</v>
      </c>
      <c r="C87" s="268"/>
      <c r="D87" s="443">
        <f ca="1">IF(N87=0,IF(N83=1,SUM(D$26:E86)," "),IF(N87=0," ",IF(N88=1,D$54,IF(N88=0,IF(R87&lt;&gt;0,ROUNDUP(R87,-1),0)," "))))</f>
        <v>153940</v>
      </c>
      <c r="E87" s="443"/>
      <c r="F87" s="84">
        <f ca="1">IF(N87=0,IF(N86=1,SUM(F$26:F86)," "),IF(M$1=1,P87,IF(M$1=2,Q87," ")))</f>
        <v>130650</v>
      </c>
      <c r="G87" s="84">
        <f ca="1">IF(N87=0,IF(N86=1,SUM(G$26:G86)," "),IF(M$1=1,AF87,IF(M$1=2,AG87," ")))</f>
        <v>0</v>
      </c>
      <c r="H87" s="84">
        <f t="shared" ca="1" si="37"/>
        <v>284590</v>
      </c>
      <c r="I87" s="84">
        <f ca="1">IF(N87=0,IF(N82=1,SUM(I$26:I86)," "),IF(N87=0," ",IF(N88=1,I$54,IF(N88=0,IF(S87&lt;&gt;0,ROUNDUP(S87,-1),0)," "))))</f>
        <v>160290</v>
      </c>
      <c r="J87" s="84">
        <f t="shared" ca="1" si="80"/>
        <v>136030</v>
      </c>
      <c r="K87" s="84">
        <f t="shared" ca="1" si="81"/>
        <v>0</v>
      </c>
      <c r="L87" s="84">
        <f t="shared" ca="1" si="54"/>
        <v>296320</v>
      </c>
      <c r="M87" s="4">
        <v>58</v>
      </c>
      <c r="N87" s="4">
        <f t="shared" ca="1" si="55"/>
        <v>1</v>
      </c>
      <c r="O87" s="4">
        <f t="shared" ca="1" si="78"/>
        <v>20</v>
      </c>
      <c r="P87" s="22">
        <f t="shared" ca="1" si="40"/>
        <v>130650</v>
      </c>
      <c r="Q87" s="22">
        <f t="shared" ca="1" si="40"/>
        <v>130650</v>
      </c>
      <c r="R87" s="22">
        <f t="shared" ca="1" si="57"/>
        <v>2309350</v>
      </c>
      <c r="S87" s="22">
        <f t="shared" ca="1" si="70"/>
        <v>2404480</v>
      </c>
      <c r="T87" s="100">
        <f t="shared" ca="1" si="58"/>
        <v>149030.91666666666</v>
      </c>
      <c r="U87" s="22">
        <f t="shared" ca="1" si="59"/>
        <v>130650</v>
      </c>
      <c r="V87" s="22">
        <f t="shared" ca="1" si="71"/>
        <v>130648.73611111111</v>
      </c>
      <c r="W87" s="22">
        <f t="shared" ca="1" si="72"/>
        <v>130648.73611111111</v>
      </c>
      <c r="X87" s="22">
        <f t="shared" ca="1" si="73"/>
        <v>136030.91666666666</v>
      </c>
      <c r="Y87" s="22">
        <f t="shared" ca="1" si="60"/>
        <v>136030</v>
      </c>
      <c r="Z87" s="22">
        <f t="shared" ca="1" si="41"/>
        <v>650000</v>
      </c>
      <c r="AA87" s="22">
        <f t="shared" ca="1" si="61"/>
        <v>2644480</v>
      </c>
      <c r="AB87" s="22"/>
      <c r="AC87" s="22"/>
      <c r="AD87" s="22">
        <f t="shared" ca="1" si="35"/>
        <v>650000</v>
      </c>
      <c r="AE87" s="22">
        <f t="shared" ca="1" si="62"/>
        <v>72359300</v>
      </c>
      <c r="AF87" s="22">
        <f t="shared" ca="1" si="43"/>
        <v>0</v>
      </c>
      <c r="AG87" s="22">
        <f t="shared" ca="1" si="43"/>
        <v>0</v>
      </c>
      <c r="AH87" s="22">
        <f t="shared" ca="1" si="44"/>
        <v>0</v>
      </c>
      <c r="AI87" s="22"/>
      <c r="AJ87" s="22">
        <f t="shared" ca="1" si="63"/>
        <v>0</v>
      </c>
      <c r="AK87" s="22">
        <f t="shared" ca="1" si="64"/>
        <v>0</v>
      </c>
      <c r="AL87" s="22"/>
      <c r="AM87" s="22">
        <f t="shared" ca="1" si="29"/>
        <v>0</v>
      </c>
      <c r="AN87" s="22">
        <f t="shared" ca="1" si="46"/>
        <v>2309350</v>
      </c>
      <c r="AO87" s="22">
        <f t="shared" ca="1" si="76"/>
        <v>0</v>
      </c>
      <c r="AP87" s="22">
        <f t="shared" ca="1" si="77"/>
        <v>0</v>
      </c>
      <c r="AQ87" s="69">
        <f t="shared" ca="1" si="67"/>
        <v>11</v>
      </c>
      <c r="AR87" s="69">
        <f t="shared" ca="1" si="47"/>
        <v>11</v>
      </c>
      <c r="AS87" s="4">
        <f t="shared" ca="1" si="68"/>
        <v>2028</v>
      </c>
      <c r="AT87" s="4">
        <f t="shared" ca="1" si="48"/>
        <v>2028</v>
      </c>
      <c r="AU87" s="4">
        <f t="shared" ca="1" si="49"/>
        <v>1</v>
      </c>
      <c r="AV87" s="4">
        <f t="shared" ca="1" si="50"/>
        <v>30</v>
      </c>
      <c r="AW87" s="4">
        <f t="shared" si="82"/>
        <v>20</v>
      </c>
      <c r="AX87" s="4">
        <f t="shared" ca="1" si="69"/>
        <v>30</v>
      </c>
      <c r="AY87" s="19">
        <f t="shared" ca="1" si="52"/>
        <v>46190</v>
      </c>
      <c r="AZ87" s="19"/>
      <c r="BA87" s="19"/>
      <c r="BB87" s="19"/>
      <c r="BC87" s="19"/>
      <c r="BD87" s="4">
        <f t="shared" ca="1" si="8"/>
        <v>1</v>
      </c>
      <c r="BE87" s="19"/>
      <c r="BF87" s="19"/>
      <c r="BG87" s="19"/>
      <c r="BH87" s="19"/>
      <c r="BI87" s="120"/>
      <c r="BJ87" s="19"/>
      <c r="BK87" s="19"/>
      <c r="BL87" s="19"/>
      <c r="BM87" s="19"/>
      <c r="BN87" s="19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</row>
    <row r="88" spans="1:146" s="24" customFormat="1" ht="15" customHeight="1">
      <c r="A88" s="4"/>
      <c r="B88" s="268">
        <f t="shared" ca="1" si="79"/>
        <v>47107</v>
      </c>
      <c r="C88" s="268"/>
      <c r="D88" s="443">
        <f ca="1">IF(N88=0,IF(N84=1,SUM(D$26:E87)," "),IF(N88=0," ",IF(N89=1,D$54,IF(N89=0,IF(R88&lt;&gt;0,ROUNDUP(R88,-1),0)," "))))</f>
        <v>153940</v>
      </c>
      <c r="E88" s="443"/>
      <c r="F88" s="84">
        <f ca="1">IF(N88=0,IF(N87=1,SUM(F$26:F87)," "),IF(M$1=1,P88,IF(M$1=2,Q88," ")))</f>
        <v>122310</v>
      </c>
      <c r="G88" s="84">
        <f ca="1">IF(N88=0,IF(N87=1,SUM(G$26:G87)," "),IF(M$1=1,AF88,IF(M$1=2,AG88," ")))</f>
        <v>0</v>
      </c>
      <c r="H88" s="84">
        <f t="shared" ca="1" si="37"/>
        <v>276250</v>
      </c>
      <c r="I88" s="84">
        <f ca="1">IF(N88=0,IF(N83=1,SUM(I$26:I87)," "),IF(N88=0," ",IF(N89=1,I$54,IF(N89=0,IF(S88&lt;&gt;0,ROUNDUP(S88,-1),0)," "))))</f>
        <v>160290</v>
      </c>
      <c r="J88" s="84">
        <f t="shared" ca="1" si="80"/>
        <v>127350</v>
      </c>
      <c r="K88" s="84">
        <f t="shared" ca="1" si="81"/>
        <v>0</v>
      </c>
      <c r="L88" s="84">
        <f t="shared" ca="1" si="54"/>
        <v>287640</v>
      </c>
      <c r="M88" s="4">
        <v>59</v>
      </c>
      <c r="N88" s="4">
        <f t="shared" ca="1" si="55"/>
        <v>1</v>
      </c>
      <c r="O88" s="4">
        <f t="shared" ca="1" si="78"/>
        <v>20</v>
      </c>
      <c r="P88" s="22">
        <f t="shared" ca="1" si="40"/>
        <v>122310</v>
      </c>
      <c r="Q88" s="22">
        <f t="shared" ca="1" si="40"/>
        <v>122310</v>
      </c>
      <c r="R88" s="22">
        <f t="shared" ca="1" si="57"/>
        <v>2155410</v>
      </c>
      <c r="S88" s="22">
        <f t="shared" ca="1" si="70"/>
        <v>2244190</v>
      </c>
      <c r="T88" s="100">
        <f t="shared" ca="1" si="58"/>
        <v>140348.54166666666</v>
      </c>
      <c r="U88" s="22">
        <f t="shared" ca="1" si="59"/>
        <v>122310</v>
      </c>
      <c r="V88" s="22">
        <f t="shared" ca="1" si="71"/>
        <v>122310.31944444444</v>
      </c>
      <c r="W88" s="22">
        <f t="shared" ca="1" si="72"/>
        <v>122310.31944444444</v>
      </c>
      <c r="X88" s="22">
        <f t="shared" ca="1" si="73"/>
        <v>127348.54166666666</v>
      </c>
      <c r="Y88" s="22">
        <f t="shared" ca="1" si="60"/>
        <v>127350</v>
      </c>
      <c r="Z88" s="22">
        <f t="shared" ca="1" si="41"/>
        <v>650000</v>
      </c>
      <c r="AA88" s="22">
        <f t="shared" ca="1" si="61"/>
        <v>2484190</v>
      </c>
      <c r="AB88" s="22"/>
      <c r="AC88" s="22"/>
      <c r="AD88" s="22">
        <f t="shared" ca="1" si="35"/>
        <v>650000</v>
      </c>
      <c r="AE88" s="22">
        <f t="shared" ca="1" si="62"/>
        <v>67741100</v>
      </c>
      <c r="AF88" s="22">
        <f t="shared" ca="1" si="43"/>
        <v>0</v>
      </c>
      <c r="AG88" s="22">
        <f t="shared" ca="1" si="43"/>
        <v>0</v>
      </c>
      <c r="AH88" s="22">
        <f t="shared" ca="1" si="44"/>
        <v>0</v>
      </c>
      <c r="AI88" s="22"/>
      <c r="AJ88" s="22">
        <f t="shared" ca="1" si="63"/>
        <v>0</v>
      </c>
      <c r="AK88" s="22">
        <f t="shared" ca="1" si="64"/>
        <v>0</v>
      </c>
      <c r="AL88" s="22"/>
      <c r="AM88" s="22">
        <f t="shared" ca="1" si="29"/>
        <v>0</v>
      </c>
      <c r="AN88" s="22">
        <f t="shared" ca="1" si="46"/>
        <v>2155410</v>
      </c>
      <c r="AO88" s="22">
        <f t="shared" ca="1" si="76"/>
        <v>0</v>
      </c>
      <c r="AP88" s="22">
        <f t="shared" ca="1" si="77"/>
        <v>0</v>
      </c>
      <c r="AQ88" s="69">
        <f t="shared" ca="1" si="67"/>
        <v>12</v>
      </c>
      <c r="AR88" s="69">
        <f t="shared" ca="1" si="47"/>
        <v>12</v>
      </c>
      <c r="AS88" s="4">
        <f t="shared" ca="1" si="68"/>
        <v>2028</v>
      </c>
      <c r="AT88" s="4">
        <f t="shared" ca="1" si="48"/>
        <v>2028</v>
      </c>
      <c r="AU88" s="4">
        <f t="shared" ca="1" si="49"/>
        <v>1</v>
      </c>
      <c r="AV88" s="4">
        <f t="shared" ca="1" si="50"/>
        <v>30</v>
      </c>
      <c r="AW88" s="4">
        <f t="shared" si="82"/>
        <v>20</v>
      </c>
      <c r="AX88" s="4">
        <f t="shared" ca="1" si="69"/>
        <v>30</v>
      </c>
      <c r="AY88" s="19">
        <f t="shared" ca="1" si="52"/>
        <v>43110</v>
      </c>
      <c r="AZ88" s="19"/>
      <c r="BA88" s="19"/>
      <c r="BB88" s="19"/>
      <c r="BC88" s="19"/>
      <c r="BD88" s="4">
        <f t="shared" ca="1" si="8"/>
        <v>1</v>
      </c>
      <c r="BE88" s="19"/>
      <c r="BF88" s="19"/>
      <c r="BG88" s="19"/>
      <c r="BH88" s="19"/>
      <c r="BI88" s="120"/>
      <c r="BJ88" s="19"/>
      <c r="BK88" s="19"/>
      <c r="BL88" s="19"/>
      <c r="BM88" s="19"/>
      <c r="BN88" s="19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</row>
    <row r="89" spans="1:146" s="24" customFormat="1" ht="15" customHeight="1">
      <c r="A89" s="4"/>
      <c r="B89" s="268">
        <f t="shared" ca="1" si="79"/>
        <v>47138</v>
      </c>
      <c r="C89" s="268"/>
      <c r="D89" s="443">
        <f ca="1">IF(N89=0,IF(N85=1,SUM(D$26:E88)," "),IF(N89=0," ",IF(N90=1,D$54,IF(N90=0,IF(R89&lt;&gt;0,ROUNDUP(R89,-1),0)," "))))</f>
        <v>153940</v>
      </c>
      <c r="E89" s="443"/>
      <c r="F89" s="84">
        <f ca="1">IF(N89=0,IF(N88=1,SUM(F$26:F88)," "),IF(M$1=1,P89,IF(M$1=2,Q89," ")))</f>
        <v>113970</v>
      </c>
      <c r="G89" s="84">
        <f ca="1">IF(N89=0,IF(N88=1,SUM(G$26:G88)," "),IF(M$1=1,AF89,IF(M$1=2,AG89," ")))</f>
        <v>0</v>
      </c>
      <c r="H89" s="84">
        <f t="shared" ca="1" si="37"/>
        <v>267910</v>
      </c>
      <c r="I89" s="84">
        <f ca="1">IF(N89=0,IF(N84=1,SUM(I$26:I88)," "),IF(N89=0," ",IF(N90=1,I$54,IF(N90=0,IF(S89&lt;&gt;0,ROUNDUP(S89,-1),0)," "))))</f>
        <v>160290</v>
      </c>
      <c r="J89" s="84">
        <f t="shared" ca="1" si="80"/>
        <v>118670</v>
      </c>
      <c r="K89" s="84">
        <f t="shared" ca="1" si="81"/>
        <v>0</v>
      </c>
      <c r="L89" s="84">
        <f t="shared" ca="1" si="54"/>
        <v>278960</v>
      </c>
      <c r="M89" s="4">
        <v>60</v>
      </c>
      <c r="N89" s="4">
        <f t="shared" ca="1" si="55"/>
        <v>1</v>
      </c>
      <c r="O89" s="4">
        <f t="shared" ca="1" si="78"/>
        <v>20</v>
      </c>
      <c r="P89" s="22">
        <f t="shared" ca="1" si="40"/>
        <v>113970</v>
      </c>
      <c r="Q89" s="22">
        <f t="shared" ca="1" si="40"/>
        <v>113970</v>
      </c>
      <c r="R89" s="22">
        <f t="shared" ca="1" si="57"/>
        <v>2001470</v>
      </c>
      <c r="S89" s="22">
        <f t="shared" ca="1" si="70"/>
        <v>2083900</v>
      </c>
      <c r="T89" s="100">
        <f t="shared" ca="1" si="58"/>
        <v>131666.16666666666</v>
      </c>
      <c r="U89" s="22">
        <f t="shared" ca="1" si="59"/>
        <v>113970</v>
      </c>
      <c r="V89" s="22">
        <f t="shared" ca="1" si="71"/>
        <v>113971.90277777778</v>
      </c>
      <c r="W89" s="22">
        <f t="shared" ca="1" si="72"/>
        <v>113971.90277777778</v>
      </c>
      <c r="X89" s="22">
        <f t="shared" ca="1" si="73"/>
        <v>118666.16666666666</v>
      </c>
      <c r="Y89" s="22">
        <f t="shared" ca="1" si="60"/>
        <v>118670</v>
      </c>
      <c r="Z89" s="22">
        <f t="shared" ca="1" si="41"/>
        <v>650000</v>
      </c>
      <c r="AA89" s="22">
        <f t="shared" ca="1" si="61"/>
        <v>2323900</v>
      </c>
      <c r="AB89" s="22"/>
      <c r="AC89" s="22"/>
      <c r="AD89" s="22">
        <f t="shared" ca="1" si="35"/>
        <v>650000</v>
      </c>
      <c r="AE89" s="22">
        <f t="shared" ca="1" si="62"/>
        <v>63122900</v>
      </c>
      <c r="AF89" s="22">
        <f t="shared" ca="1" si="43"/>
        <v>0</v>
      </c>
      <c r="AG89" s="22">
        <f t="shared" ca="1" si="43"/>
        <v>0</v>
      </c>
      <c r="AH89" s="22">
        <f t="shared" ca="1" si="44"/>
        <v>0</v>
      </c>
      <c r="AI89" s="22"/>
      <c r="AJ89" s="22">
        <f t="shared" ca="1" si="63"/>
        <v>0</v>
      </c>
      <c r="AK89" s="22">
        <f t="shared" ca="1" si="64"/>
        <v>0</v>
      </c>
      <c r="AL89" s="22"/>
      <c r="AM89" s="22">
        <f t="shared" ca="1" si="29"/>
        <v>0</v>
      </c>
      <c r="AN89" s="22">
        <f t="shared" ca="1" si="46"/>
        <v>2001470</v>
      </c>
      <c r="AO89" s="22">
        <f t="shared" ca="1" si="76"/>
        <v>0</v>
      </c>
      <c r="AP89" s="22">
        <f t="shared" ca="1" si="77"/>
        <v>0</v>
      </c>
      <c r="AQ89" s="69">
        <f t="shared" ca="1" si="67"/>
        <v>13</v>
      </c>
      <c r="AR89" s="69">
        <f t="shared" ca="1" si="47"/>
        <v>1</v>
      </c>
      <c r="AS89" s="4">
        <f t="shared" ca="1" si="68"/>
        <v>2028</v>
      </c>
      <c r="AT89" s="4">
        <f t="shared" ca="1" si="48"/>
        <v>2029</v>
      </c>
      <c r="AU89" s="4">
        <f t="shared" ca="1" si="49"/>
        <v>1</v>
      </c>
      <c r="AV89" s="4">
        <f t="shared" ca="1" si="50"/>
        <v>30</v>
      </c>
      <c r="AW89" s="4">
        <f t="shared" si="82"/>
        <v>20</v>
      </c>
      <c r="AX89" s="4">
        <f t="shared" ca="1" si="69"/>
        <v>30</v>
      </c>
      <c r="AY89" s="19">
        <f t="shared" ca="1" si="52"/>
        <v>40030</v>
      </c>
      <c r="AZ89" s="19"/>
      <c r="BA89" s="19"/>
      <c r="BB89" s="19"/>
      <c r="BC89" s="19"/>
      <c r="BD89" s="4">
        <f t="shared" ca="1" si="8"/>
        <v>1</v>
      </c>
      <c r="BE89" s="19"/>
      <c r="BF89" s="19"/>
      <c r="BG89" s="19"/>
      <c r="BH89" s="19"/>
      <c r="BI89" s="120"/>
      <c r="BJ89" s="19"/>
      <c r="BK89" s="19"/>
      <c r="BL89" s="19"/>
      <c r="BM89" s="19"/>
      <c r="BN89" s="19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</row>
    <row r="90" spans="1:146" s="24" customFormat="1" ht="15" customHeight="1">
      <c r="A90" s="4"/>
      <c r="B90" s="268">
        <f ca="1">IF(N90=0,IF(N89=1,"ИТОГО"," "),IF(M90=M14,DATE(YEAR(B89),MONTH(B89),O90),DATE(YEAR(B89),MONTH(B89)+1,O90)))</f>
        <v>47169</v>
      </c>
      <c r="C90" s="268"/>
      <c r="D90" s="443">
        <f ca="1">IF(N90=0,IF(N86=1,SUM(D$26:E89)," "),IF(N90=0," ",IF(N91=1,D$54,IF(N91=0,IF(R90&lt;&gt;0,ROUNDUP(R90,-1),0)," "))))</f>
        <v>153940</v>
      </c>
      <c r="E90" s="443"/>
      <c r="F90" s="84">
        <f ca="1">IF(N90=0,IF(N89=1,SUM(F$26:F89)," "),IF(M$1=1,P90,IF(M$1=2,Q90," ")))</f>
        <v>105630</v>
      </c>
      <c r="G90" s="84">
        <f ca="1">IF(N90=0,IF(N89=1,SUM(G$26:G89)," "),IF(M$1=1,AF90,IF(M$1=2,AG90," ")))</f>
        <v>0</v>
      </c>
      <c r="H90" s="84">
        <f t="shared" ca="1" si="37"/>
        <v>259570</v>
      </c>
      <c r="I90" s="84">
        <f ca="1">IF(N90=0,IF(N85=1,SUM(I$26:I89)," "),IF(N90=0," ",IF(N91=1,I$54,IF(N91=0,IF(S90&lt;&gt;0,ROUNDUP(S90,-1),0)," "))))</f>
        <v>160290</v>
      </c>
      <c r="J90" s="84">
        <f t="shared" ca="1" si="80"/>
        <v>109980</v>
      </c>
      <c r="K90" s="84">
        <f t="shared" ca="1" si="81"/>
        <v>0</v>
      </c>
      <c r="L90" s="84">
        <f t="shared" ca="1" si="54"/>
        <v>270270</v>
      </c>
      <c r="M90" s="4">
        <v>61</v>
      </c>
      <c r="N90" s="4">
        <f t="shared" ca="1" si="55"/>
        <v>1</v>
      </c>
      <c r="O90" s="4">
        <f ca="1">IF(M90=A$14,IF(MONTH(B89)=-2,AX90,DATE(YEAR(0),MONTH(0),DAY(D$16)-1)),AW90)</f>
        <v>20</v>
      </c>
      <c r="P90" s="22">
        <f t="shared" ref="P90:P102" ca="1" si="83">IF(V90&lt;&gt;0,IF(VALUE(RIGHT(ROUND(V90,0)))&lt;=5,ROUND(V90,0)-VALUE(RIGHT(ROUND(V90,0))),ROUND(V90,0)+10-VALUE(RIGHT(ROUND(V90,0)))),0)</f>
        <v>105630</v>
      </c>
      <c r="Q90" s="22">
        <f t="shared" ref="Q90:Q102" ca="1" si="84">IF(W90&lt;&gt;0,IF(VALUE(RIGHT(ROUND(W90,0)))&lt;=5,ROUND(W90,0)-VALUE(RIGHT(ROUND(W90,0))),ROUND(W90,0)+10-VALUE(RIGHT(ROUND(W90,0)))),0)</f>
        <v>105630</v>
      </c>
      <c r="R90" s="22">
        <f ca="1">IF(N90=0,0,R89-D89)</f>
        <v>1847530</v>
      </c>
      <c r="S90" s="22">
        <f t="shared" ca="1" si="70"/>
        <v>1923610</v>
      </c>
      <c r="T90" s="100">
        <f t="shared" ca="1" si="58"/>
        <v>122983.79166666666</v>
      </c>
      <c r="U90" s="22">
        <f t="shared" ca="1" si="59"/>
        <v>105630</v>
      </c>
      <c r="V90" s="22">
        <f t="shared" ca="1" si="71"/>
        <v>105633.48611111112</v>
      </c>
      <c r="W90" s="22">
        <f t="shared" ca="1" si="72"/>
        <v>105633.48611111112</v>
      </c>
      <c r="X90" s="22">
        <f t="shared" ca="1" si="73"/>
        <v>109983.79166666666</v>
      </c>
      <c r="Y90" s="22">
        <f t="shared" ca="1" si="60"/>
        <v>109980</v>
      </c>
      <c r="Z90" s="22">
        <f t="shared" ca="1" si="41"/>
        <v>650000</v>
      </c>
      <c r="AA90" s="22">
        <f t="shared" ca="1" si="61"/>
        <v>2163610</v>
      </c>
      <c r="AB90" s="22"/>
      <c r="AC90" s="22"/>
      <c r="AD90" s="22">
        <f t="shared" ca="1" si="35"/>
        <v>650000</v>
      </c>
      <c r="AE90" s="22">
        <f t="shared" ca="1" si="62"/>
        <v>58504700</v>
      </c>
      <c r="AF90" s="22">
        <f t="shared" ref="AF90:AG102" ca="1" si="85">IF(AO90&lt;&gt;0,IF(VALUE(RIGHT(ROUND(AO90,0)))&lt;=5,ROUND(AO90,0)-VALUE(RIGHT(ROUND(AO90,0))),ROUND(AO90,0)+10-VALUE(RIGHT(ROUND(AO90,0)))),0)</f>
        <v>0</v>
      </c>
      <c r="AG90" s="22">
        <f t="shared" ca="1" si="85"/>
        <v>0</v>
      </c>
      <c r="AH90" s="22">
        <f t="shared" ca="1" si="44"/>
        <v>0</v>
      </c>
      <c r="AI90" s="22"/>
      <c r="AJ90" s="22">
        <f t="shared" ca="1" si="63"/>
        <v>0</v>
      </c>
      <c r="AK90" s="22">
        <f t="shared" ca="1" si="64"/>
        <v>0</v>
      </c>
      <c r="AL90" s="22"/>
      <c r="AM90" s="22">
        <f t="shared" ca="1" si="29"/>
        <v>0</v>
      </c>
      <c r="AN90" s="22">
        <f t="shared" ca="1" si="46"/>
        <v>1847530</v>
      </c>
      <c r="AO90" s="22">
        <f t="shared" ca="1" si="76"/>
        <v>0</v>
      </c>
      <c r="AP90" s="22">
        <f t="shared" ca="1" si="77"/>
        <v>0</v>
      </c>
      <c r="AQ90" s="69">
        <f ca="1">IF(N90=0,0,MONTH(B89)+1)</f>
        <v>2</v>
      </c>
      <c r="AR90" s="69">
        <f t="shared" ca="1" si="47"/>
        <v>2</v>
      </c>
      <c r="AS90" s="4">
        <f ca="1">IF(N90=0,0,YEAR(B89))</f>
        <v>2029</v>
      </c>
      <c r="AT90" s="4">
        <f t="shared" ca="1" si="48"/>
        <v>2029</v>
      </c>
      <c r="AU90" s="4">
        <f t="shared" ca="1" si="49"/>
        <v>0</v>
      </c>
      <c r="AV90" s="4">
        <f t="shared" ca="1" si="50"/>
        <v>28</v>
      </c>
      <c r="AW90" s="4">
        <f t="shared" si="82"/>
        <v>20</v>
      </c>
      <c r="AX90" s="4">
        <f t="shared" ca="1" si="69"/>
        <v>30</v>
      </c>
      <c r="AY90" s="19">
        <f t="shared" ca="1" si="52"/>
        <v>36950</v>
      </c>
      <c r="AZ90" s="19"/>
      <c r="BA90" s="19"/>
      <c r="BB90" s="19"/>
      <c r="BC90" s="19"/>
      <c r="BD90" s="4">
        <f t="shared" ref="BD90:BD102" ca="1" si="86">IF(D$15=0,0,IF(N90=1,1,0))</f>
        <v>1</v>
      </c>
      <c r="BE90" s="19"/>
      <c r="BF90" s="19"/>
      <c r="BG90" s="19"/>
      <c r="BH90" s="19"/>
      <c r="BI90" s="120"/>
      <c r="BJ90" s="19"/>
      <c r="BK90" s="19"/>
      <c r="BL90" s="19"/>
      <c r="BM90" s="19"/>
      <c r="BN90" s="19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</row>
    <row r="91" spans="1:146" s="24" customFormat="1" ht="15" customHeight="1">
      <c r="A91" s="4"/>
      <c r="B91" s="268">
        <f ca="1">IF(N91=0,IF(N90=1,"ИТОГО"," "),DATE(YEAR(B90),MONTH(B90)+1,O91))</f>
        <v>47197</v>
      </c>
      <c r="C91" s="268"/>
      <c r="D91" s="443">
        <f ca="1">IF(N91=0,IF(N87=1,SUM(D$26:E90)," "),IF(N91=0," ",IF(N92=1,D$54,IF(N92=0,IF(R91&lt;&gt;0,ROUNDUP(R91,-1),0)," "))))</f>
        <v>153940</v>
      </c>
      <c r="E91" s="443"/>
      <c r="F91" s="84">
        <f ca="1">IF(N91=0,IF(N90=1,SUM(F$26:F90)," "),IF(M$1=1,P91,IF(M$1=2,Q91," ")))</f>
        <v>97290</v>
      </c>
      <c r="G91" s="84">
        <f ca="1">IF(N91=0,IF(N90=1,SUM(G$26:G90)," "),IF(M$1=1,AF91,IF(M$1=2,AG91," ")))</f>
        <v>0</v>
      </c>
      <c r="H91" s="84">
        <f t="shared" ca="1" si="37"/>
        <v>251230</v>
      </c>
      <c r="I91" s="84">
        <f ca="1">IF(N91=0,IF(N86=1,SUM(I$26:I90)," "),IF(N91=0," ",IF(N92=1,I$54,IF(N92=0,IF(S91&lt;&gt;0,ROUNDUP(S91,-1),0)," "))))</f>
        <v>160290</v>
      </c>
      <c r="J91" s="84">
        <f t="shared" ca="1" si="80"/>
        <v>101300</v>
      </c>
      <c r="K91" s="84">
        <f t="shared" ca="1" si="81"/>
        <v>0</v>
      </c>
      <c r="L91" s="84">
        <f t="shared" ca="1" si="54"/>
        <v>261590</v>
      </c>
      <c r="M91" s="4">
        <v>62</v>
      </c>
      <c r="N91" s="4">
        <f t="shared" ca="1" si="55"/>
        <v>1</v>
      </c>
      <c r="O91" s="4">
        <f t="shared" ref="O91:O101" ca="1" si="87">IF(M91=A$14,IF(DATE(YEAR(0),MONTH(0),DAY(D$16)-1)&lt;AW91,DATE(YEAR(0),MONTH(0),DAY(D$16)-1),AW91),AW91)</f>
        <v>20</v>
      </c>
      <c r="P91" s="22">
        <f t="shared" ca="1" si="83"/>
        <v>97290</v>
      </c>
      <c r="Q91" s="22">
        <f t="shared" ca="1" si="84"/>
        <v>97290</v>
      </c>
      <c r="R91" s="22">
        <f t="shared" ref="R91:R102" ca="1" si="88">IF(N91=0,0,R90-D90)</f>
        <v>1693590</v>
      </c>
      <c r="S91" s="22">
        <f t="shared" ca="1" si="70"/>
        <v>1763320</v>
      </c>
      <c r="T91" s="100">
        <f t="shared" ca="1" si="58"/>
        <v>114301.41666666666</v>
      </c>
      <c r="U91" s="22">
        <f t="shared" ca="1" si="59"/>
        <v>97290</v>
      </c>
      <c r="V91" s="22">
        <f t="shared" ca="1" si="71"/>
        <v>97295.069444444438</v>
      </c>
      <c r="W91" s="22">
        <f t="shared" ca="1" si="72"/>
        <v>97295.069444444438</v>
      </c>
      <c r="X91" s="22">
        <f t="shared" ca="1" si="73"/>
        <v>101301.41666666666</v>
      </c>
      <c r="Y91" s="22">
        <f t="shared" ca="1" si="60"/>
        <v>101300</v>
      </c>
      <c r="Z91" s="22">
        <f t="shared" ca="1" si="41"/>
        <v>650000</v>
      </c>
      <c r="AA91" s="22">
        <f t="shared" ca="1" si="61"/>
        <v>2003320</v>
      </c>
      <c r="AB91" s="22"/>
      <c r="AC91" s="22"/>
      <c r="AD91" s="22">
        <f t="shared" ca="1" si="35"/>
        <v>650000</v>
      </c>
      <c r="AE91" s="22">
        <f t="shared" ca="1" si="62"/>
        <v>53886500</v>
      </c>
      <c r="AF91" s="22">
        <f t="shared" ca="1" si="85"/>
        <v>0</v>
      </c>
      <c r="AG91" s="22">
        <f t="shared" ca="1" si="85"/>
        <v>0</v>
      </c>
      <c r="AH91" s="22">
        <f t="shared" ca="1" si="44"/>
        <v>0</v>
      </c>
      <c r="AI91" s="22"/>
      <c r="AJ91" s="22">
        <f t="shared" ca="1" si="63"/>
        <v>0</v>
      </c>
      <c r="AK91" s="22">
        <f t="shared" ca="1" si="64"/>
        <v>0</v>
      </c>
      <c r="AL91" s="22"/>
      <c r="AM91" s="22">
        <f t="shared" ref="AM91:AM102" ca="1" si="89">IF(AH91&lt;&gt;0,IF(VALUE(RIGHT(ROUND(AH91,0)))&lt;=5,ROUND(AH91,0)-VALUE(RIGHT(ROUND(AH91,0))),ROUND(AH91,0)+10-VALUE(RIGHT(ROUND(AH91,0)))),0)</f>
        <v>0</v>
      </c>
      <c r="AN91" s="22">
        <f t="shared" ca="1" si="46"/>
        <v>1693590</v>
      </c>
      <c r="AO91" s="22">
        <f t="shared" ca="1" si="76"/>
        <v>0</v>
      </c>
      <c r="AP91" s="22">
        <f t="shared" ca="1" si="77"/>
        <v>0</v>
      </c>
      <c r="AQ91" s="69">
        <f t="shared" ref="AQ91:AQ102" ca="1" si="90">IF(N91=0,0,MONTH(B90)+1)</f>
        <v>3</v>
      </c>
      <c r="AR91" s="69">
        <f t="shared" ca="1" si="47"/>
        <v>3</v>
      </c>
      <c r="AS91" s="4">
        <f t="shared" ref="AS91:AS102" ca="1" si="91">IF(N91=0,0,YEAR(B90))</f>
        <v>2029</v>
      </c>
      <c r="AT91" s="4">
        <f t="shared" ca="1" si="48"/>
        <v>2029</v>
      </c>
      <c r="AU91" s="4">
        <f t="shared" ca="1" si="49"/>
        <v>0</v>
      </c>
      <c r="AV91" s="4">
        <f t="shared" ca="1" si="50"/>
        <v>30</v>
      </c>
      <c r="AW91" s="4">
        <f t="shared" si="82"/>
        <v>20</v>
      </c>
      <c r="AX91" s="4">
        <f t="shared" ca="1" si="69"/>
        <v>28</v>
      </c>
      <c r="AY91" s="19">
        <f t="shared" ca="1" si="52"/>
        <v>33870</v>
      </c>
      <c r="AZ91" s="19"/>
      <c r="BA91" s="19"/>
      <c r="BB91" s="19"/>
      <c r="BC91" s="19"/>
      <c r="BD91" s="4">
        <f t="shared" ca="1" si="86"/>
        <v>1</v>
      </c>
      <c r="BE91" s="19"/>
      <c r="BF91" s="19"/>
      <c r="BG91" s="19"/>
      <c r="BH91" s="19"/>
      <c r="BI91" s="120"/>
      <c r="BJ91" s="19"/>
      <c r="BK91" s="19"/>
      <c r="BL91" s="19"/>
      <c r="BM91" s="19"/>
      <c r="BN91" s="19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</row>
    <row r="92" spans="1:146" s="24" customFormat="1" ht="15" customHeight="1">
      <c r="A92" s="4"/>
      <c r="B92" s="268">
        <f t="shared" ref="B92:B101" ca="1" si="92">IF(N92=0,IF(N91=1,"ИТОГО"," "),DATE(YEAR(B91),MONTH(B91)+1,O92))</f>
        <v>47228</v>
      </c>
      <c r="C92" s="268"/>
      <c r="D92" s="443">
        <f ca="1">IF(N92=0,IF(N88=1,SUM(D$26:E91)," "),IF(N92=0," ",IF(N93=1,D$54,IF(N93=0,IF(R92&lt;&gt;0,ROUNDUP(R92,-1),0)," "))))</f>
        <v>153940</v>
      </c>
      <c r="E92" s="443"/>
      <c r="F92" s="84">
        <f ca="1">IF(N92=0,IF(N91=1,SUM(F$26:F91)," "),IF(M$1=1,P92,IF(M$1=2,Q92," ")))</f>
        <v>88960</v>
      </c>
      <c r="G92" s="84">
        <f ca="1">IF(N92=0,IF(N91=1,SUM(G$26:G91)," "),IF(M$1=1,AF92,IF(M$1=2,AG92," ")))</f>
        <v>0</v>
      </c>
      <c r="H92" s="84">
        <f t="shared" ca="1" si="37"/>
        <v>242900</v>
      </c>
      <c r="I92" s="84">
        <f ca="1">IF(N92=0,IF(N87=1,SUM(I$26:I91)," "),IF(N92=0," ",IF(N93=1,I$54,IF(N93=0,IF(S92&lt;&gt;0,ROUNDUP(S92,-1),0)," "))))</f>
        <v>160290</v>
      </c>
      <c r="J92" s="84">
        <f t="shared" ca="1" si="80"/>
        <v>92620</v>
      </c>
      <c r="K92" s="84">
        <f t="shared" ca="1" si="81"/>
        <v>0</v>
      </c>
      <c r="L92" s="84">
        <f t="shared" ca="1" si="54"/>
        <v>252910</v>
      </c>
      <c r="M92" s="4">
        <v>63</v>
      </c>
      <c r="N92" s="4">
        <f t="shared" ca="1" si="55"/>
        <v>1</v>
      </c>
      <c r="O92" s="4">
        <f t="shared" ca="1" si="87"/>
        <v>20</v>
      </c>
      <c r="P92" s="22">
        <f t="shared" ca="1" si="83"/>
        <v>88960</v>
      </c>
      <c r="Q92" s="22">
        <f t="shared" ca="1" si="84"/>
        <v>88960</v>
      </c>
      <c r="R92" s="22">
        <f t="shared" ca="1" si="88"/>
        <v>1539650</v>
      </c>
      <c r="S92" s="22">
        <f t="shared" ca="1" si="70"/>
        <v>1603030</v>
      </c>
      <c r="T92" s="100">
        <f t="shared" ca="1" si="58"/>
        <v>105619.04166666666</v>
      </c>
      <c r="U92" s="22">
        <f t="shared" ca="1" si="59"/>
        <v>88960</v>
      </c>
      <c r="V92" s="22">
        <f t="shared" ca="1" si="71"/>
        <v>88956.652777777781</v>
      </c>
      <c r="W92" s="22">
        <f t="shared" ca="1" si="72"/>
        <v>88956.652777777781</v>
      </c>
      <c r="X92" s="22">
        <f t="shared" ca="1" si="73"/>
        <v>92619.041666666672</v>
      </c>
      <c r="Y92" s="22">
        <f t="shared" ca="1" si="60"/>
        <v>92620</v>
      </c>
      <c r="Z92" s="22">
        <f t="shared" ca="1" si="41"/>
        <v>650000</v>
      </c>
      <c r="AA92" s="22">
        <f t="shared" ca="1" si="61"/>
        <v>1843030</v>
      </c>
      <c r="AB92" s="22"/>
      <c r="AC92" s="22"/>
      <c r="AD92" s="22">
        <f t="shared" ref="AD92:AD102" ca="1" si="93">IF(Z92&lt;&gt;0,IF(VALUE(RIGHT(ROUND(Z92,0)))&lt;=5,ROUND(Z92,0)-VALUE(RIGHT(ROUND(Z92,0))),ROUND(Z92,0)+10-VALUE(RIGHT(ROUND(Z92,0)))),0)</f>
        <v>650000</v>
      </c>
      <c r="AE92" s="22">
        <f t="shared" ca="1" si="62"/>
        <v>49268300</v>
      </c>
      <c r="AF92" s="22">
        <f t="shared" ca="1" si="85"/>
        <v>0</v>
      </c>
      <c r="AG92" s="22">
        <f t="shared" ca="1" si="85"/>
        <v>0</v>
      </c>
      <c r="AH92" s="22">
        <f t="shared" ca="1" si="44"/>
        <v>0</v>
      </c>
      <c r="AI92" s="22"/>
      <c r="AJ92" s="22">
        <f t="shared" ca="1" si="63"/>
        <v>0</v>
      </c>
      <c r="AK92" s="22">
        <f t="shared" ca="1" si="64"/>
        <v>0</v>
      </c>
      <c r="AL92" s="22"/>
      <c r="AM92" s="22">
        <f t="shared" ca="1" si="89"/>
        <v>0</v>
      </c>
      <c r="AN92" s="22">
        <f t="shared" ca="1" si="46"/>
        <v>1539650</v>
      </c>
      <c r="AO92" s="22">
        <f t="shared" ca="1" si="76"/>
        <v>0</v>
      </c>
      <c r="AP92" s="22">
        <f t="shared" ca="1" si="77"/>
        <v>0</v>
      </c>
      <c r="AQ92" s="69">
        <f t="shared" ca="1" si="90"/>
        <v>4</v>
      </c>
      <c r="AR92" s="69">
        <f t="shared" ca="1" si="47"/>
        <v>4</v>
      </c>
      <c r="AS92" s="4">
        <f t="shared" ca="1" si="91"/>
        <v>2029</v>
      </c>
      <c r="AT92" s="4">
        <f t="shared" ca="1" si="48"/>
        <v>2029</v>
      </c>
      <c r="AU92" s="4">
        <f t="shared" ca="1" si="49"/>
        <v>0</v>
      </c>
      <c r="AV92" s="4">
        <f t="shared" ca="1" si="50"/>
        <v>30</v>
      </c>
      <c r="AW92" s="4">
        <f t="shared" si="82"/>
        <v>20</v>
      </c>
      <c r="AX92" s="4">
        <f t="shared" ca="1" si="69"/>
        <v>30</v>
      </c>
      <c r="AY92" s="19">
        <f t="shared" ca="1" si="52"/>
        <v>30790</v>
      </c>
      <c r="AZ92" s="19"/>
      <c r="BA92" s="19"/>
      <c r="BB92" s="19"/>
      <c r="BC92" s="19"/>
      <c r="BD92" s="4">
        <f t="shared" ca="1" si="86"/>
        <v>1</v>
      </c>
      <c r="BE92" s="19"/>
      <c r="BF92" s="19"/>
      <c r="BG92" s="19"/>
      <c r="BH92" s="19"/>
      <c r="BI92" s="120"/>
      <c r="BJ92" s="19"/>
      <c r="BK92" s="19"/>
      <c r="BL92" s="19"/>
      <c r="BM92" s="19"/>
      <c r="BN92" s="19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</row>
    <row r="93" spans="1:146" s="24" customFormat="1" ht="15" customHeight="1">
      <c r="A93" s="4"/>
      <c r="B93" s="268">
        <f t="shared" ca="1" si="92"/>
        <v>47258</v>
      </c>
      <c r="C93" s="268"/>
      <c r="D93" s="443">
        <f ca="1">IF(N93=0,IF(N89=1,SUM(D$26:E92)," "),IF(N93=0," ",IF(N94=1,D$54,IF(N94=0,IF(R93&lt;&gt;0,ROUNDUP(R93,-1),0)," "))))</f>
        <v>153940</v>
      </c>
      <c r="E93" s="443"/>
      <c r="F93" s="84">
        <f ca="1">IF(N93=0,IF(N92=1,SUM(F$26:F92)," "),IF(M$1=1,P93,IF(M$1=2,Q93," ")))</f>
        <v>80620</v>
      </c>
      <c r="G93" s="84">
        <f ca="1">IF(N93=0,IF(N92=1,SUM(G$26:G92)," "),IF(M$1=1,AF93,IF(M$1=2,AG93," ")))</f>
        <v>0</v>
      </c>
      <c r="H93" s="84">
        <f t="shared" ca="1" si="37"/>
        <v>234560</v>
      </c>
      <c r="I93" s="84">
        <f ca="1">IF(N93=0,IF(N88=1,SUM(I$26:I92)," "),IF(N93=0," ",IF(N94=1,I$54,IF(N94=0,IF(S93&lt;&gt;0,ROUNDUP(S93,-1),0)," "))))</f>
        <v>160290</v>
      </c>
      <c r="J93" s="84">
        <f t="shared" ca="1" si="80"/>
        <v>83940</v>
      </c>
      <c r="K93" s="84">
        <f t="shared" ca="1" si="81"/>
        <v>0</v>
      </c>
      <c r="L93" s="84">
        <f t="shared" ca="1" si="54"/>
        <v>244230</v>
      </c>
      <c r="M93" s="4">
        <v>64</v>
      </c>
      <c r="N93" s="4">
        <f t="shared" ca="1" si="55"/>
        <v>1</v>
      </c>
      <c r="O93" s="4">
        <f t="shared" ca="1" si="87"/>
        <v>20</v>
      </c>
      <c r="P93" s="22">
        <f t="shared" ca="1" si="83"/>
        <v>80620</v>
      </c>
      <c r="Q93" s="22">
        <f t="shared" ca="1" si="84"/>
        <v>80620</v>
      </c>
      <c r="R93" s="22">
        <f t="shared" ca="1" si="88"/>
        <v>1385710</v>
      </c>
      <c r="S93" s="22">
        <f t="shared" ca="1" si="70"/>
        <v>1442740</v>
      </c>
      <c r="T93" s="100">
        <f t="shared" ca="1" si="58"/>
        <v>96936.666666666657</v>
      </c>
      <c r="U93" s="22">
        <f t="shared" ca="1" si="59"/>
        <v>80620</v>
      </c>
      <c r="V93" s="22">
        <f t="shared" ca="1" si="71"/>
        <v>80618.236111111109</v>
      </c>
      <c r="W93" s="22">
        <f t="shared" ca="1" si="72"/>
        <v>80618.236111111109</v>
      </c>
      <c r="X93" s="22">
        <f t="shared" ca="1" si="73"/>
        <v>83936.666666666672</v>
      </c>
      <c r="Y93" s="22">
        <f t="shared" ca="1" si="60"/>
        <v>83940</v>
      </c>
      <c r="Z93" s="22">
        <f t="shared" ca="1" si="41"/>
        <v>650000</v>
      </c>
      <c r="AA93" s="22">
        <f t="shared" ca="1" si="61"/>
        <v>1682740</v>
      </c>
      <c r="AB93" s="22"/>
      <c r="AC93" s="22"/>
      <c r="AD93" s="22">
        <f t="shared" ca="1" si="93"/>
        <v>650000</v>
      </c>
      <c r="AE93" s="22">
        <f t="shared" ca="1" si="62"/>
        <v>44650100</v>
      </c>
      <c r="AF93" s="22">
        <f t="shared" ca="1" si="85"/>
        <v>0</v>
      </c>
      <c r="AG93" s="22">
        <f t="shared" ca="1" si="85"/>
        <v>0</v>
      </c>
      <c r="AH93" s="22">
        <f t="shared" ca="1" si="44"/>
        <v>0</v>
      </c>
      <c r="AI93" s="22"/>
      <c r="AJ93" s="22">
        <f t="shared" ca="1" si="63"/>
        <v>0</v>
      </c>
      <c r="AK93" s="22">
        <f t="shared" ca="1" si="64"/>
        <v>0</v>
      </c>
      <c r="AL93" s="22"/>
      <c r="AM93" s="22">
        <f t="shared" ca="1" si="89"/>
        <v>0</v>
      </c>
      <c r="AN93" s="22">
        <f t="shared" ca="1" si="46"/>
        <v>1385710</v>
      </c>
      <c r="AO93" s="22">
        <f t="shared" ca="1" si="76"/>
        <v>0</v>
      </c>
      <c r="AP93" s="22">
        <f t="shared" ca="1" si="77"/>
        <v>0</v>
      </c>
      <c r="AQ93" s="69">
        <f t="shared" ca="1" si="90"/>
        <v>5</v>
      </c>
      <c r="AR93" s="69">
        <f t="shared" ca="1" si="47"/>
        <v>5</v>
      </c>
      <c r="AS93" s="4">
        <f t="shared" ca="1" si="91"/>
        <v>2029</v>
      </c>
      <c r="AT93" s="4">
        <f t="shared" ca="1" si="48"/>
        <v>2029</v>
      </c>
      <c r="AU93" s="4">
        <f t="shared" ca="1" si="49"/>
        <v>0</v>
      </c>
      <c r="AV93" s="4">
        <f t="shared" ca="1" si="50"/>
        <v>30</v>
      </c>
      <c r="AW93" s="4">
        <f t="shared" si="82"/>
        <v>20</v>
      </c>
      <c r="AX93" s="4">
        <f t="shared" ca="1" si="69"/>
        <v>30</v>
      </c>
      <c r="AY93" s="19">
        <f t="shared" ca="1" si="52"/>
        <v>27710</v>
      </c>
      <c r="AZ93" s="19"/>
      <c r="BA93" s="19"/>
      <c r="BB93" s="19"/>
      <c r="BC93" s="19"/>
      <c r="BD93" s="4">
        <f t="shared" ca="1" si="86"/>
        <v>1</v>
      </c>
      <c r="BE93" s="19"/>
      <c r="BF93" s="19"/>
      <c r="BG93" s="19"/>
      <c r="BH93" s="19"/>
      <c r="BI93" s="120"/>
      <c r="BJ93" s="19"/>
      <c r="BK93" s="19"/>
      <c r="BL93" s="19"/>
      <c r="BM93" s="19"/>
      <c r="BN93" s="19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</row>
    <row r="94" spans="1:146" s="24" customFormat="1" ht="15" customHeight="1">
      <c r="A94" s="4"/>
      <c r="B94" s="268">
        <f t="shared" ca="1" si="92"/>
        <v>47289</v>
      </c>
      <c r="C94" s="268"/>
      <c r="D94" s="443">
        <f ca="1">IF(N94=0,IF(N90=1,SUM(D$26:E93)," "),IF(N94=0," ",IF(N95=1,D$54,IF(N95=0,IF(R94&lt;&gt;0,ROUNDUP(R94,-1),0)," "))))</f>
        <v>153940</v>
      </c>
      <c r="E94" s="443"/>
      <c r="F94" s="84">
        <f ca="1">IF(N94=0,IF(N93=1,SUM(F$26:F93)," "),IF(M$1=1,P94,IF(M$1=2,Q94," ")))</f>
        <v>72280</v>
      </c>
      <c r="G94" s="84">
        <f ca="1">IF(N94=0,IF(N93=1,SUM(G$26:G93)," "),IF(M$1=1,AF94,IF(M$1=2,AG94," ")))</f>
        <v>0</v>
      </c>
      <c r="H94" s="84">
        <f t="shared" ca="1" si="37"/>
        <v>226220</v>
      </c>
      <c r="I94" s="84">
        <f ca="1">IF(N94=0,IF(N89=1,SUM(I$26:I93)," "),IF(N94=0," ",IF(N95=1,I$54,IF(N95=0,IF(S94&lt;&gt;0,ROUNDUP(S94,-1),0)," "))))</f>
        <v>160290</v>
      </c>
      <c r="J94" s="84">
        <f t="shared" ca="1" si="80"/>
        <v>75250</v>
      </c>
      <c r="K94" s="84">
        <f t="shared" ca="1" si="81"/>
        <v>0</v>
      </c>
      <c r="L94" s="84">
        <f t="shared" ca="1" si="54"/>
        <v>235540</v>
      </c>
      <c r="M94" s="4">
        <v>65</v>
      </c>
      <c r="N94" s="4">
        <f t="shared" ca="1" si="55"/>
        <v>1</v>
      </c>
      <c r="O94" s="4">
        <f t="shared" ca="1" si="87"/>
        <v>20</v>
      </c>
      <c r="P94" s="22">
        <f t="shared" ca="1" si="83"/>
        <v>72280</v>
      </c>
      <c r="Q94" s="22">
        <f t="shared" ca="1" si="84"/>
        <v>72280</v>
      </c>
      <c r="R94" s="22">
        <f t="shared" ca="1" si="88"/>
        <v>1231770</v>
      </c>
      <c r="S94" s="22">
        <f t="shared" ca="1" si="70"/>
        <v>1282450</v>
      </c>
      <c r="T94" s="100">
        <f t="shared" ca="1" si="58"/>
        <v>88254.291666666657</v>
      </c>
      <c r="U94" s="22">
        <f t="shared" ca="1" si="59"/>
        <v>72280</v>
      </c>
      <c r="V94" s="22">
        <f t="shared" ca="1" si="71"/>
        <v>72279.819444444453</v>
      </c>
      <c r="W94" s="22">
        <f t="shared" ca="1" si="72"/>
        <v>72279.819444444453</v>
      </c>
      <c r="X94" s="22">
        <f t="shared" ca="1" si="73"/>
        <v>75254.291666666672</v>
      </c>
      <c r="Y94" s="22">
        <f t="shared" ca="1" si="60"/>
        <v>75250</v>
      </c>
      <c r="Z94" s="22">
        <f t="shared" ca="1" si="41"/>
        <v>650000</v>
      </c>
      <c r="AA94" s="22">
        <f t="shared" ca="1" si="61"/>
        <v>1522450</v>
      </c>
      <c r="AB94" s="22"/>
      <c r="AC94" s="22"/>
      <c r="AD94" s="22">
        <f t="shared" ca="1" si="93"/>
        <v>650000</v>
      </c>
      <c r="AE94" s="22">
        <f t="shared" ca="1" si="62"/>
        <v>40031900</v>
      </c>
      <c r="AF94" s="22">
        <f t="shared" ca="1" si="85"/>
        <v>0</v>
      </c>
      <c r="AG94" s="22">
        <f t="shared" ca="1" si="85"/>
        <v>0</v>
      </c>
      <c r="AH94" s="22">
        <f t="shared" ca="1" si="44"/>
        <v>0</v>
      </c>
      <c r="AI94" s="22"/>
      <c r="AJ94" s="22">
        <f t="shared" ca="1" si="63"/>
        <v>0</v>
      </c>
      <c r="AK94" s="22">
        <f t="shared" ca="1" si="64"/>
        <v>0</v>
      </c>
      <c r="AL94" s="22"/>
      <c r="AM94" s="22">
        <f t="shared" ca="1" si="89"/>
        <v>0</v>
      </c>
      <c r="AN94" s="22">
        <f t="shared" ca="1" si="46"/>
        <v>1231770</v>
      </c>
      <c r="AO94" s="22">
        <f t="shared" ca="1" si="76"/>
        <v>0</v>
      </c>
      <c r="AP94" s="22">
        <f t="shared" ca="1" si="77"/>
        <v>0</v>
      </c>
      <c r="AQ94" s="69">
        <f t="shared" ca="1" si="90"/>
        <v>6</v>
      </c>
      <c r="AR94" s="69">
        <f t="shared" ca="1" si="47"/>
        <v>6</v>
      </c>
      <c r="AS94" s="4">
        <f t="shared" ca="1" si="91"/>
        <v>2029</v>
      </c>
      <c r="AT94" s="4">
        <f t="shared" ca="1" si="48"/>
        <v>2029</v>
      </c>
      <c r="AU94" s="4">
        <f t="shared" ca="1" si="49"/>
        <v>0</v>
      </c>
      <c r="AV94" s="4">
        <f t="shared" ca="1" si="50"/>
        <v>30</v>
      </c>
      <c r="AW94" s="4">
        <f t="shared" si="82"/>
        <v>20</v>
      </c>
      <c r="AX94" s="4">
        <f t="shared" ca="1" si="69"/>
        <v>30</v>
      </c>
      <c r="AY94" s="19">
        <f t="shared" ca="1" si="52"/>
        <v>24630</v>
      </c>
      <c r="AZ94" s="19"/>
      <c r="BA94" s="19"/>
      <c r="BB94" s="19"/>
      <c r="BC94" s="19"/>
      <c r="BD94" s="4">
        <f t="shared" ca="1" si="86"/>
        <v>1</v>
      </c>
      <c r="BE94" s="19"/>
      <c r="BF94" s="19"/>
      <c r="BG94" s="19"/>
      <c r="BH94" s="19"/>
      <c r="BI94" s="120"/>
      <c r="BJ94" s="19"/>
      <c r="BK94" s="19"/>
      <c r="BL94" s="19"/>
      <c r="BM94" s="19"/>
      <c r="BN94" s="19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</row>
    <row r="95" spans="1:146" s="24" customFormat="1" ht="15" customHeight="1">
      <c r="A95" s="4"/>
      <c r="B95" s="268">
        <f t="shared" ca="1" si="92"/>
        <v>47319</v>
      </c>
      <c r="C95" s="268"/>
      <c r="D95" s="443">
        <f ca="1">IF(N95=0,IF(N91=1,SUM(D$26:E94)," "),IF(N95=0," ",IF(N96=1,D$54,IF(N96=0,IF(R95&lt;&gt;0,ROUNDUP(R95,-1),0)," "))))</f>
        <v>153940</v>
      </c>
      <c r="E95" s="443"/>
      <c r="F95" s="84">
        <f ca="1">IF(N95=0,IF(N94=1,SUM(F$26:F94)," "),IF(M$1=1,P95,IF(M$1=2,Q95," ")))</f>
        <v>63940</v>
      </c>
      <c r="G95" s="84">
        <f ca="1">IF(N95=0,IF(N94=1,SUM(G$26:G94)," "),IF(M$1=1,AF95,IF(M$1=2,AG95," ")))</f>
        <v>0</v>
      </c>
      <c r="H95" s="84">
        <f t="shared" ca="1" si="37"/>
        <v>217880</v>
      </c>
      <c r="I95" s="84">
        <f ca="1">IF(N95=0,IF(N90=1,SUM(I$26:I94)," "),IF(N95=0," ",IF(N96=1,I$54,IF(N96=0,IF(S95&lt;&gt;0,ROUNDUP(S95,-1),0)," "))))</f>
        <v>160290</v>
      </c>
      <c r="J95" s="84">
        <f t="shared" ca="1" si="80"/>
        <v>66570</v>
      </c>
      <c r="K95" s="84">
        <f t="shared" ca="1" si="81"/>
        <v>0</v>
      </c>
      <c r="L95" s="84">
        <f t="shared" ca="1" si="54"/>
        <v>226860</v>
      </c>
      <c r="M95" s="4">
        <v>66</v>
      </c>
      <c r="N95" s="4">
        <f t="shared" ca="1" si="55"/>
        <v>1</v>
      </c>
      <c r="O95" s="4">
        <f t="shared" ca="1" si="87"/>
        <v>20</v>
      </c>
      <c r="P95" s="22">
        <f t="shared" ca="1" si="83"/>
        <v>63940</v>
      </c>
      <c r="Q95" s="22">
        <f t="shared" ca="1" si="84"/>
        <v>63940</v>
      </c>
      <c r="R95" s="22">
        <f t="shared" ca="1" si="88"/>
        <v>1077830</v>
      </c>
      <c r="S95" s="22">
        <f t="shared" ca="1" si="70"/>
        <v>1122160</v>
      </c>
      <c r="T95" s="100">
        <f t="shared" ca="1" si="58"/>
        <v>79571.916666666657</v>
      </c>
      <c r="U95" s="22">
        <f t="shared" ca="1" si="59"/>
        <v>63940</v>
      </c>
      <c r="V95" s="22">
        <f t="shared" ca="1" si="71"/>
        <v>63941.402777777781</v>
      </c>
      <c r="W95" s="22">
        <f t="shared" ca="1" si="72"/>
        <v>63941.402777777781</v>
      </c>
      <c r="X95" s="22">
        <f t="shared" ca="1" si="73"/>
        <v>66571.916666666672</v>
      </c>
      <c r="Y95" s="22">
        <f t="shared" ca="1" si="60"/>
        <v>66570</v>
      </c>
      <c r="Z95" s="22">
        <f t="shared" ca="1" si="41"/>
        <v>650000</v>
      </c>
      <c r="AA95" s="22">
        <f t="shared" ca="1" si="61"/>
        <v>1362160</v>
      </c>
      <c r="AB95" s="22"/>
      <c r="AC95" s="22"/>
      <c r="AD95" s="22">
        <f t="shared" ca="1" si="93"/>
        <v>650000</v>
      </c>
      <c r="AE95" s="22">
        <f t="shared" ca="1" si="62"/>
        <v>35413700</v>
      </c>
      <c r="AF95" s="22">
        <f t="shared" ca="1" si="85"/>
        <v>0</v>
      </c>
      <c r="AG95" s="22">
        <f t="shared" ca="1" si="85"/>
        <v>0</v>
      </c>
      <c r="AH95" s="22">
        <f t="shared" ca="1" si="44"/>
        <v>0</v>
      </c>
      <c r="AI95" s="22"/>
      <c r="AJ95" s="22">
        <f t="shared" ca="1" si="63"/>
        <v>0</v>
      </c>
      <c r="AK95" s="22">
        <f t="shared" ca="1" si="64"/>
        <v>0</v>
      </c>
      <c r="AL95" s="22"/>
      <c r="AM95" s="22">
        <f t="shared" ca="1" si="89"/>
        <v>0</v>
      </c>
      <c r="AN95" s="22">
        <f t="shared" ca="1" si="46"/>
        <v>1077830</v>
      </c>
      <c r="AO95" s="22">
        <f t="shared" ca="1" si="76"/>
        <v>0</v>
      </c>
      <c r="AP95" s="22">
        <f t="shared" ca="1" si="77"/>
        <v>0</v>
      </c>
      <c r="AQ95" s="69">
        <f t="shared" ca="1" si="90"/>
        <v>7</v>
      </c>
      <c r="AR95" s="69">
        <f t="shared" ca="1" si="47"/>
        <v>7</v>
      </c>
      <c r="AS95" s="4">
        <f t="shared" ca="1" si="91"/>
        <v>2029</v>
      </c>
      <c r="AT95" s="4">
        <f t="shared" ca="1" si="48"/>
        <v>2029</v>
      </c>
      <c r="AU95" s="4">
        <f t="shared" ca="1" si="49"/>
        <v>0</v>
      </c>
      <c r="AV95" s="4">
        <f t="shared" ca="1" si="50"/>
        <v>30</v>
      </c>
      <c r="AW95" s="4">
        <f t="shared" si="82"/>
        <v>20</v>
      </c>
      <c r="AX95" s="4">
        <f t="shared" ca="1" si="69"/>
        <v>30</v>
      </c>
      <c r="AY95" s="19">
        <f t="shared" ca="1" si="52"/>
        <v>21560</v>
      </c>
      <c r="AZ95" s="19"/>
      <c r="BA95" s="19"/>
      <c r="BB95" s="19"/>
      <c r="BC95" s="19"/>
      <c r="BD95" s="4">
        <f t="shared" ca="1" si="86"/>
        <v>1</v>
      </c>
      <c r="BE95" s="19"/>
      <c r="BF95" s="19"/>
      <c r="BG95" s="19"/>
      <c r="BH95" s="19"/>
      <c r="BI95" s="120"/>
      <c r="BJ95" s="19"/>
      <c r="BK95" s="19"/>
      <c r="BL95" s="19"/>
      <c r="BM95" s="19"/>
      <c r="BN95" s="19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</row>
    <row r="96" spans="1:146" s="24" customFormat="1" ht="15" customHeight="1">
      <c r="A96" s="4"/>
      <c r="B96" s="268">
        <f t="shared" ca="1" si="92"/>
        <v>47350</v>
      </c>
      <c r="C96" s="268"/>
      <c r="D96" s="443">
        <f ca="1">IF(N96=0,IF(N92=1,SUM(D$26:E95)," "),IF(N96=0," ",IF(N97=1,D$54,IF(N97=0,IF(R96&lt;&gt;0,ROUNDUP(R96,-1),0)," "))))</f>
        <v>153940</v>
      </c>
      <c r="E96" s="443"/>
      <c r="F96" s="84">
        <f ca="1">IF(N96=0,IF(N95=1,SUM(F$26:F95)," "),IF(M$1=1,P96,IF(M$1=2,Q96," ")))</f>
        <v>55600</v>
      </c>
      <c r="G96" s="84">
        <f ca="1">IF(N96=0,IF(N95=1,SUM(G$26:G95)," "),IF(M$1=1,AF96,IF(M$1=2,AG96," ")))</f>
        <v>0</v>
      </c>
      <c r="H96" s="84">
        <f t="shared" ca="1" si="37"/>
        <v>209540</v>
      </c>
      <c r="I96" s="84">
        <f ca="1">IF(N96=0,IF(N91=1,SUM(I$26:I95)," "),IF(N96=0," ",IF(N97=1,I$54,IF(N97=0,IF(S96&lt;&gt;0,ROUNDUP(S96,-1),0)," "))))</f>
        <v>160290</v>
      </c>
      <c r="J96" s="84">
        <f t="shared" ca="1" si="80"/>
        <v>57890</v>
      </c>
      <c r="K96" s="84">
        <f t="shared" ca="1" si="81"/>
        <v>0</v>
      </c>
      <c r="L96" s="84">
        <f t="shared" ca="1" si="54"/>
        <v>218180</v>
      </c>
      <c r="M96" s="4">
        <v>67</v>
      </c>
      <c r="N96" s="4">
        <f t="shared" ca="1" si="55"/>
        <v>1</v>
      </c>
      <c r="O96" s="4">
        <f t="shared" ca="1" si="87"/>
        <v>20</v>
      </c>
      <c r="P96" s="22">
        <f t="shared" ca="1" si="83"/>
        <v>55600</v>
      </c>
      <c r="Q96" s="22">
        <f t="shared" ca="1" si="84"/>
        <v>55600</v>
      </c>
      <c r="R96" s="22">
        <f t="shared" ca="1" si="88"/>
        <v>923890</v>
      </c>
      <c r="S96" s="22">
        <f t="shared" ca="1" si="70"/>
        <v>961870</v>
      </c>
      <c r="T96" s="100">
        <f t="shared" ca="1" si="58"/>
        <v>70889.541666666657</v>
      </c>
      <c r="U96" s="22">
        <f t="shared" ca="1" si="59"/>
        <v>55600</v>
      </c>
      <c r="V96" s="22">
        <f t="shared" ca="1" si="71"/>
        <v>55602.986111111109</v>
      </c>
      <c r="W96" s="22">
        <f t="shared" ca="1" si="72"/>
        <v>55602.986111111109</v>
      </c>
      <c r="X96" s="22">
        <f t="shared" ca="1" si="73"/>
        <v>57889.541666666672</v>
      </c>
      <c r="Y96" s="22">
        <f t="shared" ca="1" si="60"/>
        <v>57890</v>
      </c>
      <c r="Z96" s="22">
        <f t="shared" ca="1" si="41"/>
        <v>650000</v>
      </c>
      <c r="AA96" s="22">
        <f t="shared" ca="1" si="61"/>
        <v>1201870</v>
      </c>
      <c r="AB96" s="22"/>
      <c r="AC96" s="22"/>
      <c r="AD96" s="22">
        <f t="shared" ca="1" si="93"/>
        <v>650000</v>
      </c>
      <c r="AE96" s="22">
        <f t="shared" ca="1" si="62"/>
        <v>30795500</v>
      </c>
      <c r="AF96" s="22">
        <f t="shared" ca="1" si="85"/>
        <v>0</v>
      </c>
      <c r="AG96" s="22">
        <f t="shared" ca="1" si="85"/>
        <v>0</v>
      </c>
      <c r="AH96" s="22">
        <f t="shared" ca="1" si="44"/>
        <v>0</v>
      </c>
      <c r="AI96" s="22"/>
      <c r="AJ96" s="22">
        <f t="shared" ca="1" si="63"/>
        <v>0</v>
      </c>
      <c r="AK96" s="22">
        <f t="shared" ca="1" si="64"/>
        <v>0</v>
      </c>
      <c r="AL96" s="22"/>
      <c r="AM96" s="22">
        <f t="shared" ca="1" si="89"/>
        <v>0</v>
      </c>
      <c r="AN96" s="22">
        <f t="shared" ca="1" si="46"/>
        <v>923890</v>
      </c>
      <c r="AO96" s="22">
        <f t="shared" ca="1" si="76"/>
        <v>0</v>
      </c>
      <c r="AP96" s="22">
        <f t="shared" ca="1" si="77"/>
        <v>0</v>
      </c>
      <c r="AQ96" s="69">
        <f t="shared" ca="1" si="90"/>
        <v>8</v>
      </c>
      <c r="AR96" s="69">
        <f t="shared" ca="1" si="47"/>
        <v>8</v>
      </c>
      <c r="AS96" s="4">
        <f t="shared" ca="1" si="91"/>
        <v>2029</v>
      </c>
      <c r="AT96" s="4">
        <f t="shared" ca="1" si="48"/>
        <v>2029</v>
      </c>
      <c r="AU96" s="4">
        <f t="shared" ca="1" si="49"/>
        <v>0</v>
      </c>
      <c r="AV96" s="4">
        <f t="shared" ca="1" si="50"/>
        <v>30</v>
      </c>
      <c r="AW96" s="4">
        <f t="shared" si="82"/>
        <v>20</v>
      </c>
      <c r="AX96" s="4">
        <f t="shared" ca="1" si="69"/>
        <v>30</v>
      </c>
      <c r="AY96" s="19">
        <f t="shared" ca="1" si="52"/>
        <v>18480</v>
      </c>
      <c r="AZ96" s="19"/>
      <c r="BA96" s="19"/>
      <c r="BB96" s="19"/>
      <c r="BC96" s="19"/>
      <c r="BD96" s="4">
        <f t="shared" ca="1" si="86"/>
        <v>1</v>
      </c>
      <c r="BE96" s="19"/>
      <c r="BF96" s="19"/>
      <c r="BG96" s="19"/>
      <c r="BH96" s="19"/>
      <c r="BI96" s="120"/>
      <c r="BJ96" s="19"/>
      <c r="BK96" s="19"/>
      <c r="BL96" s="19"/>
      <c r="BM96" s="19"/>
      <c r="BN96" s="19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</row>
    <row r="97" spans="1:146" s="24" customFormat="1" ht="15" customHeight="1">
      <c r="A97" s="4"/>
      <c r="B97" s="268">
        <f t="shared" ca="1" si="92"/>
        <v>47381</v>
      </c>
      <c r="C97" s="268"/>
      <c r="D97" s="443">
        <f ca="1">IF(N97=0,IF(N93=1,SUM(D$26:E96)," "),IF(N97=0," ",IF(N98=1,D$54,IF(N98=0,IF(R97&lt;&gt;0,ROUNDUP(R97,-1),0)," "))))</f>
        <v>153940</v>
      </c>
      <c r="E97" s="443"/>
      <c r="F97" s="84">
        <f ca="1">IF(N97=0,IF(N96=1,SUM(F$26:F96)," "),IF(M$1=1,P97,IF(M$1=2,Q97," ")))</f>
        <v>47260</v>
      </c>
      <c r="G97" s="84">
        <f ca="1">IF(N97=0,IF(N96=1,SUM(G$26:G96)," "),IF(M$1=1,AF97,IF(M$1=2,AG97," ")))</f>
        <v>0</v>
      </c>
      <c r="H97" s="84">
        <f t="shared" ca="1" si="37"/>
        <v>201200</v>
      </c>
      <c r="I97" s="84">
        <f ca="1">IF(N97=0,IF(N92=1,SUM(I$26:I96)," "),IF(N97=0," ",IF(N98=1,I$54,IF(N98=0,IF(S97&lt;&gt;0,ROUNDUP(S97,-1),0)," "))))</f>
        <v>160290</v>
      </c>
      <c r="J97" s="84">
        <f t="shared" ca="1" si="80"/>
        <v>49210</v>
      </c>
      <c r="K97" s="84">
        <f t="shared" ca="1" si="81"/>
        <v>0</v>
      </c>
      <c r="L97" s="84">
        <f t="shared" ca="1" si="54"/>
        <v>209500</v>
      </c>
      <c r="M97" s="4">
        <v>68</v>
      </c>
      <c r="N97" s="4">
        <f t="shared" ca="1" si="55"/>
        <v>1</v>
      </c>
      <c r="O97" s="4">
        <f t="shared" ca="1" si="87"/>
        <v>20</v>
      </c>
      <c r="P97" s="22">
        <f t="shared" ca="1" si="83"/>
        <v>47260</v>
      </c>
      <c r="Q97" s="22">
        <f t="shared" ca="1" si="84"/>
        <v>47260</v>
      </c>
      <c r="R97" s="22">
        <f t="shared" ca="1" si="88"/>
        <v>769950</v>
      </c>
      <c r="S97" s="22">
        <f t="shared" ca="1" si="70"/>
        <v>801580</v>
      </c>
      <c r="T97" s="100">
        <f t="shared" ca="1" si="58"/>
        <v>62207.166666666664</v>
      </c>
      <c r="U97" s="22">
        <f t="shared" ca="1" si="59"/>
        <v>47260</v>
      </c>
      <c r="V97" s="22">
        <f t="shared" ca="1" si="71"/>
        <v>47264.569444444445</v>
      </c>
      <c r="W97" s="22">
        <f t="shared" ca="1" si="72"/>
        <v>47264.569444444445</v>
      </c>
      <c r="X97" s="22">
        <f t="shared" ca="1" si="73"/>
        <v>49207.166666666672</v>
      </c>
      <c r="Y97" s="22">
        <f t="shared" ca="1" si="60"/>
        <v>49210</v>
      </c>
      <c r="Z97" s="22">
        <f t="shared" ca="1" si="41"/>
        <v>650000</v>
      </c>
      <c r="AA97" s="22">
        <f t="shared" ca="1" si="61"/>
        <v>1041580</v>
      </c>
      <c r="AB97" s="22"/>
      <c r="AC97" s="22"/>
      <c r="AD97" s="22">
        <f t="shared" ca="1" si="93"/>
        <v>650000</v>
      </c>
      <c r="AE97" s="22">
        <f t="shared" ca="1" si="62"/>
        <v>26177300</v>
      </c>
      <c r="AF97" s="22">
        <f t="shared" ca="1" si="85"/>
        <v>0</v>
      </c>
      <c r="AG97" s="22">
        <f t="shared" ca="1" si="85"/>
        <v>0</v>
      </c>
      <c r="AH97" s="22">
        <f t="shared" ca="1" si="44"/>
        <v>0</v>
      </c>
      <c r="AI97" s="22"/>
      <c r="AJ97" s="22">
        <f t="shared" ca="1" si="63"/>
        <v>0</v>
      </c>
      <c r="AK97" s="22">
        <f t="shared" ca="1" si="64"/>
        <v>0</v>
      </c>
      <c r="AL97" s="22"/>
      <c r="AM97" s="22">
        <f t="shared" ca="1" si="89"/>
        <v>0</v>
      </c>
      <c r="AN97" s="22">
        <f t="shared" ca="1" si="46"/>
        <v>769950</v>
      </c>
      <c r="AO97" s="22">
        <f t="shared" ca="1" si="76"/>
        <v>0</v>
      </c>
      <c r="AP97" s="22">
        <f t="shared" ca="1" si="77"/>
        <v>0</v>
      </c>
      <c r="AQ97" s="69">
        <f t="shared" ca="1" si="90"/>
        <v>9</v>
      </c>
      <c r="AR97" s="69">
        <f t="shared" ca="1" si="47"/>
        <v>9</v>
      </c>
      <c r="AS97" s="4">
        <f t="shared" ca="1" si="91"/>
        <v>2029</v>
      </c>
      <c r="AT97" s="4">
        <f t="shared" ca="1" si="48"/>
        <v>2029</v>
      </c>
      <c r="AU97" s="4">
        <f t="shared" ca="1" si="49"/>
        <v>0</v>
      </c>
      <c r="AV97" s="4">
        <f t="shared" ca="1" si="50"/>
        <v>30</v>
      </c>
      <c r="AW97" s="4">
        <f t="shared" si="82"/>
        <v>20</v>
      </c>
      <c r="AX97" s="4">
        <f t="shared" ca="1" si="69"/>
        <v>30</v>
      </c>
      <c r="AY97" s="19">
        <f t="shared" ca="1" si="52"/>
        <v>15400</v>
      </c>
      <c r="AZ97" s="19"/>
      <c r="BA97" s="19"/>
      <c r="BB97" s="19"/>
      <c r="BC97" s="19"/>
      <c r="BD97" s="4">
        <f t="shared" ca="1" si="86"/>
        <v>1</v>
      </c>
      <c r="BE97" s="19"/>
      <c r="BF97" s="19"/>
      <c r="BG97" s="19"/>
      <c r="BH97" s="19"/>
      <c r="BI97" s="120"/>
      <c r="BJ97" s="19"/>
      <c r="BK97" s="19"/>
      <c r="BL97" s="19"/>
      <c r="BM97" s="19"/>
      <c r="BN97" s="19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</row>
    <row r="98" spans="1:146" s="24" customFormat="1" ht="15" customHeight="1">
      <c r="A98" s="4"/>
      <c r="B98" s="268">
        <f t="shared" ca="1" si="92"/>
        <v>47411</v>
      </c>
      <c r="C98" s="268"/>
      <c r="D98" s="443">
        <f ca="1">IF(N98=0,IF(N94=1,SUM(D$26:E97)," "),IF(N98=0," ",IF(N99=1,D$54,IF(N99=0,IF(R98&lt;&gt;0,ROUNDUP(R98,-1),0)," "))))</f>
        <v>153940</v>
      </c>
      <c r="E98" s="443"/>
      <c r="F98" s="84">
        <f ca="1">IF(N98=0,IF(N97=1,SUM(F$26:F97)," "),IF(M$1=1,P98,IF(M$1=2,Q98," ")))</f>
        <v>38930</v>
      </c>
      <c r="G98" s="84">
        <f ca="1">IF(N98=0,IF(N97=1,SUM(G$26:G97)," "),IF(M$1=1,AF98,IF(M$1=2,AG98," ")))</f>
        <v>0</v>
      </c>
      <c r="H98" s="84">
        <f t="shared" ca="1" si="37"/>
        <v>192870</v>
      </c>
      <c r="I98" s="84">
        <f ca="1">IF(N98=0,IF(N93=1,SUM(I$26:I97)," "),IF(N98=0," ",IF(N99=1,I$54,IF(N99=0,IF(S98&lt;&gt;0,ROUNDUP(S98,-1),0)," "))))</f>
        <v>160290</v>
      </c>
      <c r="J98" s="84">
        <f t="shared" ca="1" si="80"/>
        <v>40520</v>
      </c>
      <c r="K98" s="84">
        <f t="shared" ca="1" si="81"/>
        <v>0</v>
      </c>
      <c r="L98" s="84">
        <f t="shared" ca="1" si="54"/>
        <v>200810</v>
      </c>
      <c r="M98" s="4">
        <v>69</v>
      </c>
      <c r="N98" s="4">
        <f t="shared" ca="1" si="55"/>
        <v>1</v>
      </c>
      <c r="O98" s="4">
        <f t="shared" ca="1" si="87"/>
        <v>20</v>
      </c>
      <c r="P98" s="22">
        <f t="shared" ca="1" si="83"/>
        <v>38930</v>
      </c>
      <c r="Q98" s="22">
        <f t="shared" ca="1" si="84"/>
        <v>38930</v>
      </c>
      <c r="R98" s="22">
        <f t="shared" ca="1" si="88"/>
        <v>616010</v>
      </c>
      <c r="S98" s="22">
        <f t="shared" ca="1" si="70"/>
        <v>641290</v>
      </c>
      <c r="T98" s="100">
        <f t="shared" ca="1" si="58"/>
        <v>53524.791666666664</v>
      </c>
      <c r="U98" s="22">
        <f t="shared" ca="1" si="59"/>
        <v>38930</v>
      </c>
      <c r="V98" s="22">
        <f t="shared" ca="1" si="71"/>
        <v>38926.152777777781</v>
      </c>
      <c r="W98" s="22">
        <f t="shared" ca="1" si="72"/>
        <v>38926.152777777781</v>
      </c>
      <c r="X98" s="22">
        <f t="shared" ca="1" si="73"/>
        <v>40524.791666666672</v>
      </c>
      <c r="Y98" s="22">
        <f t="shared" ca="1" si="60"/>
        <v>40520</v>
      </c>
      <c r="Z98" s="22">
        <f t="shared" ca="1" si="41"/>
        <v>650000</v>
      </c>
      <c r="AA98" s="22">
        <f t="shared" ca="1" si="61"/>
        <v>881290</v>
      </c>
      <c r="AB98" s="22"/>
      <c r="AC98" s="22"/>
      <c r="AD98" s="22">
        <f t="shared" ca="1" si="93"/>
        <v>650000</v>
      </c>
      <c r="AE98" s="22">
        <f t="shared" ca="1" si="62"/>
        <v>21559100</v>
      </c>
      <c r="AF98" s="22">
        <f t="shared" ca="1" si="85"/>
        <v>0</v>
      </c>
      <c r="AG98" s="22">
        <f t="shared" ca="1" si="85"/>
        <v>0</v>
      </c>
      <c r="AH98" s="22">
        <f t="shared" ca="1" si="44"/>
        <v>0</v>
      </c>
      <c r="AI98" s="22"/>
      <c r="AJ98" s="22">
        <f t="shared" ca="1" si="63"/>
        <v>0</v>
      </c>
      <c r="AK98" s="22">
        <f t="shared" ca="1" si="64"/>
        <v>0</v>
      </c>
      <c r="AL98" s="22"/>
      <c r="AM98" s="22">
        <f t="shared" ca="1" si="89"/>
        <v>0</v>
      </c>
      <c r="AN98" s="22">
        <f t="shared" ca="1" si="46"/>
        <v>616010</v>
      </c>
      <c r="AO98" s="22">
        <f t="shared" ca="1" si="76"/>
        <v>0</v>
      </c>
      <c r="AP98" s="22">
        <f t="shared" ca="1" si="77"/>
        <v>0</v>
      </c>
      <c r="AQ98" s="69">
        <f t="shared" ca="1" si="90"/>
        <v>10</v>
      </c>
      <c r="AR98" s="69">
        <f t="shared" ca="1" si="47"/>
        <v>10</v>
      </c>
      <c r="AS98" s="4">
        <f t="shared" ca="1" si="91"/>
        <v>2029</v>
      </c>
      <c r="AT98" s="4">
        <f t="shared" ca="1" si="48"/>
        <v>2029</v>
      </c>
      <c r="AU98" s="4">
        <f t="shared" ca="1" si="49"/>
        <v>0</v>
      </c>
      <c r="AV98" s="4">
        <f t="shared" ca="1" si="50"/>
        <v>30</v>
      </c>
      <c r="AW98" s="4">
        <f t="shared" si="82"/>
        <v>20</v>
      </c>
      <c r="AX98" s="4">
        <f t="shared" ca="1" si="69"/>
        <v>30</v>
      </c>
      <c r="AY98" s="19">
        <f t="shared" ca="1" si="52"/>
        <v>12320</v>
      </c>
      <c r="AZ98" s="19"/>
      <c r="BA98" s="19"/>
      <c r="BB98" s="19"/>
      <c r="BC98" s="19"/>
      <c r="BD98" s="4">
        <f t="shared" ca="1" si="86"/>
        <v>1</v>
      </c>
      <c r="BE98" s="19"/>
      <c r="BF98" s="19"/>
      <c r="BG98" s="19"/>
      <c r="BH98" s="19"/>
      <c r="BI98" s="120"/>
      <c r="BJ98" s="19"/>
      <c r="BK98" s="19"/>
      <c r="BL98" s="19"/>
      <c r="BM98" s="19"/>
      <c r="BN98" s="19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</row>
    <row r="99" spans="1:146" s="24" customFormat="1" ht="15" customHeight="1">
      <c r="A99" s="4"/>
      <c r="B99" s="268">
        <f t="shared" ca="1" si="92"/>
        <v>47442</v>
      </c>
      <c r="C99" s="268"/>
      <c r="D99" s="443">
        <f ca="1">IF(N99=0,IF(N95=1,SUM(D$26:E98)," "),IF(N99=0," ",IF(N100=1,D$54,IF(N100=0,IF(R99&lt;&gt;0,ROUNDUP(R99,-1),0)," "))))</f>
        <v>153940</v>
      </c>
      <c r="E99" s="443"/>
      <c r="F99" s="84">
        <f ca="1">IF(N99=0,IF(N98=1,SUM(F$26:F98)," "),IF(M$1=1,P99,IF(M$1=2,Q99," ")))</f>
        <v>30590</v>
      </c>
      <c r="G99" s="84">
        <f ca="1">IF(N99=0,IF(N98=1,SUM(G$26:G98)," "),IF(M$1=1,AF99,IF(M$1=2,AG99," ")))</f>
        <v>0</v>
      </c>
      <c r="H99" s="84">
        <f t="shared" ca="1" si="37"/>
        <v>184530</v>
      </c>
      <c r="I99" s="84">
        <f ca="1">IF(N99=0,IF(N94=1,SUM(I$26:I98)," "),IF(N99=0," ",IF(N100=1,I$54,IF(N100=0,IF(S99&lt;&gt;0,ROUNDUP(S99,-1),0)," "))))</f>
        <v>160290</v>
      </c>
      <c r="J99" s="84">
        <f t="shared" ca="1" si="80"/>
        <v>31840</v>
      </c>
      <c r="K99" s="84">
        <f t="shared" ca="1" si="81"/>
        <v>0</v>
      </c>
      <c r="L99" s="84">
        <f t="shared" ca="1" si="54"/>
        <v>192130</v>
      </c>
      <c r="M99" s="4">
        <v>70</v>
      </c>
      <c r="N99" s="4">
        <f t="shared" ca="1" si="55"/>
        <v>1</v>
      </c>
      <c r="O99" s="4">
        <f t="shared" ca="1" si="87"/>
        <v>20</v>
      </c>
      <c r="P99" s="22">
        <f t="shared" ca="1" si="83"/>
        <v>30590</v>
      </c>
      <c r="Q99" s="22">
        <f t="shared" ca="1" si="84"/>
        <v>30590</v>
      </c>
      <c r="R99" s="22">
        <f t="shared" ca="1" si="88"/>
        <v>462070</v>
      </c>
      <c r="S99" s="22">
        <f t="shared" ca="1" si="70"/>
        <v>481000</v>
      </c>
      <c r="T99" s="100">
        <f t="shared" ca="1" si="58"/>
        <v>44842.416666666664</v>
      </c>
      <c r="U99" s="22">
        <f t="shared" ca="1" si="59"/>
        <v>30590</v>
      </c>
      <c r="V99" s="22">
        <f t="shared" ca="1" si="71"/>
        <v>30587.736111111109</v>
      </c>
      <c r="W99" s="22">
        <f t="shared" ca="1" si="72"/>
        <v>30587.736111111109</v>
      </c>
      <c r="X99" s="22">
        <f t="shared" ca="1" si="73"/>
        <v>31842.416666666668</v>
      </c>
      <c r="Y99" s="22">
        <f t="shared" ca="1" si="60"/>
        <v>31840</v>
      </c>
      <c r="Z99" s="22">
        <f t="shared" ca="1" si="41"/>
        <v>650000</v>
      </c>
      <c r="AA99" s="22">
        <f t="shared" ca="1" si="61"/>
        <v>721000</v>
      </c>
      <c r="AB99" s="22"/>
      <c r="AC99" s="22"/>
      <c r="AD99" s="22">
        <f t="shared" ca="1" si="93"/>
        <v>650000</v>
      </c>
      <c r="AE99" s="22">
        <f t="shared" ca="1" si="62"/>
        <v>16940900</v>
      </c>
      <c r="AF99" s="22">
        <f t="shared" ca="1" si="85"/>
        <v>0</v>
      </c>
      <c r="AG99" s="22">
        <f t="shared" ca="1" si="85"/>
        <v>0</v>
      </c>
      <c r="AH99" s="22">
        <f t="shared" ca="1" si="44"/>
        <v>0</v>
      </c>
      <c r="AI99" s="22"/>
      <c r="AJ99" s="22">
        <f t="shared" ca="1" si="63"/>
        <v>0</v>
      </c>
      <c r="AK99" s="22">
        <f t="shared" ca="1" si="64"/>
        <v>0</v>
      </c>
      <c r="AL99" s="22"/>
      <c r="AM99" s="22">
        <f t="shared" ca="1" si="89"/>
        <v>0</v>
      </c>
      <c r="AN99" s="22">
        <f t="shared" ca="1" si="46"/>
        <v>462070</v>
      </c>
      <c r="AO99" s="22">
        <f t="shared" ca="1" si="76"/>
        <v>0</v>
      </c>
      <c r="AP99" s="22">
        <f t="shared" ca="1" si="77"/>
        <v>0</v>
      </c>
      <c r="AQ99" s="69">
        <f t="shared" ca="1" si="90"/>
        <v>11</v>
      </c>
      <c r="AR99" s="69">
        <f t="shared" ca="1" si="47"/>
        <v>11</v>
      </c>
      <c r="AS99" s="4">
        <f t="shared" ca="1" si="91"/>
        <v>2029</v>
      </c>
      <c r="AT99" s="4">
        <f t="shared" ca="1" si="48"/>
        <v>2029</v>
      </c>
      <c r="AU99" s="4">
        <f t="shared" ca="1" si="49"/>
        <v>0</v>
      </c>
      <c r="AV99" s="4">
        <f t="shared" ca="1" si="50"/>
        <v>30</v>
      </c>
      <c r="AW99" s="4">
        <f t="shared" si="82"/>
        <v>20</v>
      </c>
      <c r="AX99" s="4">
        <f t="shared" ca="1" si="69"/>
        <v>30</v>
      </c>
      <c r="AY99" s="19">
        <f t="shared" ca="1" si="52"/>
        <v>9240</v>
      </c>
      <c r="AZ99" s="19"/>
      <c r="BA99" s="19"/>
      <c r="BB99" s="19"/>
      <c r="BC99" s="19"/>
      <c r="BD99" s="4">
        <f t="shared" ca="1" si="86"/>
        <v>1</v>
      </c>
      <c r="BE99" s="19"/>
      <c r="BF99" s="19"/>
      <c r="BG99" s="19"/>
      <c r="BH99" s="19"/>
      <c r="BI99" s="120"/>
      <c r="BJ99" s="19"/>
      <c r="BK99" s="19"/>
      <c r="BL99" s="19"/>
      <c r="BM99" s="19"/>
      <c r="BN99" s="19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</row>
    <row r="100" spans="1:146" s="24" customFormat="1" ht="15" customHeight="1">
      <c r="A100" s="4"/>
      <c r="B100" s="268">
        <f t="shared" ca="1" si="92"/>
        <v>47472</v>
      </c>
      <c r="C100" s="268"/>
      <c r="D100" s="443">
        <f ca="1">IF(N100=0,IF(N96=1,SUM(D$26:E99)," "),IF(N100=0," ",IF(N101=1,D$54,IF(N101=0,IF(R100&lt;&gt;0,ROUNDUP(R100,-1),0)," "))))</f>
        <v>153940</v>
      </c>
      <c r="E100" s="443"/>
      <c r="F100" s="84">
        <f ca="1">IF(N100=0,IF(N99=1,SUM(F$26:F99)," "),IF(M$1=1,P100,IF(M$1=2,Q100," ")))</f>
        <v>22250</v>
      </c>
      <c r="G100" s="84">
        <f ca="1">IF(N100=0,IF(N99=1,SUM(G$26:G99)," "),IF(M$1=1,AF100,IF(M$1=2,AG100," ")))</f>
        <v>0</v>
      </c>
      <c r="H100" s="84">
        <f t="shared" ca="1" si="37"/>
        <v>176190</v>
      </c>
      <c r="I100" s="84">
        <f ca="1">IF(N100=0,IF(N95=1,SUM(I$26:I99)," "),IF(N100=0," ",IF(N101=1,I$54,IF(N101=0,IF(S100&lt;&gt;0,ROUNDUP(S100,-1),0)," "))))</f>
        <v>160290</v>
      </c>
      <c r="J100" s="84">
        <f t="shared" ca="1" si="80"/>
        <v>23160</v>
      </c>
      <c r="K100" s="84">
        <f t="shared" ca="1" si="81"/>
        <v>0</v>
      </c>
      <c r="L100" s="84">
        <f t="shared" ca="1" si="54"/>
        <v>183450</v>
      </c>
      <c r="M100" s="4">
        <v>71</v>
      </c>
      <c r="N100" s="4">
        <f t="shared" ca="1" si="55"/>
        <v>1</v>
      </c>
      <c r="O100" s="4">
        <f t="shared" ca="1" si="87"/>
        <v>20</v>
      </c>
      <c r="P100" s="22">
        <f t="shared" ca="1" si="83"/>
        <v>22250</v>
      </c>
      <c r="Q100" s="22">
        <f t="shared" ca="1" si="84"/>
        <v>22250</v>
      </c>
      <c r="R100" s="22">
        <f t="shared" ca="1" si="88"/>
        <v>308130</v>
      </c>
      <c r="S100" s="22">
        <f t="shared" ca="1" si="70"/>
        <v>320710</v>
      </c>
      <c r="T100" s="100">
        <f t="shared" ca="1" si="58"/>
        <v>36160.041666666664</v>
      </c>
      <c r="U100" s="22">
        <f t="shared" ca="1" si="59"/>
        <v>22250</v>
      </c>
      <c r="V100" s="22">
        <f t="shared" ca="1" si="71"/>
        <v>22249.319444444442</v>
      </c>
      <c r="W100" s="22">
        <f t="shared" ca="1" si="72"/>
        <v>22249.319444444442</v>
      </c>
      <c r="X100" s="22">
        <f t="shared" ca="1" si="73"/>
        <v>23160.041666666668</v>
      </c>
      <c r="Y100" s="22">
        <f t="shared" ca="1" si="60"/>
        <v>23160</v>
      </c>
      <c r="Z100" s="22">
        <f t="shared" ca="1" si="41"/>
        <v>650000</v>
      </c>
      <c r="AA100" s="22">
        <f t="shared" ca="1" si="61"/>
        <v>560710</v>
      </c>
      <c r="AB100" s="22"/>
      <c r="AC100" s="22"/>
      <c r="AD100" s="22">
        <f t="shared" ca="1" si="93"/>
        <v>650000</v>
      </c>
      <c r="AE100" s="22">
        <f t="shared" ca="1" si="62"/>
        <v>12322700</v>
      </c>
      <c r="AF100" s="22">
        <f t="shared" ca="1" si="85"/>
        <v>0</v>
      </c>
      <c r="AG100" s="22">
        <f t="shared" ca="1" si="85"/>
        <v>0</v>
      </c>
      <c r="AH100" s="22">
        <f t="shared" ca="1" si="44"/>
        <v>0</v>
      </c>
      <c r="AI100" s="22"/>
      <c r="AJ100" s="22">
        <f t="shared" ca="1" si="63"/>
        <v>0</v>
      </c>
      <c r="AK100" s="22">
        <f t="shared" ca="1" si="64"/>
        <v>0</v>
      </c>
      <c r="AL100" s="22"/>
      <c r="AM100" s="22">
        <f t="shared" ca="1" si="89"/>
        <v>0</v>
      </c>
      <c r="AN100" s="22">
        <f t="shared" ca="1" si="46"/>
        <v>308130</v>
      </c>
      <c r="AO100" s="22">
        <f t="shared" ca="1" si="76"/>
        <v>0</v>
      </c>
      <c r="AP100" s="22">
        <f t="shared" ca="1" si="77"/>
        <v>0</v>
      </c>
      <c r="AQ100" s="69">
        <f t="shared" ca="1" si="90"/>
        <v>12</v>
      </c>
      <c r="AR100" s="69">
        <f t="shared" ca="1" si="47"/>
        <v>12</v>
      </c>
      <c r="AS100" s="4">
        <f t="shared" ca="1" si="91"/>
        <v>2029</v>
      </c>
      <c r="AT100" s="4">
        <f t="shared" ca="1" si="48"/>
        <v>2029</v>
      </c>
      <c r="AU100" s="4">
        <f t="shared" ca="1" si="49"/>
        <v>0</v>
      </c>
      <c r="AV100" s="4">
        <f t="shared" ca="1" si="50"/>
        <v>30</v>
      </c>
      <c r="AW100" s="4">
        <f t="shared" si="82"/>
        <v>20</v>
      </c>
      <c r="AX100" s="4">
        <f t="shared" ca="1" si="69"/>
        <v>30</v>
      </c>
      <c r="AY100" s="19">
        <f t="shared" ca="1" si="52"/>
        <v>6160</v>
      </c>
      <c r="AZ100" s="19"/>
      <c r="BA100" s="19"/>
      <c r="BB100" s="19"/>
      <c r="BC100" s="19"/>
      <c r="BD100" s="4">
        <f t="shared" ca="1" si="86"/>
        <v>1</v>
      </c>
      <c r="BE100" s="19"/>
      <c r="BF100" s="19"/>
      <c r="BG100" s="19"/>
      <c r="BH100" s="19"/>
      <c r="BI100" s="120"/>
      <c r="BJ100" s="19"/>
      <c r="BK100" s="19"/>
      <c r="BL100" s="19"/>
      <c r="BM100" s="19"/>
      <c r="BN100" s="19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</row>
    <row r="101" spans="1:146" s="24" customFormat="1" ht="15" customHeight="1">
      <c r="A101" s="4"/>
      <c r="B101" s="268">
        <f t="shared" ca="1" si="92"/>
        <v>47485</v>
      </c>
      <c r="C101" s="268"/>
      <c r="D101" s="443">
        <f ca="1">IF(N101=0,IF(N97=1,SUM(D$26:E100)," "),IF(N101=0," ",IF(N102=1,D$54,IF(N102=0,IF(R101&lt;&gt;0,ROUNDUP(R101,-1),0)," "))))</f>
        <v>154190</v>
      </c>
      <c r="E101" s="443"/>
      <c r="F101" s="84">
        <f ca="1">IF(N101=0,IF(N100=1,SUM(F$26:F100)," "),IF(M$1=1,P101,IF(M$1=2,Q101," ")))</f>
        <v>14470</v>
      </c>
      <c r="G101" s="84">
        <f ca="1">IF(N101=0,IF(N100=1,SUM(G$26:G100)," "),IF(M$1=1,AF101,IF(M$1=2,AG101," ")))</f>
        <v>0</v>
      </c>
      <c r="H101" s="84">
        <f t="shared" ca="1" si="37"/>
        <v>168660</v>
      </c>
      <c r="I101" s="84">
        <f ca="1">IF(N101=0,IF(N96=1,SUM(I$26:I100)," "),IF(N101=0," ",IF(N102=1,I$54,IF(N102=0,IF(S101&lt;&gt;0,ROUNDUP(S101,-1),0)," "))))</f>
        <v>160420</v>
      </c>
      <c r="J101" s="84">
        <f t="shared" ca="1" si="80"/>
        <v>15060</v>
      </c>
      <c r="K101" s="84">
        <f t="shared" ca="1" si="81"/>
        <v>0</v>
      </c>
      <c r="L101" s="84">
        <f t="shared" ca="1" si="54"/>
        <v>175480</v>
      </c>
      <c r="M101" s="4">
        <v>72</v>
      </c>
      <c r="N101" s="4">
        <f t="shared" ca="1" si="55"/>
        <v>1</v>
      </c>
      <c r="O101" s="4">
        <f t="shared" ca="1" si="87"/>
        <v>2</v>
      </c>
      <c r="P101" s="22">
        <f t="shared" ca="1" si="83"/>
        <v>14470</v>
      </c>
      <c r="Q101" s="22">
        <f t="shared" ca="1" si="84"/>
        <v>14470</v>
      </c>
      <c r="R101" s="22">
        <f t="shared" ca="1" si="88"/>
        <v>154190</v>
      </c>
      <c r="S101" s="22">
        <f t="shared" ca="1" si="70"/>
        <v>160420</v>
      </c>
      <c r="T101" s="100">
        <f t="shared" ca="1" si="58"/>
        <v>28923.627777777776</v>
      </c>
      <c r="U101" s="22">
        <f t="shared" ca="1" si="59"/>
        <v>14470</v>
      </c>
      <c r="V101" s="22">
        <f ca="1">IF(N102=1,R100*D$11*20/36000+R101*D$11*10/36000,IF(N102=0,IF(N101=0,0,IF(DAY(D$16)&gt;20,R101*D$11*20/36000+R101*D$11*(Q$12-20)/36000,R100*D11*20/36000+R101*D11*10/36000+R101*D$11*Q$12/36000))))</f>
        <v>14467.699999999999</v>
      </c>
      <c r="W101" s="22">
        <f ca="1">IF(N102=1,R100*D$11*20/36000+R101*D$11*10/36000,IF(N102=0,IF(N101=0,0,IF(DAY(D$16)&gt;20,R101*D$11*20/36000+R101*D$11*(Q$12-20)/36000,R100*D11*20/36000+R101*D11*10/36000+R101*D$11*Q$12/36000))))</f>
        <v>14467.699999999999</v>
      </c>
      <c r="X101" s="22">
        <f ca="1">IF(N102=1,S100*D$11*20/36000+S101*D$11*10/36000,IF(N102=0,IF(N101=0,0,IF(DAY(D$16)&gt;20,S101*D$11*20/36000+S101*D$11*(Q$12-20)/36000,S100*D$11*20/36000+S101*D$11*10/36000+S101*D$11*Q$12/36000))))</f>
        <v>15056.961111111112</v>
      </c>
      <c r="Y101" s="22">
        <f t="shared" ca="1" si="60"/>
        <v>15060</v>
      </c>
      <c r="Z101" s="22">
        <f t="shared" ca="1" si="41"/>
        <v>693333.33333333326</v>
      </c>
      <c r="AA101" s="22">
        <f t="shared" ca="1" si="61"/>
        <v>400420</v>
      </c>
      <c r="AB101" s="22"/>
      <c r="AC101" s="22"/>
      <c r="AD101" s="22">
        <f t="shared" ca="1" si="93"/>
        <v>693330</v>
      </c>
      <c r="AE101" s="22">
        <f t="shared" ca="1" si="62"/>
        <v>308380</v>
      </c>
      <c r="AF101" s="22">
        <f t="shared" ca="1" si="85"/>
        <v>0</v>
      </c>
      <c r="AG101" s="22">
        <f t="shared" ca="1" si="85"/>
        <v>0</v>
      </c>
      <c r="AH101" s="22">
        <f t="shared" ca="1" si="44"/>
        <v>0</v>
      </c>
      <c r="AI101" s="22"/>
      <c r="AJ101" s="22">
        <f t="shared" ca="1" si="63"/>
        <v>0</v>
      </c>
      <c r="AK101" s="22">
        <f t="shared" ca="1" si="64"/>
        <v>0</v>
      </c>
      <c r="AL101" s="22"/>
      <c r="AM101" s="22">
        <f t="shared" ca="1" si="89"/>
        <v>0</v>
      </c>
      <c r="AN101" s="22">
        <f t="shared" ca="1" si="46"/>
        <v>154190</v>
      </c>
      <c r="AO101" s="22">
        <f t="shared" ca="1" si="76"/>
        <v>0</v>
      </c>
      <c r="AP101" s="22">
        <f t="shared" ca="1" si="77"/>
        <v>0</v>
      </c>
      <c r="AQ101" s="69">
        <f t="shared" ca="1" si="90"/>
        <v>13</v>
      </c>
      <c r="AR101" s="69">
        <f t="shared" ca="1" si="47"/>
        <v>1</v>
      </c>
      <c r="AS101" s="4">
        <f t="shared" ca="1" si="91"/>
        <v>2029</v>
      </c>
      <c r="AT101" s="4">
        <f t="shared" ca="1" si="48"/>
        <v>2030</v>
      </c>
      <c r="AU101" s="4">
        <f t="shared" ca="1" si="49"/>
        <v>0</v>
      </c>
      <c r="AV101" s="4">
        <f t="shared" ca="1" si="50"/>
        <v>30</v>
      </c>
      <c r="AW101" s="4">
        <f t="shared" si="82"/>
        <v>20</v>
      </c>
      <c r="AX101" s="4">
        <f t="shared" ca="1" si="69"/>
        <v>30</v>
      </c>
      <c r="AY101" s="19">
        <f t="shared" ca="1" si="52"/>
        <v>3080</v>
      </c>
      <c r="AZ101" s="19"/>
      <c r="BA101" s="19"/>
      <c r="BB101" s="19"/>
      <c r="BC101" s="19"/>
      <c r="BD101" s="4">
        <f t="shared" ca="1" si="86"/>
        <v>1</v>
      </c>
      <c r="BE101" s="19"/>
      <c r="BF101" s="19"/>
      <c r="BG101" s="19"/>
      <c r="BH101" s="19"/>
      <c r="BI101" s="120"/>
      <c r="BJ101" s="19"/>
      <c r="BK101" s="19"/>
      <c r="BL101" s="19"/>
      <c r="BM101" s="19"/>
      <c r="BN101" s="19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</row>
    <row r="102" spans="1:146" s="24" customFormat="1" ht="15" customHeight="1">
      <c r="A102" s="4"/>
      <c r="B102" s="268" t="str">
        <f ca="1">IF(N102=0,IF(N101=1,"ИТОГО"," "),IF(M102=M14,DATE(YEAR(B101),MONTH(B101),O102),DATE(YEAR(B101),MONTH(B101)+1,O102)))</f>
        <v>ИТОГО</v>
      </c>
      <c r="C102" s="268"/>
      <c r="D102" s="443">
        <f ca="1">IF(N102=0,IF(N98=1,SUM(D$26:E101)," "),IF(N102=0," ",IF(N103=1,D$54,IF(N103=0,IF(R102&lt;&gt;0,ROUNDUP(R102,-1),0)," "))))</f>
        <v>12000000</v>
      </c>
      <c r="E102" s="443"/>
      <c r="F102" s="84">
        <f ca="1">IF(N102=0,IF(N101=1,SUM(F$26:F101)," "),IF(M$1=1,P102,IF(M$1=2,Q102," ")))</f>
        <v>22657060</v>
      </c>
      <c r="G102" s="84">
        <f ca="1">IF(N102=0,IF(N101=1,SUM(G$26:G101)," "),IF(M$1=1,AF102,IF(M$1=2,AG102," ")))</f>
        <v>0</v>
      </c>
      <c r="H102" s="84">
        <f t="shared" ca="1" si="37"/>
        <v>34657060</v>
      </c>
      <c r="I102" s="84">
        <f ca="1">IF(N102=0,IF(N97=1,SUM(I$26:I101)," "),IF(N102=0," ",IF(N103=1,I$54,IF(N103=0,IF(S102&lt;&gt;0,ROUNDUP(S102,-1),0)," "))))</f>
        <v>12480000</v>
      </c>
      <c r="J102" s="84">
        <f t="shared" ca="1" si="80"/>
        <v>0</v>
      </c>
      <c r="K102" s="84">
        <f t="shared" ca="1" si="81"/>
        <v>0</v>
      </c>
      <c r="L102" s="84">
        <f t="shared" ca="1" si="54"/>
        <v>12480000</v>
      </c>
      <c r="M102" s="4">
        <v>73</v>
      </c>
      <c r="N102" s="4">
        <f t="shared" ca="1" si="55"/>
        <v>0</v>
      </c>
      <c r="O102" s="4">
        <f ca="1">IF(M102=A$14,IF(MONTH(B101)=-2,AX102,DATE(YEAR(0),MONTH(0),DAY(D$16)-1)),AW102)</f>
        <v>20</v>
      </c>
      <c r="P102" s="22">
        <f t="shared" ca="1" si="83"/>
        <v>0</v>
      </c>
      <c r="Q102" s="22">
        <f t="shared" ca="1" si="84"/>
        <v>0</v>
      </c>
      <c r="R102" s="22">
        <f t="shared" ca="1" si="88"/>
        <v>0</v>
      </c>
      <c r="S102" s="22">
        <f t="shared" ca="1" si="70"/>
        <v>0</v>
      </c>
      <c r="T102" s="19">
        <f t="shared" ca="1" si="58"/>
        <v>0</v>
      </c>
      <c r="U102" s="22">
        <f t="shared" ca="1" si="59"/>
        <v>0</v>
      </c>
      <c r="V102" s="22">
        <f t="shared" ca="1" si="71"/>
        <v>0</v>
      </c>
      <c r="W102" s="22">
        <f ca="1">IF(N103=1,R101*D$11*20/36000+R102*D$11*10/36000,IF(N103=0,IF(N102=0,0,IF(D$16&gt;20,R102*D$11*20/36000+R102*D$11*(Q$12-20)/36000,R102*D$11*Q$12/36000))))</f>
        <v>0</v>
      </c>
      <c r="X102" s="22">
        <f t="shared" ca="1" si="73"/>
        <v>0</v>
      </c>
      <c r="Y102" s="22">
        <f t="shared" ca="1" si="60"/>
        <v>0</v>
      </c>
      <c r="Z102" s="22">
        <f ca="1">IF(N103=1,D10*D$11*20/36000+D10*D$11*10/36000,IF(N103=0,IF(N102=0,0,D10*D$11*Q$12/36000)))</f>
        <v>0</v>
      </c>
      <c r="AA102" s="22">
        <f t="shared" ca="1" si="61"/>
        <v>240000</v>
      </c>
      <c r="AB102" s="22"/>
      <c r="AC102" s="22"/>
      <c r="AD102" s="22">
        <f t="shared" ca="1" si="93"/>
        <v>0</v>
      </c>
      <c r="AE102" s="22">
        <f ca="1">R102*Q$12</f>
        <v>0</v>
      </c>
      <c r="AF102" s="22">
        <f t="shared" ca="1" si="85"/>
        <v>0</v>
      </c>
      <c r="AG102" s="22">
        <f t="shared" ca="1" si="85"/>
        <v>0</v>
      </c>
      <c r="AH102" s="22">
        <f ca="1">IF(N103=1,D10*G$12*20/36000+D10*G$12*10/36000,IF(N103=0,IF(N102=0,0,D10*G$12*Q$12/36000)))</f>
        <v>0</v>
      </c>
      <c r="AI102" s="22"/>
      <c r="AJ102" s="22">
        <f t="shared" ca="1" si="63"/>
        <v>0</v>
      </c>
      <c r="AK102" s="22">
        <f t="shared" ca="1" si="64"/>
        <v>0</v>
      </c>
      <c r="AL102" s="22"/>
      <c r="AM102" s="22">
        <f t="shared" ca="1" si="89"/>
        <v>0</v>
      </c>
      <c r="AN102" s="22">
        <f t="shared" ca="1" si="46"/>
        <v>0</v>
      </c>
      <c r="AO102" s="22">
        <f t="shared" ca="1" si="76"/>
        <v>0</v>
      </c>
      <c r="AP102" s="22">
        <f t="shared" ca="1" si="77"/>
        <v>0</v>
      </c>
      <c r="AQ102" s="69">
        <f t="shared" ca="1" si="90"/>
        <v>0</v>
      </c>
      <c r="AR102" s="69">
        <f t="shared" ca="1" si="47"/>
        <v>0</v>
      </c>
      <c r="AS102" s="4">
        <f t="shared" ca="1" si="91"/>
        <v>0</v>
      </c>
      <c r="AT102" s="4">
        <f t="shared" ca="1" si="48"/>
        <v>0</v>
      </c>
      <c r="AU102" s="4">
        <f t="shared" ca="1" si="49"/>
        <v>0</v>
      </c>
      <c r="AV102" s="4">
        <f t="shared" ca="1" si="50"/>
        <v>30</v>
      </c>
      <c r="AW102" s="4">
        <f t="shared" si="82"/>
        <v>20</v>
      </c>
      <c r="AX102" s="4">
        <f ca="1">AV101</f>
        <v>30</v>
      </c>
      <c r="AY102" s="19">
        <f t="shared" ca="1" si="52"/>
        <v>0</v>
      </c>
      <c r="AZ102" s="19"/>
      <c r="BA102" s="19"/>
      <c r="BB102" s="19"/>
      <c r="BC102" s="19"/>
      <c r="BD102" s="4">
        <f t="shared" ca="1" si="86"/>
        <v>0</v>
      </c>
      <c r="BE102" s="19"/>
      <c r="BF102" s="19"/>
      <c r="BG102" s="19"/>
      <c r="BH102" s="19"/>
      <c r="BI102" s="120"/>
      <c r="BJ102" s="19"/>
      <c r="BK102" s="19"/>
      <c r="BL102" s="19"/>
      <c r="BM102" s="19"/>
      <c r="BN102" s="19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</row>
    <row r="103" spans="1:146" s="26" customFormat="1" ht="13.5">
      <c r="B103" s="475" t="str">
        <f ca="1">IF(N103=0,IF(N102=1,"ИТОГО"," ")," ")</f>
        <v xml:space="preserve"> </v>
      </c>
      <c r="C103" s="475"/>
      <c r="D103" s="406">
        <f ca="1">SUM(D26:E49)+SUM(D54:E102)</f>
        <v>24000000</v>
      </c>
      <c r="E103" s="406"/>
      <c r="F103" s="27">
        <f ca="1">SUM(F26:F49)+SUM(F54:F102)</f>
        <v>45314120</v>
      </c>
      <c r="G103" s="27">
        <f ca="1">SUM(G26:G49)+SUM(G54:G102)</f>
        <v>0</v>
      </c>
      <c r="H103" s="27">
        <f t="shared" ca="1" si="37"/>
        <v>69314120</v>
      </c>
      <c r="I103" s="27"/>
      <c r="J103" s="27"/>
      <c r="K103" s="27"/>
      <c r="L103" s="27"/>
      <c r="M103" s="70">
        <f>IF(A111=0,0,62000)</f>
        <v>0</v>
      </c>
      <c r="N103" s="70"/>
      <c r="O103" s="70"/>
      <c r="P103" s="71">
        <f t="shared" ref="P103:AF103" ca="1" si="94">SUM(P26:P102)</f>
        <v>22657060</v>
      </c>
      <c r="Q103" s="71">
        <f t="shared" ca="1" si="94"/>
        <v>22657060</v>
      </c>
      <c r="R103" s="71">
        <f t="shared" ca="1" si="94"/>
        <v>411577240</v>
      </c>
      <c r="S103" s="37"/>
      <c r="T103" s="60"/>
      <c r="U103" s="60"/>
      <c r="V103" s="59">
        <f t="shared" ca="1" si="94"/>
        <v>22657089.324999988</v>
      </c>
      <c r="W103" s="59">
        <f t="shared" ca="1" si="94"/>
        <v>22657089.324999988</v>
      </c>
      <c r="X103" s="59"/>
      <c r="Y103" s="59"/>
      <c r="Z103" s="59">
        <f t="shared" ca="1" si="94"/>
        <v>46778333.333333336</v>
      </c>
      <c r="AA103" s="59"/>
      <c r="AB103" s="59"/>
      <c r="AC103" s="59"/>
      <c r="AD103" s="59">
        <f t="shared" ca="1" si="94"/>
        <v>46778330</v>
      </c>
      <c r="AE103" s="59">
        <f t="shared" ca="1" si="94"/>
        <v>12540837280</v>
      </c>
      <c r="AF103" s="59">
        <f t="shared" ca="1" si="94"/>
        <v>0</v>
      </c>
      <c r="AG103" s="22">
        <f ca="1">IF(AP103&lt;&gt;0,IF(VALUE(RIGHT(ROUND(AP103,0)))&lt;=5,ROUND(AP103,0)-VALUE(RIGHT(ROUND(AP103,0))),ROUND(AP103,0)+10-VALUE(RIGHT(ROUND(AP103,0)))),0)</f>
        <v>0</v>
      </c>
      <c r="AH103" s="71">
        <f ca="1">SUM(AH26:AH102)</f>
        <v>0</v>
      </c>
      <c r="AI103" s="71"/>
      <c r="AJ103" s="71"/>
      <c r="AK103" s="71"/>
      <c r="AL103" s="71"/>
      <c r="AM103" s="71">
        <f ca="1">SUM(AM26:AM102)</f>
        <v>0</v>
      </c>
      <c r="AN103" s="71">
        <f ca="1">SUM(AN26:AN102)</f>
        <v>411577240</v>
      </c>
      <c r="AO103" s="71">
        <f ca="1">SUM(AO26:AO102)</f>
        <v>0</v>
      </c>
      <c r="AP103" s="71">
        <f ca="1">SUM(AP26:AP102)</f>
        <v>0</v>
      </c>
      <c r="AQ103" s="71"/>
      <c r="AR103" s="70"/>
      <c r="AS103" s="70"/>
      <c r="AT103" s="70"/>
      <c r="AU103" s="70"/>
      <c r="AV103" s="70"/>
      <c r="AW103" s="70"/>
      <c r="AX103" s="70"/>
      <c r="BD103" s="49"/>
      <c r="BE103" s="60"/>
      <c r="BF103" s="60"/>
      <c r="BG103" s="60"/>
      <c r="BH103" s="60"/>
      <c r="BI103" s="43"/>
      <c r="BJ103" s="60"/>
      <c r="BK103" s="60"/>
      <c r="BL103" s="60"/>
      <c r="BM103" s="60"/>
      <c r="BN103" s="60"/>
    </row>
    <row r="104" spans="1:146" ht="13.5">
      <c r="A104" s="44"/>
      <c r="B104" s="301"/>
      <c r="C104" s="301"/>
      <c r="D104" s="301"/>
      <c r="E104" s="301"/>
      <c r="F104" s="301"/>
      <c r="G104" s="301"/>
      <c r="H104" s="301"/>
      <c r="I104" s="79"/>
      <c r="J104" s="79"/>
      <c r="K104" s="79"/>
      <c r="L104" s="79"/>
      <c r="M104" s="96"/>
      <c r="N104" s="96"/>
      <c r="O104" s="96"/>
      <c r="P104" s="96"/>
      <c r="Q104" s="96"/>
      <c r="R104" s="46"/>
      <c r="S104" s="62"/>
      <c r="Z104" s="33"/>
      <c r="AA104" s="33"/>
      <c r="AB104" s="33"/>
      <c r="AC104" s="33"/>
      <c r="AD104" s="33"/>
      <c r="AE104" s="46"/>
      <c r="AF104" s="46"/>
      <c r="AG104" s="74">
        <f>IF(AP104&lt;&gt;0,IF(VALUE(RIGHT(ROUND(AP104,0)))&lt;=5,ROUND(AP104,0)-VALUE(RIGHT(ROUND(AP104,0))),ROUND(AP104,0)+10-VALUE(RIGHT(ROUND(AP104,0)))),0)</f>
        <v>0</v>
      </c>
      <c r="AH104" s="49"/>
      <c r="AI104" s="49"/>
      <c r="AJ104" s="49"/>
      <c r="AK104" s="49"/>
      <c r="AL104" s="49"/>
      <c r="AM104" s="49"/>
      <c r="AN104" s="46"/>
      <c r="BD104" s="65"/>
    </row>
    <row r="105" spans="1:146" ht="13.5">
      <c r="A105" s="28">
        <f>IF(M8=1,IF(F10="USD",10,IF(F10="бел. рублей",0)),IF(H8=1,0,0))</f>
        <v>0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96"/>
      <c r="N105" s="96"/>
      <c r="O105" s="96"/>
      <c r="P105" s="96"/>
      <c r="Q105" s="96"/>
      <c r="R105" s="46"/>
      <c r="S105" s="85"/>
      <c r="Z105" s="33"/>
      <c r="AA105" s="33"/>
      <c r="AB105" s="33"/>
      <c r="AC105" s="33"/>
      <c r="AD105" s="33"/>
      <c r="AE105" s="46"/>
      <c r="AF105" s="46"/>
      <c r="AG105" s="74">
        <f>IF(AP105&lt;&gt;0,IF(VALUE(RIGHT(ROUND(AP105,0)))&lt;=5,ROUND(AP105,0)-VALUE(RIGHT(ROUND(AP105,0))),ROUND(AP105,0)+10-VALUE(RIGHT(ROUND(AP105,0)))),0)</f>
        <v>0</v>
      </c>
      <c r="AH105" s="49"/>
      <c r="AI105" s="49"/>
      <c r="AJ105" s="49"/>
      <c r="AK105" s="49"/>
      <c r="AL105" s="49"/>
      <c r="AM105" s="49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7"/>
      <c r="AZ105" s="47"/>
      <c r="BA105" s="47"/>
      <c r="BB105" s="47"/>
      <c r="BC105" s="47"/>
      <c r="BD105" s="49"/>
      <c r="BE105" s="47"/>
      <c r="BF105" s="47"/>
      <c r="BG105" s="47"/>
      <c r="BH105" s="47"/>
      <c r="BJ105" s="47"/>
      <c r="BK105" s="47"/>
      <c r="BL105" s="47"/>
      <c r="BM105" s="47"/>
      <c r="BN105" s="47"/>
    </row>
    <row r="106" spans="1:146" ht="10.5" customHeight="1">
      <c r="A106" s="28"/>
      <c r="B106" s="473" t="s">
        <v>104</v>
      </c>
      <c r="C106" s="473"/>
      <c r="D106" s="473"/>
      <c r="E106" s="473"/>
      <c r="F106" s="473"/>
      <c r="G106" s="473"/>
      <c r="H106" s="473"/>
      <c r="I106" s="86"/>
      <c r="J106" s="86"/>
      <c r="K106" s="86"/>
      <c r="L106" s="86"/>
      <c r="M106" s="96"/>
      <c r="N106" s="46"/>
      <c r="O106" s="46"/>
      <c r="P106" s="96"/>
      <c r="Q106" s="96"/>
      <c r="R106" s="46"/>
      <c r="S106" s="62"/>
      <c r="Z106" s="33"/>
      <c r="AA106" s="33"/>
      <c r="AB106" s="33"/>
      <c r="AC106" s="33"/>
      <c r="AD106" s="33"/>
      <c r="AE106" s="46"/>
      <c r="AF106" s="46"/>
      <c r="AG106" s="46"/>
      <c r="AH106" s="49"/>
      <c r="AI106" s="49"/>
      <c r="AJ106" s="49"/>
      <c r="AK106" s="49"/>
      <c r="AL106" s="49"/>
      <c r="AM106" s="49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7"/>
      <c r="AZ106" s="47"/>
      <c r="BA106" s="47"/>
      <c r="BB106" s="47"/>
      <c r="BC106" s="47"/>
      <c r="BD106" s="49"/>
      <c r="BE106" s="47"/>
      <c r="BF106" s="47"/>
      <c r="BG106" s="47"/>
      <c r="BH106" s="47"/>
      <c r="BJ106" s="47"/>
      <c r="BK106" s="47"/>
      <c r="BL106" s="47"/>
      <c r="BM106" s="47"/>
      <c r="BN106" s="47"/>
    </row>
    <row r="107" spans="1:146" s="47" customFormat="1" ht="18" hidden="1" customHeight="1">
      <c r="A107" s="4"/>
      <c r="B107" s="473" t="s">
        <v>85</v>
      </c>
      <c r="C107" s="473"/>
      <c r="D107" s="473"/>
      <c r="E107" s="473"/>
      <c r="F107" s="473"/>
      <c r="G107" s="473"/>
      <c r="H107" s="473"/>
      <c r="I107" s="86"/>
      <c r="J107" s="86"/>
      <c r="K107" s="86"/>
      <c r="L107" s="86"/>
      <c r="M107" s="97"/>
      <c r="N107" s="97"/>
      <c r="O107" s="97"/>
      <c r="P107" s="97"/>
      <c r="Q107" s="46"/>
      <c r="R107" s="46"/>
      <c r="S107" s="62"/>
      <c r="T107" s="19"/>
      <c r="U107" s="19"/>
      <c r="V107" s="4"/>
      <c r="W107" s="4"/>
      <c r="X107" s="4"/>
      <c r="Y107" s="4"/>
      <c r="Z107" s="65"/>
      <c r="AA107" s="65"/>
      <c r="AB107" s="65"/>
      <c r="AC107" s="65"/>
      <c r="AD107" s="65"/>
      <c r="AE107" s="4"/>
      <c r="AF107" s="4"/>
      <c r="AG107" s="4"/>
      <c r="AH107" s="65"/>
      <c r="AI107" s="65"/>
      <c r="AJ107" s="65"/>
      <c r="AK107" s="65"/>
      <c r="AL107" s="65"/>
      <c r="AM107" s="65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19"/>
      <c r="AZ107" s="19"/>
      <c r="BA107" s="19"/>
      <c r="BB107" s="19"/>
      <c r="BC107" s="19"/>
      <c r="BD107" s="65"/>
      <c r="BE107" s="19"/>
      <c r="BF107" s="19"/>
      <c r="BG107" s="19"/>
      <c r="BH107" s="19"/>
      <c r="BI107" s="121"/>
    </row>
    <row r="108" spans="1:146" s="47" customFormat="1" ht="27" hidden="1" customHeight="1">
      <c r="A108" s="46"/>
      <c r="B108" s="474" t="s">
        <v>86</v>
      </c>
      <c r="C108" s="474"/>
      <c r="D108" s="474"/>
      <c r="E108" s="474"/>
      <c r="F108" s="474"/>
      <c r="G108" s="474"/>
      <c r="H108" s="474"/>
      <c r="I108" s="474"/>
      <c r="J108" s="474"/>
      <c r="K108" s="474"/>
      <c r="L108" s="86"/>
      <c r="M108" s="4"/>
      <c r="N108" s="4"/>
      <c r="O108" s="4"/>
      <c r="P108" s="4"/>
      <c r="Q108" s="4"/>
      <c r="R108" s="4"/>
      <c r="S108" s="33"/>
      <c r="V108" s="46"/>
      <c r="W108" s="46"/>
      <c r="X108" s="46"/>
      <c r="Y108" s="46"/>
      <c r="Z108" s="49"/>
      <c r="AA108" s="49"/>
      <c r="AB108" s="49"/>
      <c r="AC108" s="49"/>
      <c r="AD108" s="49"/>
      <c r="AE108" s="46"/>
      <c r="AF108" s="46"/>
      <c r="AG108" s="46"/>
      <c r="AH108" s="49"/>
      <c r="AI108" s="49"/>
      <c r="AJ108" s="49"/>
      <c r="AK108" s="49"/>
      <c r="AL108" s="49"/>
      <c r="AM108" s="49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BD108" s="49"/>
      <c r="BI108" s="118"/>
    </row>
    <row r="109" spans="1:146" s="47" customFormat="1" ht="20.25" hidden="1" customHeight="1">
      <c r="A109" s="46"/>
      <c r="B109" s="474" t="s">
        <v>87</v>
      </c>
      <c r="C109" s="474"/>
      <c r="D109" s="474"/>
      <c r="E109" s="474"/>
      <c r="F109" s="474"/>
      <c r="G109" s="474"/>
      <c r="H109" s="474"/>
      <c r="I109" s="474"/>
      <c r="J109" s="474"/>
      <c r="K109" s="474"/>
      <c r="L109" s="86"/>
      <c r="M109" s="46"/>
      <c r="N109" s="96"/>
      <c r="O109" s="96"/>
      <c r="P109" s="46"/>
      <c r="Q109" s="46"/>
      <c r="R109" s="46"/>
      <c r="S109" s="62"/>
      <c r="T109" s="19"/>
      <c r="U109" s="19"/>
      <c r="V109" s="4"/>
      <c r="W109" s="4"/>
      <c r="X109" s="4"/>
      <c r="Y109" s="4"/>
      <c r="Z109" s="65"/>
      <c r="AA109" s="65"/>
      <c r="AB109" s="65"/>
      <c r="AC109" s="65"/>
      <c r="AD109" s="65"/>
      <c r="AE109" s="4"/>
      <c r="AF109" s="4"/>
      <c r="AG109" s="4"/>
      <c r="AH109" s="65"/>
      <c r="AI109" s="65"/>
      <c r="AJ109" s="65"/>
      <c r="AK109" s="65"/>
      <c r="AL109" s="65"/>
      <c r="AM109" s="65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19"/>
      <c r="AZ109" s="19"/>
      <c r="BA109" s="19"/>
      <c r="BB109" s="19"/>
      <c r="BC109" s="19"/>
      <c r="BD109" s="65"/>
      <c r="BE109" s="19"/>
      <c r="BF109" s="19"/>
      <c r="BG109" s="19"/>
      <c r="BH109" s="19"/>
      <c r="BI109" s="121"/>
    </row>
    <row r="110" spans="1:146" s="47" customFormat="1" ht="22.5" hidden="1" customHeight="1">
      <c r="A110" s="97"/>
      <c r="B110" s="472" t="s">
        <v>43</v>
      </c>
      <c r="C110" s="472"/>
      <c r="D110" s="472"/>
      <c r="E110" s="472"/>
      <c r="F110" s="472"/>
      <c r="G110" s="472"/>
      <c r="H110" s="472"/>
      <c r="I110" s="109"/>
      <c r="J110" s="109"/>
      <c r="K110" s="109"/>
      <c r="L110" s="109"/>
      <c r="M110" s="4"/>
      <c r="N110" s="28"/>
      <c r="O110" s="4"/>
      <c r="P110" s="4"/>
      <c r="Q110" s="4"/>
      <c r="R110" s="4"/>
      <c r="S110" s="37"/>
      <c r="V110" s="46"/>
      <c r="W110" s="46"/>
      <c r="X110" s="46"/>
      <c r="Y110" s="46"/>
      <c r="Z110" s="49"/>
      <c r="AA110" s="49"/>
      <c r="AB110" s="49"/>
      <c r="AC110" s="49"/>
      <c r="AD110" s="49"/>
      <c r="AE110" s="46"/>
      <c r="AF110" s="46"/>
      <c r="AG110" s="46"/>
      <c r="AH110" s="49"/>
      <c r="AI110" s="49"/>
      <c r="AJ110" s="49"/>
      <c r="AK110" s="49"/>
      <c r="AL110" s="49"/>
      <c r="AM110" s="49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BD110" s="49"/>
      <c r="BI110" s="121"/>
    </row>
    <row r="111" spans="1:146" s="19" customFormat="1" ht="24.75" hidden="1" customHeight="1">
      <c r="A111" s="97"/>
      <c r="B111" s="299" t="s">
        <v>107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46"/>
      <c r="N111" s="471"/>
      <c r="O111" s="471"/>
      <c r="P111" s="471"/>
      <c r="Q111" s="471"/>
      <c r="R111" s="46"/>
      <c r="S111" s="62"/>
      <c r="V111" s="4"/>
      <c r="W111" s="4"/>
      <c r="X111" s="4"/>
      <c r="Y111" s="4"/>
      <c r="Z111" s="33"/>
      <c r="AA111" s="33"/>
      <c r="AB111" s="33"/>
      <c r="AC111" s="33"/>
      <c r="AD111" s="33"/>
      <c r="AE111" s="46"/>
      <c r="AF111" s="46"/>
      <c r="AG111" s="46"/>
      <c r="AH111" s="49"/>
      <c r="AI111" s="49"/>
      <c r="AJ111" s="49"/>
      <c r="AK111" s="49"/>
      <c r="AL111" s="49"/>
      <c r="AM111" s="49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7"/>
      <c r="AZ111" s="47"/>
      <c r="BA111" s="47"/>
      <c r="BB111" s="47"/>
      <c r="BC111" s="47"/>
      <c r="BD111" s="49"/>
      <c r="BE111" s="47"/>
      <c r="BF111" s="47"/>
      <c r="BG111" s="47"/>
      <c r="BH111" s="47"/>
      <c r="BI111" s="118"/>
    </row>
    <row r="112" spans="1:146" s="19" customFormat="1" ht="18" hidden="1" customHeight="1">
      <c r="A112" s="31"/>
      <c r="B112" s="299" t="s">
        <v>46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46"/>
      <c r="N112" s="46"/>
      <c r="O112" s="46"/>
      <c r="P112" s="46"/>
      <c r="Q112" s="46"/>
      <c r="R112" s="46"/>
      <c r="S112" s="61"/>
      <c r="V112" s="4"/>
      <c r="W112" s="4"/>
      <c r="X112" s="4"/>
      <c r="Y112" s="4"/>
      <c r="Z112" s="37"/>
      <c r="AA112" s="37"/>
      <c r="AB112" s="37"/>
      <c r="AC112" s="37"/>
      <c r="AD112" s="37"/>
      <c r="AE112" s="46"/>
      <c r="AF112" s="46"/>
      <c r="AG112" s="46"/>
      <c r="AH112" s="49"/>
      <c r="AI112" s="49"/>
      <c r="AJ112" s="49"/>
      <c r="AK112" s="49"/>
      <c r="AL112" s="49"/>
      <c r="AM112" s="49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7"/>
      <c r="AZ112" s="47"/>
      <c r="BA112" s="47"/>
      <c r="BB112" s="47"/>
      <c r="BC112" s="47"/>
      <c r="BD112" s="49"/>
      <c r="BE112" s="47"/>
      <c r="BF112" s="47"/>
      <c r="BG112" s="47"/>
      <c r="BH112" s="47"/>
      <c r="BI112" s="121"/>
    </row>
    <row r="113" spans="1:61" s="34" customFormat="1" ht="15.75" hidden="1" customHeight="1">
      <c r="A113" s="32"/>
      <c r="B113" s="299" t="s">
        <v>88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49"/>
      <c r="N113" s="61"/>
      <c r="O113" s="61"/>
      <c r="P113" s="61"/>
      <c r="Q113" s="61"/>
      <c r="R113" s="61"/>
      <c r="S113" s="65"/>
      <c r="V113" s="33"/>
      <c r="W113" s="33"/>
      <c r="X113" s="33"/>
      <c r="Y113" s="33"/>
      <c r="Z113" s="37"/>
      <c r="AA113" s="37"/>
      <c r="AB113" s="37"/>
      <c r="AC113" s="37"/>
      <c r="AD113" s="37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50"/>
      <c r="AZ113" s="50"/>
      <c r="BA113" s="50"/>
      <c r="BB113" s="50"/>
      <c r="BC113" s="50"/>
      <c r="BD113" s="49"/>
      <c r="BE113" s="50"/>
      <c r="BF113" s="50"/>
      <c r="BG113" s="50"/>
      <c r="BH113" s="50"/>
      <c r="BI113" s="117"/>
    </row>
    <row r="114" spans="1:61" s="34" customFormat="1" ht="32.25" hidden="1" customHeight="1">
      <c r="A114" s="32"/>
      <c r="B114" s="299" t="s">
        <v>89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49"/>
      <c r="N114" s="62"/>
      <c r="O114" s="62"/>
      <c r="P114" s="62"/>
      <c r="Q114" s="62"/>
      <c r="R114" s="62"/>
      <c r="S114" s="62"/>
      <c r="V114" s="37"/>
      <c r="W114" s="37"/>
      <c r="X114" s="37"/>
      <c r="Y114" s="37"/>
      <c r="Z114" s="37"/>
      <c r="AA114" s="37"/>
      <c r="AB114" s="37"/>
      <c r="AC114" s="37"/>
      <c r="AD114" s="37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50"/>
      <c r="AZ114" s="50"/>
      <c r="BA114" s="50"/>
      <c r="BB114" s="50"/>
      <c r="BC114" s="50"/>
      <c r="BD114" s="49"/>
      <c r="BE114" s="50"/>
      <c r="BF114" s="50"/>
      <c r="BG114" s="50"/>
      <c r="BH114" s="50"/>
      <c r="BI114" s="117"/>
    </row>
    <row r="115" spans="1:61" s="50" customFormat="1" ht="29.25" hidden="1" customHeight="1">
      <c r="A115" s="32"/>
      <c r="B115" s="299" t="s">
        <v>90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49"/>
      <c r="N115" s="62"/>
      <c r="O115" s="62"/>
      <c r="P115" s="62"/>
      <c r="Q115" s="62"/>
      <c r="R115" s="62"/>
      <c r="S115" s="33"/>
      <c r="V115" s="61"/>
      <c r="W115" s="61"/>
      <c r="X115" s="61"/>
      <c r="Y115" s="61"/>
      <c r="Z115" s="62"/>
      <c r="AA115" s="62"/>
      <c r="AB115" s="62"/>
      <c r="AC115" s="62"/>
      <c r="AD115" s="62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34"/>
      <c r="AZ115" s="34"/>
      <c r="BA115" s="34"/>
      <c r="BB115" s="34"/>
      <c r="BC115" s="34"/>
      <c r="BD115" s="65"/>
      <c r="BE115" s="34"/>
      <c r="BF115" s="34"/>
      <c r="BG115" s="34"/>
      <c r="BH115" s="34"/>
      <c r="BI115" s="117"/>
    </row>
    <row r="116" spans="1:61" s="50" customFormat="1" ht="31.5" hidden="1" customHeight="1">
      <c r="A116" s="105"/>
      <c r="B116" s="299" t="s">
        <v>131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/>
      <c r="O116" s="37"/>
      <c r="P116" s="37"/>
      <c r="Q116" s="37"/>
      <c r="R116" s="38"/>
      <c r="S116" s="61"/>
      <c r="T116" s="34"/>
      <c r="U116" s="34"/>
      <c r="V116" s="37"/>
      <c r="W116" s="37"/>
      <c r="X116" s="37"/>
      <c r="Y116" s="37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BD116" s="49"/>
      <c r="BI116" s="117"/>
    </row>
    <row r="117" spans="1:61" s="50" customFormat="1" ht="18.75" hidden="1" customHeight="1">
      <c r="A117" s="105"/>
      <c r="B117" s="299" t="s">
        <v>63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49"/>
      <c r="N117" s="62"/>
      <c r="O117" s="62"/>
      <c r="P117" s="62"/>
      <c r="Q117" s="62"/>
      <c r="R117" s="62"/>
      <c r="S117" s="33"/>
      <c r="V117" s="62"/>
      <c r="W117" s="62"/>
      <c r="X117" s="62"/>
      <c r="Y117" s="62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34"/>
      <c r="AZ117" s="34"/>
      <c r="BA117" s="34"/>
      <c r="BB117" s="34"/>
      <c r="BC117" s="34"/>
      <c r="BD117" s="65"/>
      <c r="BE117" s="34"/>
      <c r="BF117" s="34"/>
      <c r="BG117" s="34"/>
      <c r="BH117" s="34"/>
      <c r="BI117" s="117"/>
    </row>
    <row r="118" spans="1:61" s="50" customFormat="1" ht="18.75" hidden="1" customHeight="1">
      <c r="A118" s="105"/>
      <c r="B118" s="299" t="s">
        <v>132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/>
      <c r="O118" s="37"/>
      <c r="P118" s="37"/>
      <c r="Q118" s="37"/>
      <c r="R118" s="37"/>
      <c r="S118" s="61"/>
      <c r="T118" s="34"/>
      <c r="U118" s="34"/>
      <c r="V118" s="37"/>
      <c r="W118" s="37"/>
      <c r="X118" s="37"/>
      <c r="Y118" s="37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BD118" s="49"/>
      <c r="BI118" s="117"/>
    </row>
    <row r="119" spans="1:61" s="50" customFormat="1" ht="27" hidden="1" customHeight="1">
      <c r="A119" s="105"/>
      <c r="B119" s="299" t="s">
        <v>133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49"/>
      <c r="N119" s="62"/>
      <c r="O119" s="62"/>
      <c r="P119" s="62"/>
      <c r="Q119" s="62"/>
      <c r="R119" s="62"/>
      <c r="S119" s="33"/>
      <c r="V119" s="62"/>
      <c r="W119" s="62"/>
      <c r="X119" s="62"/>
      <c r="Y119" s="62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34"/>
      <c r="AZ119" s="34"/>
      <c r="BA119" s="34"/>
      <c r="BB119" s="34"/>
      <c r="BC119" s="34"/>
      <c r="BD119" s="65"/>
      <c r="BE119" s="34"/>
      <c r="BF119" s="34"/>
      <c r="BG119" s="34"/>
      <c r="BH119" s="34"/>
      <c r="BI119" s="117"/>
    </row>
    <row r="120" spans="1:61" s="50" customFormat="1" ht="18.75" hidden="1" customHeight="1">
      <c r="A120" s="105"/>
      <c r="B120" s="299" t="s">
        <v>134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108"/>
      <c r="M120" s="65"/>
      <c r="N120" s="37"/>
      <c r="O120" s="37"/>
      <c r="P120" s="37"/>
      <c r="Q120" s="37"/>
      <c r="R120" s="37"/>
      <c r="S120" s="61"/>
      <c r="T120" s="34"/>
      <c r="U120" s="34"/>
      <c r="V120" s="37"/>
      <c r="W120" s="37"/>
      <c r="X120" s="37"/>
      <c r="Y120" s="37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BD120" s="49"/>
      <c r="BI120" s="117"/>
    </row>
    <row r="121" spans="1:61" s="50" customFormat="1" ht="22.5" hidden="1" customHeight="1">
      <c r="A121" s="105"/>
      <c r="B121" s="299" t="s">
        <v>91</v>
      </c>
      <c r="C121" s="299"/>
      <c r="D121" s="299"/>
      <c r="E121" s="299"/>
      <c r="F121" s="299"/>
      <c r="G121" s="299"/>
      <c r="H121" s="299"/>
      <c r="I121" s="299"/>
      <c r="J121" s="299"/>
      <c r="K121" s="299"/>
      <c r="L121" s="67"/>
      <c r="M121" s="49"/>
      <c r="N121" s="62"/>
      <c r="O121" s="62"/>
      <c r="P121" s="62"/>
      <c r="Q121" s="62"/>
      <c r="R121" s="62"/>
      <c r="S121" s="33"/>
      <c r="V121" s="61"/>
      <c r="W121" s="61"/>
      <c r="X121" s="61"/>
      <c r="Y121" s="61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34"/>
      <c r="AZ121" s="34"/>
      <c r="BA121" s="34"/>
      <c r="BB121" s="34"/>
      <c r="BC121" s="34"/>
      <c r="BD121" s="65"/>
      <c r="BE121" s="34"/>
      <c r="BF121" s="34"/>
      <c r="BG121" s="34"/>
      <c r="BH121" s="34"/>
      <c r="BI121" s="116"/>
    </row>
    <row r="122" spans="1:61" s="34" customFormat="1" ht="16.5" hidden="1" customHeight="1">
      <c r="A122" s="105"/>
      <c r="B122" s="299" t="s">
        <v>92</v>
      </c>
      <c r="C122" s="299"/>
      <c r="D122" s="299"/>
      <c r="E122" s="299"/>
      <c r="F122" s="299"/>
      <c r="G122" s="299"/>
      <c r="H122" s="299"/>
      <c r="I122" s="299"/>
      <c r="J122" s="299"/>
      <c r="K122" s="299"/>
      <c r="L122" s="67"/>
      <c r="M122" s="65"/>
      <c r="N122" s="37"/>
      <c r="O122" s="37"/>
      <c r="P122" s="37"/>
      <c r="Q122" s="37"/>
      <c r="R122" s="37"/>
      <c r="S122" s="61"/>
      <c r="V122" s="37"/>
      <c r="W122" s="61"/>
      <c r="X122" s="61"/>
      <c r="Y122" s="61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BD122" s="4"/>
      <c r="BI122" s="116"/>
    </row>
    <row r="123" spans="1:61" s="34" customFormat="1" ht="17.25" hidden="1" customHeight="1">
      <c r="A123" s="32"/>
      <c r="B123" s="299" t="s">
        <v>135</v>
      </c>
      <c r="C123" s="299"/>
      <c r="D123" s="299"/>
      <c r="E123" s="299"/>
      <c r="F123" s="299"/>
      <c r="G123" s="299"/>
      <c r="H123" s="299"/>
      <c r="I123" s="299"/>
      <c r="J123" s="299"/>
      <c r="K123" s="299"/>
      <c r="L123" s="67"/>
      <c r="M123" s="65"/>
      <c r="N123" s="37"/>
      <c r="O123" s="37"/>
      <c r="P123" s="37"/>
      <c r="Q123" s="37"/>
      <c r="R123" s="37"/>
      <c r="S123" s="46"/>
      <c r="T123" s="50"/>
      <c r="U123" s="50"/>
      <c r="V123" s="62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BD123" s="4"/>
      <c r="BI123" s="117"/>
    </row>
    <row r="124" spans="1:61" s="50" customFormat="1" ht="18" hidden="1" customHeight="1">
      <c r="A124" s="32"/>
      <c r="B124" s="299" t="s">
        <v>136</v>
      </c>
      <c r="C124" s="299"/>
      <c r="D124" s="299"/>
      <c r="E124" s="299"/>
      <c r="F124" s="299"/>
      <c r="G124" s="299"/>
      <c r="H124" s="299"/>
      <c r="I124" s="299"/>
      <c r="J124" s="299"/>
      <c r="K124" s="299"/>
      <c r="L124" s="67"/>
      <c r="M124" s="65"/>
      <c r="N124" s="37"/>
      <c r="O124" s="37"/>
      <c r="P124" s="37"/>
      <c r="Q124" s="37"/>
      <c r="R124" s="61"/>
      <c r="S124" s="4"/>
      <c r="T124" s="34"/>
      <c r="U124" s="34"/>
      <c r="V124" s="37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BD124" s="46"/>
      <c r="BI124" s="117"/>
    </row>
    <row r="125" spans="1:61" s="34" customFormat="1" ht="14.25" hidden="1" customHeight="1">
      <c r="A125" s="105"/>
      <c r="B125" s="299" t="s">
        <v>137</v>
      </c>
      <c r="C125" s="299"/>
      <c r="D125" s="299"/>
      <c r="E125" s="299"/>
      <c r="F125" s="299"/>
      <c r="G125" s="299"/>
      <c r="H125" s="299"/>
      <c r="I125" s="299"/>
      <c r="J125" s="299"/>
      <c r="K125" s="299"/>
      <c r="L125" s="67"/>
      <c r="M125" s="49"/>
      <c r="N125" s="62"/>
      <c r="O125" s="62"/>
      <c r="P125" s="62"/>
      <c r="Q125" s="62"/>
      <c r="R125" s="62"/>
      <c r="S125" s="4"/>
      <c r="V125" s="37"/>
      <c r="W125" s="49"/>
      <c r="X125" s="49"/>
      <c r="Y125" s="49"/>
      <c r="Z125" s="46"/>
      <c r="AA125" s="46"/>
      <c r="AB125" s="46"/>
      <c r="AC125" s="46"/>
      <c r="AD125" s="46"/>
      <c r="AE125" s="49"/>
      <c r="AF125" s="49"/>
      <c r="AG125" s="49"/>
      <c r="AH125" s="46"/>
      <c r="AI125" s="46"/>
      <c r="AJ125" s="46"/>
      <c r="AK125" s="46"/>
      <c r="AL125" s="46"/>
      <c r="AM125" s="46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50"/>
      <c r="AZ125" s="50"/>
      <c r="BA125" s="50"/>
      <c r="BB125" s="50"/>
      <c r="BC125" s="50"/>
      <c r="BD125" s="46"/>
      <c r="BE125" s="50"/>
      <c r="BF125" s="50"/>
      <c r="BG125" s="50"/>
      <c r="BH125" s="50"/>
      <c r="BI125" s="117"/>
    </row>
    <row r="126" spans="1:61" s="34" customFormat="1" ht="19.5" hidden="1" customHeight="1">
      <c r="A126" s="32"/>
      <c r="B126" s="299" t="s">
        <v>93</v>
      </c>
      <c r="C126" s="299"/>
      <c r="D126" s="299"/>
      <c r="E126" s="299"/>
      <c r="F126" s="299"/>
      <c r="G126" s="299"/>
      <c r="H126" s="299"/>
      <c r="I126" s="299"/>
      <c r="J126" s="299"/>
      <c r="K126" s="299"/>
      <c r="L126" s="67"/>
      <c r="M126" s="49"/>
      <c r="N126" s="62"/>
      <c r="O126" s="62"/>
      <c r="P126" s="62"/>
      <c r="Q126" s="62"/>
      <c r="R126" s="62"/>
      <c r="S126" s="4"/>
      <c r="V126" s="37"/>
      <c r="W126" s="49"/>
      <c r="X126" s="49"/>
      <c r="Y126" s="49"/>
      <c r="Z126" s="46"/>
      <c r="AA126" s="46"/>
      <c r="AB126" s="46"/>
      <c r="AC126" s="46"/>
      <c r="AD126" s="46"/>
      <c r="AE126" s="49"/>
      <c r="AF126" s="49"/>
      <c r="AG126" s="49"/>
      <c r="AH126" s="46"/>
      <c r="AI126" s="46"/>
      <c r="AJ126" s="46"/>
      <c r="AK126" s="46"/>
      <c r="AL126" s="46"/>
      <c r="AM126" s="46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50"/>
      <c r="AZ126" s="50"/>
      <c r="BA126" s="50"/>
      <c r="BB126" s="50"/>
      <c r="BC126" s="50"/>
      <c r="BD126" s="46"/>
      <c r="BE126" s="50"/>
      <c r="BF126" s="50"/>
      <c r="BG126" s="50"/>
      <c r="BH126" s="50"/>
      <c r="BI126" s="117"/>
    </row>
    <row r="127" spans="1:61" s="34" customFormat="1" ht="27.75" hidden="1" customHeight="1">
      <c r="A127" s="32"/>
      <c r="B127" s="299" t="s">
        <v>128</v>
      </c>
      <c r="C127" s="299"/>
      <c r="D127" s="299"/>
      <c r="E127" s="299"/>
      <c r="F127" s="299"/>
      <c r="G127" s="299"/>
      <c r="H127" s="299"/>
      <c r="I127" s="299"/>
      <c r="J127" s="299"/>
      <c r="K127" s="299"/>
      <c r="L127" s="67"/>
      <c r="M127" s="49"/>
      <c r="N127" s="62"/>
      <c r="O127" s="62"/>
      <c r="P127" s="62"/>
      <c r="Q127" s="62"/>
      <c r="R127" s="62"/>
      <c r="S127" s="4"/>
      <c r="V127" s="65"/>
      <c r="W127" s="33"/>
      <c r="X127" s="33"/>
      <c r="Y127" s="33"/>
      <c r="Z127" s="46"/>
      <c r="AA127" s="46"/>
      <c r="AB127" s="46"/>
      <c r="AC127" s="46"/>
      <c r="AD127" s="46"/>
      <c r="AE127" s="49"/>
      <c r="AF127" s="49"/>
      <c r="AG127" s="49"/>
      <c r="AH127" s="46"/>
      <c r="AI127" s="46"/>
      <c r="AJ127" s="46"/>
      <c r="AK127" s="46"/>
      <c r="AL127" s="46"/>
      <c r="AM127" s="46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50"/>
      <c r="AZ127" s="50"/>
      <c r="BA127" s="50"/>
      <c r="BB127" s="50"/>
      <c r="BC127" s="50"/>
      <c r="BD127" s="46"/>
      <c r="BE127" s="50"/>
      <c r="BF127" s="50"/>
      <c r="BG127" s="50"/>
      <c r="BH127" s="50"/>
      <c r="BI127" s="116"/>
    </row>
    <row r="128" spans="1:61" s="50" customFormat="1" ht="23.25" hidden="1" customHeight="1">
      <c r="A128" s="32"/>
      <c r="B128" s="299" t="s">
        <v>94</v>
      </c>
      <c r="C128" s="299"/>
      <c r="D128" s="299"/>
      <c r="E128" s="299"/>
      <c r="F128" s="299"/>
      <c r="G128" s="299"/>
      <c r="H128" s="299"/>
      <c r="I128" s="299"/>
      <c r="J128" s="299"/>
      <c r="K128" s="299"/>
      <c r="L128" s="67"/>
      <c r="M128" s="49"/>
      <c r="N128" s="62"/>
      <c r="O128" s="62"/>
      <c r="P128" s="62"/>
      <c r="Q128" s="62"/>
      <c r="R128" s="33"/>
      <c r="S128" s="46"/>
      <c r="V128" s="49"/>
      <c r="W128" s="62"/>
      <c r="X128" s="62"/>
      <c r="Y128" s="62"/>
      <c r="Z128" s="4"/>
      <c r="AA128" s="4"/>
      <c r="AB128" s="4"/>
      <c r="AC128" s="4"/>
      <c r="AD128" s="4"/>
      <c r="AE128" s="65"/>
      <c r="AF128" s="65"/>
      <c r="AG128" s="65"/>
      <c r="AH128" s="4"/>
      <c r="AI128" s="4"/>
      <c r="AJ128" s="4"/>
      <c r="AK128" s="4"/>
      <c r="AL128" s="4"/>
      <c r="AM128" s="4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34"/>
      <c r="AZ128" s="34"/>
      <c r="BA128" s="34"/>
      <c r="BB128" s="34"/>
      <c r="BC128" s="34"/>
      <c r="BD128" s="4"/>
      <c r="BE128" s="34"/>
      <c r="BF128" s="34"/>
      <c r="BG128" s="34"/>
      <c r="BH128" s="34"/>
      <c r="BI128" s="117"/>
    </row>
    <row r="129" spans="1:146" s="34" customFormat="1" ht="20.25" hidden="1" customHeight="1">
      <c r="A129" s="105"/>
      <c r="B129" s="472" t="s">
        <v>48</v>
      </c>
      <c r="C129" s="472"/>
      <c r="D129" s="472"/>
      <c r="E129" s="472"/>
      <c r="F129" s="472"/>
      <c r="G129" s="472"/>
      <c r="H129" s="472"/>
      <c r="I129" s="109"/>
      <c r="J129" s="109"/>
      <c r="K129" s="109"/>
      <c r="L129" s="109"/>
      <c r="M129" s="65"/>
      <c r="N129" s="37"/>
      <c r="O129" s="37"/>
      <c r="P129" s="37"/>
      <c r="Q129" s="37"/>
      <c r="R129" s="49"/>
      <c r="S129" s="46"/>
      <c r="T129" s="50"/>
      <c r="U129" s="50"/>
      <c r="V129" s="49"/>
      <c r="W129" s="62"/>
      <c r="X129" s="62"/>
      <c r="Y129" s="62"/>
      <c r="Z129" s="4"/>
      <c r="AA129" s="4"/>
      <c r="AB129" s="4"/>
      <c r="AC129" s="4"/>
      <c r="AD129" s="4"/>
      <c r="AE129" s="65"/>
      <c r="AF129" s="65"/>
      <c r="AG129" s="65"/>
      <c r="AH129" s="4"/>
      <c r="AI129" s="4"/>
      <c r="AJ129" s="4"/>
      <c r="AK129" s="4"/>
      <c r="AL129" s="4"/>
      <c r="AM129" s="4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BD129" s="4"/>
      <c r="BI129" s="117"/>
    </row>
    <row r="130" spans="1:146" s="34" customFormat="1" ht="29.25" hidden="1" customHeight="1">
      <c r="A130" s="32"/>
      <c r="B130" s="299" t="s">
        <v>77</v>
      </c>
      <c r="C130" s="299"/>
      <c r="D130" s="299"/>
      <c r="E130" s="299"/>
      <c r="F130" s="299"/>
      <c r="G130" s="299"/>
      <c r="H130" s="299"/>
      <c r="I130" s="299"/>
      <c r="J130" s="299"/>
      <c r="K130" s="299"/>
      <c r="L130" s="67"/>
      <c r="M130" s="65"/>
      <c r="N130" s="37"/>
      <c r="O130" s="37"/>
      <c r="P130" s="37"/>
      <c r="Q130" s="37"/>
      <c r="R130" s="49"/>
      <c r="S130" s="46"/>
      <c r="T130" s="50"/>
      <c r="U130" s="50"/>
      <c r="V130" s="49"/>
      <c r="W130" s="62"/>
      <c r="X130" s="62"/>
      <c r="Y130" s="62"/>
      <c r="Z130" s="4"/>
      <c r="AA130" s="4"/>
      <c r="AB130" s="4"/>
      <c r="AC130" s="4"/>
      <c r="AD130" s="4"/>
      <c r="AE130" s="65"/>
      <c r="AF130" s="65"/>
      <c r="AG130" s="65"/>
      <c r="AH130" s="4"/>
      <c r="AI130" s="4"/>
      <c r="AJ130" s="4"/>
      <c r="AK130" s="4"/>
      <c r="AL130" s="4"/>
      <c r="AM130" s="4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BD130" s="4"/>
      <c r="BI130" s="117"/>
    </row>
    <row r="131" spans="1:146" s="34" customFormat="1" ht="24.75" hidden="1" customHeight="1">
      <c r="A131" s="32"/>
      <c r="B131" s="299" t="s">
        <v>81</v>
      </c>
      <c r="C131" s="299"/>
      <c r="D131" s="299"/>
      <c r="E131" s="299"/>
      <c r="F131" s="299"/>
      <c r="G131" s="299"/>
      <c r="H131" s="299"/>
      <c r="I131" s="299"/>
      <c r="J131" s="299"/>
      <c r="K131" s="299"/>
      <c r="L131" s="110"/>
      <c r="M131" s="65"/>
      <c r="N131" s="37"/>
      <c r="O131" s="37"/>
      <c r="P131" s="37"/>
      <c r="Q131" s="37"/>
      <c r="R131" s="37"/>
      <c r="S131" s="46"/>
      <c r="T131" s="50"/>
      <c r="U131" s="50"/>
      <c r="V131" s="62"/>
      <c r="W131" s="62"/>
      <c r="X131" s="62"/>
      <c r="Y131" s="62"/>
      <c r="Z131" s="4"/>
      <c r="AA131" s="4"/>
      <c r="AB131" s="4"/>
      <c r="AC131" s="4"/>
      <c r="AD131" s="4"/>
      <c r="AE131" s="65"/>
      <c r="AF131" s="65"/>
      <c r="AG131" s="65"/>
      <c r="AH131" s="4"/>
      <c r="AI131" s="4"/>
      <c r="AJ131" s="4"/>
      <c r="AK131" s="4"/>
      <c r="AL131" s="4"/>
      <c r="AM131" s="4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BD131" s="4"/>
      <c r="BI131" s="117"/>
    </row>
    <row r="132" spans="1:146" s="34" customFormat="1" ht="25.5" hidden="1" customHeight="1">
      <c r="A132" s="32"/>
      <c r="B132" s="299" t="s">
        <v>82</v>
      </c>
      <c r="C132" s="299"/>
      <c r="D132" s="299"/>
      <c r="E132" s="299"/>
      <c r="F132" s="299"/>
      <c r="G132" s="299"/>
      <c r="H132" s="299"/>
      <c r="I132" s="299"/>
      <c r="J132" s="299"/>
      <c r="K132" s="299"/>
      <c r="L132" s="110"/>
      <c r="M132" s="65"/>
      <c r="N132" s="33"/>
      <c r="O132" s="33"/>
      <c r="P132" s="33"/>
      <c r="Q132" s="33"/>
      <c r="R132" s="33"/>
      <c r="S132" s="46"/>
      <c r="T132" s="50"/>
      <c r="U132" s="50"/>
      <c r="V132" s="61"/>
      <c r="W132" s="65"/>
      <c r="X132" s="65"/>
      <c r="Y132" s="65"/>
      <c r="Z132" s="4"/>
      <c r="AA132" s="4"/>
      <c r="AB132" s="4"/>
      <c r="AC132" s="4"/>
      <c r="AD132" s="4"/>
      <c r="AE132" s="65"/>
      <c r="AF132" s="65"/>
      <c r="AG132" s="65"/>
      <c r="AH132" s="4"/>
      <c r="AI132" s="4"/>
      <c r="AJ132" s="4"/>
      <c r="AK132" s="4"/>
      <c r="AL132" s="4"/>
      <c r="AM132" s="4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BD132" s="4"/>
      <c r="BI132" s="116"/>
    </row>
    <row r="133" spans="1:146" s="50" customFormat="1" ht="25.5" hidden="1" customHeight="1">
      <c r="A133" s="32"/>
      <c r="B133" s="299" t="s">
        <v>76</v>
      </c>
      <c r="C133" s="299"/>
      <c r="D133" s="299"/>
      <c r="E133" s="299"/>
      <c r="F133" s="299"/>
      <c r="G133" s="299"/>
      <c r="H133" s="299"/>
      <c r="I133" s="299"/>
      <c r="J133" s="299"/>
      <c r="K133" s="299"/>
      <c r="L133" s="110"/>
      <c r="M133" s="65"/>
      <c r="N133" s="37"/>
      <c r="O133" s="37"/>
      <c r="P133" s="37"/>
      <c r="Q133" s="37"/>
      <c r="R133" s="61"/>
      <c r="S133" s="4"/>
      <c r="T133" s="34"/>
      <c r="U133" s="34"/>
      <c r="V133" s="33"/>
      <c r="W133" s="49"/>
      <c r="X133" s="49"/>
      <c r="Y133" s="49"/>
      <c r="Z133" s="46"/>
      <c r="AA133" s="46"/>
      <c r="AB133" s="46"/>
      <c r="AC133" s="46"/>
      <c r="AD133" s="46"/>
      <c r="AE133" s="49"/>
      <c r="AF133" s="49"/>
      <c r="AG133" s="49"/>
      <c r="AH133" s="46"/>
      <c r="AI133" s="46"/>
      <c r="AJ133" s="46"/>
      <c r="AK133" s="46"/>
      <c r="AL133" s="46"/>
      <c r="AM133" s="46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BD133" s="46"/>
      <c r="BI133" s="116"/>
    </row>
    <row r="134" spans="1:146" s="50" customFormat="1" ht="39" hidden="1" customHeight="1">
      <c r="A134" s="105"/>
      <c r="B134" s="472" t="s">
        <v>95</v>
      </c>
      <c r="C134" s="472"/>
      <c r="D134" s="472"/>
      <c r="E134" s="472"/>
      <c r="F134" s="472"/>
      <c r="G134" s="472"/>
      <c r="H134" s="472"/>
      <c r="I134" s="472"/>
      <c r="J134" s="472"/>
      <c r="K134" s="472"/>
      <c r="L134" s="109"/>
      <c r="M134" s="49"/>
      <c r="N134" s="62"/>
      <c r="O134" s="62"/>
      <c r="P134" s="62"/>
      <c r="Q134" s="62"/>
      <c r="R134" s="33"/>
      <c r="S134" s="46"/>
      <c r="V134" s="61"/>
      <c r="W134" s="65"/>
      <c r="X134" s="65"/>
      <c r="Y134" s="65"/>
      <c r="Z134" s="4"/>
      <c r="AA134" s="4"/>
      <c r="AB134" s="4"/>
      <c r="AC134" s="4"/>
      <c r="AD134" s="4"/>
      <c r="AE134" s="65"/>
      <c r="AF134" s="65"/>
      <c r="AG134" s="65"/>
      <c r="AH134" s="4"/>
      <c r="AI134" s="4"/>
      <c r="AJ134" s="4"/>
      <c r="AK134" s="4"/>
      <c r="AL134" s="4"/>
      <c r="AM134" s="4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34"/>
      <c r="AZ134" s="34"/>
      <c r="BA134" s="34"/>
      <c r="BB134" s="34"/>
      <c r="BC134" s="34"/>
      <c r="BD134" s="4"/>
      <c r="BE134" s="34"/>
      <c r="BF134" s="34"/>
      <c r="BG134" s="34"/>
      <c r="BH134" s="34"/>
      <c r="BI134" s="116"/>
    </row>
    <row r="135" spans="1:146" s="50" customFormat="1" ht="35.25" hidden="1" customHeight="1">
      <c r="A135" s="105"/>
      <c r="B135" s="472" t="s">
        <v>96</v>
      </c>
      <c r="C135" s="472"/>
      <c r="D135" s="472"/>
      <c r="E135" s="472"/>
      <c r="F135" s="472"/>
      <c r="G135" s="472"/>
      <c r="H135" s="472"/>
      <c r="I135" s="472"/>
      <c r="J135" s="472"/>
      <c r="K135" s="472"/>
      <c r="L135" s="109"/>
      <c r="M135" s="65"/>
      <c r="N135" s="37"/>
      <c r="O135" s="37"/>
      <c r="P135" s="37"/>
      <c r="Q135" s="37"/>
      <c r="R135" s="61"/>
      <c r="S135" s="4"/>
      <c r="T135" s="34"/>
      <c r="U135" s="34"/>
      <c r="V135" s="33"/>
      <c r="W135" s="49"/>
      <c r="X135" s="49"/>
      <c r="Y135" s="49"/>
      <c r="Z135" s="46"/>
      <c r="AA135" s="46"/>
      <c r="AB135" s="46"/>
      <c r="AC135" s="46"/>
      <c r="AD135" s="46"/>
      <c r="AE135" s="49"/>
      <c r="AF135" s="49"/>
      <c r="AG135" s="49"/>
      <c r="AH135" s="46"/>
      <c r="AI135" s="46"/>
      <c r="AJ135" s="46"/>
      <c r="AK135" s="46"/>
      <c r="AL135" s="46"/>
      <c r="AM135" s="46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BD135" s="46"/>
      <c r="BI135" s="116"/>
    </row>
    <row r="136" spans="1:146" s="36" customFormat="1" ht="25.5" hidden="1" customHeight="1">
      <c r="A136" s="32"/>
      <c r="B136" s="476"/>
      <c r="C136" s="476"/>
      <c r="D136" s="476"/>
      <c r="E136" s="476"/>
      <c r="F136" s="476"/>
      <c r="G136" s="476"/>
      <c r="H136" s="476"/>
      <c r="I136" s="83"/>
      <c r="J136" s="83"/>
      <c r="K136" s="83"/>
      <c r="L136" s="83"/>
      <c r="M136" s="49"/>
      <c r="N136" s="62"/>
      <c r="O136" s="62"/>
      <c r="P136" s="33"/>
      <c r="Q136" s="33"/>
      <c r="R136" s="33"/>
      <c r="S136" s="46"/>
      <c r="T136" s="50"/>
      <c r="U136" s="50"/>
      <c r="V136" s="61"/>
      <c r="W136" s="65"/>
      <c r="X136" s="65"/>
      <c r="Y136" s="65"/>
      <c r="Z136" s="4"/>
      <c r="AA136" s="4"/>
      <c r="AB136" s="4"/>
      <c r="AC136" s="4"/>
      <c r="AD136" s="4"/>
      <c r="AE136" s="65"/>
      <c r="AF136" s="65"/>
      <c r="AG136" s="65"/>
      <c r="AH136" s="4"/>
      <c r="AI136" s="4"/>
      <c r="AJ136" s="4"/>
      <c r="AK136" s="4"/>
      <c r="AL136" s="4"/>
      <c r="AM136" s="4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34"/>
      <c r="AZ136" s="34"/>
      <c r="BA136" s="34"/>
      <c r="BB136" s="34"/>
      <c r="BC136" s="34"/>
      <c r="BD136" s="4"/>
      <c r="BE136" s="34"/>
      <c r="BF136" s="34"/>
      <c r="BG136" s="34"/>
      <c r="BH136" s="34"/>
      <c r="BI136" s="116"/>
      <c r="BJ136" s="34"/>
      <c r="BK136" s="34"/>
      <c r="BL136" s="34"/>
      <c r="BM136" s="34"/>
      <c r="BN136" s="34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</row>
    <row r="137" spans="1:146" s="36" customFormat="1" ht="25.5" hidden="1" customHeight="1">
      <c r="A137" s="32"/>
      <c r="B137" s="395"/>
      <c r="C137" s="395"/>
      <c r="D137" s="395"/>
      <c r="E137" s="395"/>
      <c r="F137" s="395"/>
      <c r="G137" s="395"/>
      <c r="H137" s="395"/>
      <c r="I137" s="80"/>
      <c r="J137" s="80"/>
      <c r="K137" s="80"/>
      <c r="L137" s="80"/>
      <c r="M137" s="65"/>
      <c r="N137" s="33"/>
      <c r="O137" s="33"/>
      <c r="P137" s="49"/>
      <c r="Q137" s="49"/>
      <c r="R137" s="61"/>
      <c r="S137" s="4"/>
      <c r="T137" s="34"/>
      <c r="U137" s="34"/>
      <c r="V137" s="33"/>
      <c r="W137" s="49"/>
      <c r="X137" s="49"/>
      <c r="Y137" s="49"/>
      <c r="Z137" s="46"/>
      <c r="AA137" s="46"/>
      <c r="AB137" s="46"/>
      <c r="AC137" s="46"/>
      <c r="AD137" s="46"/>
      <c r="AE137" s="49"/>
      <c r="AF137" s="49"/>
      <c r="AG137" s="49"/>
      <c r="AH137" s="46"/>
      <c r="AI137" s="46"/>
      <c r="AJ137" s="46"/>
      <c r="AK137" s="46"/>
      <c r="AL137" s="46"/>
      <c r="AM137" s="46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50"/>
      <c r="AZ137" s="50"/>
      <c r="BA137" s="50"/>
      <c r="BB137" s="50"/>
      <c r="BC137" s="50"/>
      <c r="BD137" s="46"/>
      <c r="BE137" s="50"/>
      <c r="BF137" s="50"/>
      <c r="BG137" s="50"/>
      <c r="BH137" s="50"/>
      <c r="BI137" s="116"/>
      <c r="BJ137" s="50"/>
      <c r="BK137" s="50"/>
      <c r="BL137" s="50"/>
      <c r="BM137" s="50"/>
      <c r="BN137" s="50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</row>
    <row r="138" spans="1:146" s="36" customFormat="1" ht="38.25" customHeight="1">
      <c r="A138" s="32"/>
      <c r="B138" s="456" t="s">
        <v>154</v>
      </c>
      <c r="C138" s="456"/>
      <c r="D138" s="456"/>
      <c r="E138" s="456"/>
      <c r="F138" s="456"/>
      <c r="G138" s="456"/>
      <c r="H138" s="456"/>
      <c r="I138" s="456"/>
      <c r="J138" s="456"/>
      <c r="K138" s="456"/>
      <c r="L138" s="456"/>
      <c r="M138" s="49"/>
      <c r="N138" s="61"/>
      <c r="O138" s="61"/>
      <c r="P138" s="65"/>
      <c r="Q138" s="65"/>
      <c r="R138" s="33"/>
      <c r="S138" s="46"/>
      <c r="T138" s="50"/>
      <c r="U138" s="50"/>
      <c r="V138" s="61"/>
      <c r="W138" s="65"/>
      <c r="X138" s="65"/>
      <c r="Y138" s="65"/>
      <c r="Z138" s="4"/>
      <c r="AA138" s="4"/>
      <c r="AB138" s="4"/>
      <c r="AC138" s="4"/>
      <c r="AD138" s="4"/>
      <c r="AE138" s="65"/>
      <c r="AF138" s="65"/>
      <c r="AG138" s="65"/>
      <c r="AH138" s="4"/>
      <c r="AI138" s="4"/>
      <c r="AJ138" s="4"/>
      <c r="AK138" s="4"/>
      <c r="AL138" s="4"/>
      <c r="AM138" s="4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34"/>
      <c r="AZ138" s="34"/>
      <c r="BA138" s="34"/>
      <c r="BB138" s="34"/>
      <c r="BC138" s="34"/>
      <c r="BD138" s="4"/>
      <c r="BE138" s="34"/>
      <c r="BF138" s="34"/>
      <c r="BG138" s="34"/>
      <c r="BH138" s="34"/>
      <c r="BI138" s="116"/>
      <c r="BJ138" s="50"/>
      <c r="BK138" s="50"/>
      <c r="BL138" s="50"/>
      <c r="BM138" s="50"/>
      <c r="BN138" s="50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</row>
    <row r="139" spans="1:146" s="36" customFormat="1" ht="25.5" customHeight="1">
      <c r="A139" s="32"/>
      <c r="B139" s="456" t="s">
        <v>155</v>
      </c>
      <c r="C139" s="456"/>
      <c r="D139" s="456"/>
      <c r="E139" s="456"/>
      <c r="F139" s="456"/>
      <c r="G139" s="456"/>
      <c r="H139" s="456"/>
      <c r="I139" s="456"/>
      <c r="J139" s="456"/>
      <c r="K139" s="456"/>
      <c r="L139" s="456"/>
      <c r="M139" s="65"/>
      <c r="N139" s="33"/>
      <c r="O139" s="33"/>
      <c r="P139" s="49"/>
      <c r="Q139" s="49"/>
      <c r="R139" s="61"/>
      <c r="S139" s="4"/>
      <c r="T139" s="34"/>
      <c r="U139" s="34"/>
      <c r="V139" s="33"/>
      <c r="W139" s="49"/>
      <c r="X139" s="49"/>
      <c r="Y139" s="49"/>
      <c r="Z139" s="46"/>
      <c r="AA139" s="46"/>
      <c r="AB139" s="46"/>
      <c r="AC139" s="46"/>
      <c r="AD139" s="46"/>
      <c r="AE139" s="49"/>
      <c r="AF139" s="49"/>
      <c r="AG139" s="49"/>
      <c r="AH139" s="46"/>
      <c r="AI139" s="46"/>
      <c r="AJ139" s="46"/>
      <c r="AK139" s="46"/>
      <c r="AL139" s="46"/>
      <c r="AM139" s="46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50"/>
      <c r="AZ139" s="50"/>
      <c r="BA139" s="50"/>
      <c r="BB139" s="50"/>
      <c r="BC139" s="50"/>
      <c r="BD139" s="46"/>
      <c r="BE139" s="50"/>
      <c r="BF139" s="50"/>
      <c r="BG139" s="50"/>
      <c r="BH139" s="50"/>
      <c r="BI139" s="116"/>
      <c r="BJ139" s="50"/>
      <c r="BK139" s="50"/>
      <c r="BL139" s="50"/>
      <c r="BM139" s="50"/>
      <c r="BN139" s="50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</row>
    <row r="140" spans="1:146" s="36" customFormat="1" ht="40.5" customHeight="1">
      <c r="A140" s="32"/>
      <c r="B140" s="456" t="s">
        <v>153</v>
      </c>
      <c r="C140" s="456"/>
      <c r="D140" s="456"/>
      <c r="E140" s="456"/>
      <c r="F140" s="456"/>
      <c r="G140" s="456"/>
      <c r="H140" s="456"/>
      <c r="I140" s="456"/>
      <c r="J140" s="456"/>
      <c r="K140" s="456"/>
      <c r="L140" s="456"/>
      <c r="M140" s="49"/>
      <c r="N140" s="61"/>
      <c r="O140" s="61"/>
      <c r="P140" s="65"/>
      <c r="Q140" s="65"/>
      <c r="R140" s="33"/>
      <c r="S140" s="46"/>
      <c r="T140" s="50"/>
      <c r="U140" s="50"/>
      <c r="V140" s="61"/>
      <c r="W140" s="65"/>
      <c r="X140" s="65"/>
      <c r="Y140" s="65"/>
      <c r="Z140" s="4"/>
      <c r="AA140" s="4"/>
      <c r="AB140" s="4"/>
      <c r="AC140" s="4"/>
      <c r="AD140" s="4"/>
      <c r="AE140" s="65"/>
      <c r="AF140" s="65"/>
      <c r="AG140" s="65"/>
      <c r="AH140" s="4"/>
      <c r="AI140" s="4"/>
      <c r="AJ140" s="4"/>
      <c r="AK140" s="4"/>
      <c r="AL140" s="4"/>
      <c r="AM140" s="4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34"/>
      <c r="AZ140" s="34"/>
      <c r="BA140" s="34"/>
      <c r="BB140" s="34"/>
      <c r="BC140" s="34"/>
      <c r="BD140" s="4"/>
      <c r="BE140" s="34"/>
      <c r="BF140" s="34"/>
      <c r="BG140" s="34"/>
      <c r="BH140" s="34"/>
      <c r="BI140" s="116"/>
      <c r="BJ140" s="50"/>
      <c r="BK140" s="50"/>
      <c r="BL140" s="50"/>
      <c r="BM140" s="50"/>
      <c r="BN140" s="50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</row>
    <row r="141" spans="1:146" s="36" customFormat="1" ht="61.5" customHeight="1">
      <c r="A141" s="32"/>
      <c r="B141" s="456" t="s">
        <v>193</v>
      </c>
      <c r="C141" s="456"/>
      <c r="D141" s="456"/>
      <c r="E141" s="456"/>
      <c r="F141" s="456"/>
      <c r="G141" s="456"/>
      <c r="H141" s="456"/>
      <c r="I141" s="456"/>
      <c r="J141" s="456"/>
      <c r="K141" s="456"/>
      <c r="L141" s="456"/>
      <c r="M141" s="65"/>
      <c r="N141" s="33"/>
      <c r="O141" s="33"/>
      <c r="P141" s="49"/>
      <c r="Q141" s="49"/>
      <c r="R141" s="61"/>
      <c r="S141" s="4"/>
      <c r="T141" s="34"/>
      <c r="U141" s="34"/>
      <c r="V141" s="33"/>
      <c r="W141" s="49"/>
      <c r="X141" s="49"/>
      <c r="Y141" s="49"/>
      <c r="Z141" s="46"/>
      <c r="AA141" s="46"/>
      <c r="AB141" s="46"/>
      <c r="AC141" s="46"/>
      <c r="AD141" s="46"/>
      <c r="AE141" s="49"/>
      <c r="AF141" s="49"/>
      <c r="AG141" s="49"/>
      <c r="AH141" s="46"/>
      <c r="AI141" s="46"/>
      <c r="AJ141" s="46"/>
      <c r="AK141" s="46"/>
      <c r="AL141" s="46"/>
      <c r="AM141" s="46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50"/>
      <c r="AZ141" s="50"/>
      <c r="BA141" s="50"/>
      <c r="BB141" s="50"/>
      <c r="BC141" s="50"/>
      <c r="BD141" s="46"/>
      <c r="BE141" s="50"/>
      <c r="BF141" s="50"/>
      <c r="BG141" s="50"/>
      <c r="BH141" s="50"/>
      <c r="BI141" s="116"/>
      <c r="BJ141" s="50"/>
      <c r="BK141" s="50"/>
      <c r="BL141" s="50"/>
      <c r="BM141" s="50"/>
      <c r="BN141" s="50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</row>
    <row r="142" spans="1:146" s="36" customFormat="1" ht="25.5" customHeight="1">
      <c r="A142" s="32"/>
      <c r="B142" s="455" t="s">
        <v>187</v>
      </c>
      <c r="C142" s="455"/>
      <c r="D142" s="455"/>
      <c r="E142" s="455"/>
      <c r="F142" s="455"/>
      <c r="G142" s="455"/>
      <c r="H142" s="455"/>
      <c r="I142" s="455"/>
      <c r="J142" s="455"/>
      <c r="K142" s="455"/>
      <c r="L142" s="455"/>
      <c r="M142" s="49"/>
      <c r="N142" s="61"/>
      <c r="O142" s="61"/>
      <c r="P142" s="65"/>
      <c r="Q142" s="65"/>
      <c r="R142" s="33"/>
      <c r="S142" s="46"/>
      <c r="T142" s="50"/>
      <c r="U142" s="50"/>
      <c r="V142" s="61"/>
      <c r="W142" s="65"/>
      <c r="X142" s="65"/>
      <c r="Y142" s="65"/>
      <c r="Z142" s="4"/>
      <c r="AA142" s="4"/>
      <c r="AB142" s="4"/>
      <c r="AC142" s="4"/>
      <c r="AD142" s="4"/>
      <c r="AE142" s="65"/>
      <c r="AF142" s="65"/>
      <c r="AG142" s="65"/>
      <c r="AH142" s="4"/>
      <c r="AI142" s="4"/>
      <c r="AJ142" s="4"/>
      <c r="AK142" s="4"/>
      <c r="AL142" s="4"/>
      <c r="AM142" s="4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34"/>
      <c r="AZ142" s="34"/>
      <c r="BA142" s="34"/>
      <c r="BB142" s="34"/>
      <c r="BC142" s="34"/>
      <c r="BD142" s="4"/>
      <c r="BE142" s="34"/>
      <c r="BF142" s="34"/>
      <c r="BG142" s="34"/>
      <c r="BH142" s="34"/>
      <c r="BI142" s="116"/>
      <c r="BJ142" s="50"/>
      <c r="BK142" s="50"/>
      <c r="BL142" s="50"/>
      <c r="BM142" s="50"/>
      <c r="BN142" s="50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</row>
    <row r="143" spans="1:146" s="36" customFormat="1" ht="38.25" customHeight="1">
      <c r="A143" s="32"/>
      <c r="B143" s="456" t="s">
        <v>156</v>
      </c>
      <c r="C143" s="456"/>
      <c r="D143" s="456"/>
      <c r="E143" s="456"/>
      <c r="F143" s="456"/>
      <c r="G143" s="456"/>
      <c r="H143" s="456"/>
      <c r="I143" s="456"/>
      <c r="J143" s="456"/>
      <c r="K143" s="456"/>
      <c r="L143" s="456"/>
      <c r="M143" s="65"/>
      <c r="N143" s="33"/>
      <c r="O143" s="33"/>
      <c r="P143" s="49"/>
      <c r="Q143" s="49"/>
      <c r="R143" s="61"/>
      <c r="S143" s="4"/>
      <c r="T143" s="34"/>
      <c r="U143" s="34"/>
      <c r="V143" s="33"/>
      <c r="W143" s="49"/>
      <c r="X143" s="49"/>
      <c r="Y143" s="49"/>
      <c r="Z143" s="46"/>
      <c r="AA143" s="46"/>
      <c r="AB143" s="46"/>
      <c r="AC143" s="46"/>
      <c r="AD143" s="46"/>
      <c r="AE143" s="49"/>
      <c r="AF143" s="49"/>
      <c r="AG143" s="49"/>
      <c r="AH143" s="46"/>
      <c r="AI143" s="46"/>
      <c r="AJ143" s="46"/>
      <c r="AK143" s="46"/>
      <c r="AL143" s="46"/>
      <c r="AM143" s="46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50"/>
      <c r="AZ143" s="50"/>
      <c r="BA143" s="50"/>
      <c r="BB143" s="50"/>
      <c r="BC143" s="50"/>
      <c r="BD143" s="46"/>
      <c r="BE143" s="50"/>
      <c r="BF143" s="50"/>
      <c r="BG143" s="50"/>
      <c r="BH143" s="50"/>
      <c r="BI143" s="116"/>
      <c r="BJ143" s="50"/>
      <c r="BK143" s="50"/>
      <c r="BL143" s="50"/>
      <c r="BM143" s="50"/>
      <c r="BN143" s="50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</row>
    <row r="144" spans="1:146" s="36" customFormat="1" ht="49.5" customHeight="1">
      <c r="A144" s="32"/>
      <c r="B144" s="456" t="s">
        <v>157</v>
      </c>
      <c r="C144" s="456"/>
      <c r="D144" s="456"/>
      <c r="E144" s="456"/>
      <c r="F144" s="456"/>
      <c r="G144" s="456"/>
      <c r="H144" s="456"/>
      <c r="I144" s="456"/>
      <c r="J144" s="456"/>
      <c r="K144" s="456"/>
      <c r="L144" s="456"/>
      <c r="M144" s="49"/>
      <c r="N144" s="61"/>
      <c r="O144" s="61"/>
      <c r="P144" s="65"/>
      <c r="Q144" s="65"/>
      <c r="R144" s="33"/>
      <c r="S144" s="46"/>
      <c r="T144" s="50"/>
      <c r="U144" s="50"/>
      <c r="V144" s="61"/>
      <c r="W144" s="65"/>
      <c r="X144" s="65"/>
      <c r="Y144" s="65"/>
      <c r="Z144" s="4"/>
      <c r="AA144" s="4"/>
      <c r="AB144" s="4"/>
      <c r="AC144" s="4"/>
      <c r="AD144" s="4"/>
      <c r="AE144" s="65"/>
      <c r="AF144" s="65"/>
      <c r="AG144" s="65"/>
      <c r="AH144" s="4"/>
      <c r="AI144" s="4"/>
      <c r="AJ144" s="4"/>
      <c r="AK144" s="4"/>
      <c r="AL144" s="4"/>
      <c r="AM144" s="4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34"/>
      <c r="AZ144" s="34"/>
      <c r="BA144" s="34"/>
      <c r="BB144" s="34"/>
      <c r="BC144" s="34"/>
      <c r="BD144" s="4"/>
      <c r="BE144" s="34"/>
      <c r="BF144" s="34"/>
      <c r="BG144" s="34"/>
      <c r="BH144" s="34"/>
      <c r="BI144" s="116"/>
      <c r="BJ144" s="50"/>
      <c r="BK144" s="50"/>
      <c r="BL144" s="50"/>
      <c r="BM144" s="50"/>
      <c r="BN144" s="50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</row>
    <row r="145" spans="1:146" s="36" customFormat="1" ht="39.75" customHeight="1">
      <c r="A145" s="32"/>
      <c r="B145" s="456" t="s">
        <v>158</v>
      </c>
      <c r="C145" s="456"/>
      <c r="D145" s="456"/>
      <c r="E145" s="456"/>
      <c r="F145" s="456"/>
      <c r="G145" s="456"/>
      <c r="H145" s="456"/>
      <c r="I145" s="456"/>
      <c r="J145" s="456"/>
      <c r="K145" s="456"/>
      <c r="L145" s="456"/>
      <c r="M145" s="65"/>
      <c r="N145" s="33"/>
      <c r="O145" s="33"/>
      <c r="P145" s="49"/>
      <c r="Q145" s="49"/>
      <c r="R145" s="61"/>
      <c r="S145" s="4"/>
      <c r="T145" s="34"/>
      <c r="U145" s="34"/>
      <c r="V145" s="33"/>
      <c r="W145" s="49"/>
      <c r="X145" s="49"/>
      <c r="Y145" s="49"/>
      <c r="Z145" s="46"/>
      <c r="AA145" s="46"/>
      <c r="AB145" s="46"/>
      <c r="AC145" s="46"/>
      <c r="AD145" s="46"/>
      <c r="AE145" s="49"/>
      <c r="AF145" s="49"/>
      <c r="AG145" s="49"/>
      <c r="AH145" s="46"/>
      <c r="AI145" s="46"/>
      <c r="AJ145" s="46"/>
      <c r="AK145" s="46"/>
      <c r="AL145" s="46"/>
      <c r="AM145" s="46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50"/>
      <c r="AZ145" s="50"/>
      <c r="BA145" s="50"/>
      <c r="BB145" s="50"/>
      <c r="BC145" s="50"/>
      <c r="BD145" s="46"/>
      <c r="BE145" s="50"/>
      <c r="BF145" s="50"/>
      <c r="BG145" s="50"/>
      <c r="BH145" s="50"/>
      <c r="BI145" s="116"/>
      <c r="BJ145" s="50"/>
      <c r="BK145" s="50"/>
      <c r="BL145" s="50"/>
      <c r="BM145" s="50"/>
      <c r="BN145" s="50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</row>
    <row r="146" spans="1:146" s="36" customFormat="1" ht="42.75" customHeight="1">
      <c r="A146" s="32"/>
      <c r="B146" s="456" t="s">
        <v>159</v>
      </c>
      <c r="C146" s="456"/>
      <c r="D146" s="456"/>
      <c r="E146" s="456"/>
      <c r="F146" s="456"/>
      <c r="G146" s="456"/>
      <c r="H146" s="456"/>
      <c r="I146" s="456"/>
      <c r="J146" s="456"/>
      <c r="K146" s="456"/>
      <c r="L146" s="456"/>
      <c r="M146" s="49"/>
      <c r="N146" s="61"/>
      <c r="O146" s="61"/>
      <c r="P146" s="65"/>
      <c r="Q146" s="65"/>
      <c r="R146" s="33"/>
      <c r="S146" s="46"/>
      <c r="T146" s="50"/>
      <c r="U146" s="50"/>
      <c r="V146" s="61"/>
      <c r="W146" s="65"/>
      <c r="X146" s="65"/>
      <c r="Y146" s="65"/>
      <c r="Z146" s="4"/>
      <c r="AA146" s="4"/>
      <c r="AB146" s="4"/>
      <c r="AC146" s="4"/>
      <c r="AD146" s="4"/>
      <c r="AE146" s="65"/>
      <c r="AF146" s="65"/>
      <c r="AG146" s="65"/>
      <c r="AH146" s="4"/>
      <c r="AI146" s="4"/>
      <c r="AJ146" s="4"/>
      <c r="AK146" s="4"/>
      <c r="AL146" s="4"/>
      <c r="AM146" s="4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34"/>
      <c r="AZ146" s="34"/>
      <c r="BA146" s="34"/>
      <c r="BB146" s="34"/>
      <c r="BC146" s="34"/>
      <c r="BD146" s="4"/>
      <c r="BE146" s="34"/>
      <c r="BF146" s="34"/>
      <c r="BG146" s="34"/>
      <c r="BH146" s="34"/>
      <c r="BI146" s="116"/>
      <c r="BJ146" s="50"/>
      <c r="BK146" s="50"/>
      <c r="BL146" s="50"/>
      <c r="BM146" s="50"/>
      <c r="BN146" s="50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</row>
    <row r="147" spans="1:146" s="36" customFormat="1" ht="27.75" customHeight="1">
      <c r="A147" s="32"/>
      <c r="B147" s="455" t="s">
        <v>188</v>
      </c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65"/>
      <c r="N147" s="33"/>
      <c r="O147" s="33"/>
      <c r="P147" s="49"/>
      <c r="Q147" s="49"/>
      <c r="R147" s="61"/>
      <c r="S147" s="4"/>
      <c r="T147" s="34"/>
      <c r="U147" s="34"/>
      <c r="V147" s="33"/>
      <c r="W147" s="49"/>
      <c r="X147" s="49"/>
      <c r="Y147" s="49"/>
      <c r="Z147" s="46"/>
      <c r="AA147" s="46"/>
      <c r="AB147" s="46"/>
      <c r="AC147" s="46"/>
      <c r="AD147" s="46"/>
      <c r="AE147" s="49"/>
      <c r="AF147" s="49"/>
      <c r="AG147" s="49"/>
      <c r="AH147" s="46"/>
      <c r="AI147" s="46"/>
      <c r="AJ147" s="46"/>
      <c r="AK147" s="46"/>
      <c r="AL147" s="46"/>
      <c r="AM147" s="46"/>
      <c r="AN147" s="49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34"/>
      <c r="AZ147" s="34"/>
      <c r="BA147" s="34"/>
      <c r="BB147" s="34"/>
      <c r="BC147" s="34"/>
      <c r="BD147" s="4"/>
      <c r="BE147" s="34"/>
      <c r="BF147" s="34"/>
      <c r="BG147" s="34"/>
      <c r="BH147" s="34"/>
      <c r="BI147" s="116"/>
      <c r="BJ147" s="50"/>
      <c r="BK147" s="50"/>
      <c r="BL147" s="50"/>
      <c r="BM147" s="50"/>
      <c r="BN147" s="50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</row>
    <row r="148" spans="1:146" s="36" customFormat="1" ht="42.75" customHeight="1">
      <c r="A148" s="32"/>
      <c r="B148" s="456" t="s">
        <v>192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49"/>
      <c r="N148" s="61"/>
      <c r="O148" s="61"/>
      <c r="P148" s="65"/>
      <c r="Q148" s="65"/>
      <c r="R148" s="33"/>
      <c r="S148" s="46"/>
      <c r="T148" s="50"/>
      <c r="U148" s="50"/>
      <c r="V148" s="61"/>
      <c r="W148" s="65"/>
      <c r="X148" s="65"/>
      <c r="Y148" s="65"/>
      <c r="Z148" s="4"/>
      <c r="AA148" s="4"/>
      <c r="AB148" s="4"/>
      <c r="AC148" s="4"/>
      <c r="AD148" s="4"/>
      <c r="AE148" s="65"/>
      <c r="AF148" s="65"/>
      <c r="AG148" s="65"/>
      <c r="AH148" s="4"/>
      <c r="AI148" s="4"/>
      <c r="AJ148" s="4"/>
      <c r="AK148" s="4"/>
      <c r="AL148" s="4"/>
      <c r="AM148" s="4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34"/>
      <c r="AZ148" s="34"/>
      <c r="BA148" s="34"/>
      <c r="BB148" s="34"/>
      <c r="BC148" s="34"/>
      <c r="BD148" s="4"/>
      <c r="BE148" s="34"/>
      <c r="BF148" s="34"/>
      <c r="BG148" s="34"/>
      <c r="BH148" s="34"/>
      <c r="BI148" s="116"/>
      <c r="BJ148" s="50"/>
      <c r="BK148" s="50"/>
      <c r="BL148" s="50"/>
      <c r="BM148" s="50"/>
      <c r="BN148" s="50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</row>
    <row r="149" spans="1:146" s="36" customFormat="1" ht="38.25" customHeight="1">
      <c r="A149" s="32"/>
      <c r="B149" s="455" t="s">
        <v>160</v>
      </c>
      <c r="C149" s="455"/>
      <c r="D149" s="455"/>
      <c r="E149" s="455"/>
      <c r="F149" s="455"/>
      <c r="G149" s="455"/>
      <c r="H149" s="455"/>
      <c r="I149" s="455"/>
      <c r="J149" s="455"/>
      <c r="K149" s="455"/>
      <c r="L149" s="455"/>
      <c r="M149" s="65"/>
      <c r="N149" s="33"/>
      <c r="O149" s="33"/>
      <c r="P149" s="49"/>
      <c r="Q149" s="49"/>
      <c r="R149" s="61"/>
      <c r="S149" s="4"/>
      <c r="T149" s="34"/>
      <c r="U149" s="34"/>
      <c r="V149" s="33"/>
      <c r="W149" s="49"/>
      <c r="X149" s="49"/>
      <c r="Y149" s="49"/>
      <c r="Z149" s="46"/>
      <c r="AA149" s="46"/>
      <c r="AB149" s="46"/>
      <c r="AC149" s="46"/>
      <c r="AD149" s="46"/>
      <c r="AE149" s="49"/>
      <c r="AF149" s="49"/>
      <c r="AG149" s="49"/>
      <c r="AH149" s="46"/>
      <c r="AI149" s="46"/>
      <c r="AJ149" s="46"/>
      <c r="AK149" s="46"/>
      <c r="AL149" s="46"/>
      <c r="AM149" s="46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50"/>
      <c r="AZ149" s="50"/>
      <c r="BA149" s="50"/>
      <c r="BB149" s="50"/>
      <c r="BC149" s="50"/>
      <c r="BD149" s="46"/>
      <c r="BE149" s="50"/>
      <c r="BF149" s="50"/>
      <c r="BG149" s="50"/>
      <c r="BH149" s="50"/>
      <c r="BI149" s="116"/>
      <c r="BJ149" s="50"/>
      <c r="BK149" s="50"/>
      <c r="BL149" s="50"/>
      <c r="BM149" s="50"/>
      <c r="BN149" s="50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</row>
    <row r="150" spans="1:146" s="36" customFormat="1" ht="25.5" customHeight="1">
      <c r="A150" s="32"/>
      <c r="B150" s="467" t="s">
        <v>191</v>
      </c>
      <c r="C150" s="467"/>
      <c r="D150" s="467"/>
      <c r="E150" s="467"/>
      <c r="F150" s="467"/>
      <c r="G150" s="467"/>
      <c r="H150" s="467"/>
      <c r="I150" s="467"/>
      <c r="J150" s="467"/>
      <c r="K150" s="467"/>
      <c r="L150" s="467"/>
      <c r="M150" s="49"/>
      <c r="N150" s="61"/>
      <c r="O150" s="61"/>
      <c r="P150" s="65"/>
      <c r="Q150" s="65"/>
      <c r="R150" s="33"/>
      <c r="S150" s="46"/>
      <c r="T150" s="50"/>
      <c r="U150" s="50"/>
      <c r="V150" s="61"/>
      <c r="W150" s="65"/>
      <c r="X150" s="65"/>
      <c r="Y150" s="65"/>
      <c r="Z150" s="4"/>
      <c r="AA150" s="4"/>
      <c r="AB150" s="4"/>
      <c r="AC150" s="4"/>
      <c r="AD150" s="4"/>
      <c r="AE150" s="65"/>
      <c r="AF150" s="65"/>
      <c r="AG150" s="65"/>
      <c r="AH150" s="4"/>
      <c r="AI150" s="4"/>
      <c r="AJ150" s="4"/>
      <c r="AK150" s="4"/>
      <c r="AL150" s="4"/>
      <c r="AM150" s="4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34"/>
      <c r="AZ150" s="34"/>
      <c r="BA150" s="34"/>
      <c r="BB150" s="34"/>
      <c r="BC150" s="34"/>
      <c r="BD150" s="4"/>
      <c r="BE150" s="34"/>
      <c r="BF150" s="34"/>
      <c r="BG150" s="34"/>
      <c r="BH150" s="34"/>
      <c r="BI150" s="116"/>
      <c r="BJ150" s="50"/>
      <c r="BK150" s="50"/>
      <c r="BL150" s="50"/>
      <c r="BM150" s="50"/>
      <c r="BN150" s="50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</row>
    <row r="151" spans="1:146" s="36" customFormat="1" ht="25.5" customHeight="1">
      <c r="A151" s="32"/>
      <c r="B151" s="467" t="s">
        <v>161</v>
      </c>
      <c r="C151" s="467"/>
      <c r="D151" s="467"/>
      <c r="E151" s="467"/>
      <c r="F151" s="467"/>
      <c r="G151" s="467"/>
      <c r="H151" s="467"/>
      <c r="I151" s="467"/>
      <c r="J151" s="467"/>
      <c r="K151" s="467"/>
      <c r="L151" s="467"/>
      <c r="M151" s="65"/>
      <c r="N151" s="33"/>
      <c r="O151" s="33"/>
      <c r="P151" s="49"/>
      <c r="Q151" s="49"/>
      <c r="R151" s="61"/>
      <c r="S151" s="4"/>
      <c r="T151" s="34"/>
      <c r="U151" s="34"/>
      <c r="V151" s="33"/>
      <c r="W151" s="49"/>
      <c r="X151" s="49"/>
      <c r="Y151" s="49"/>
      <c r="Z151" s="46"/>
      <c r="AA151" s="46"/>
      <c r="AB151" s="46"/>
      <c r="AC151" s="46"/>
      <c r="AD151" s="46"/>
      <c r="AE151" s="49"/>
      <c r="AF151" s="49"/>
      <c r="AG151" s="49"/>
      <c r="AH151" s="46"/>
      <c r="AI151" s="46"/>
      <c r="AJ151" s="46"/>
      <c r="AK151" s="46"/>
      <c r="AL151" s="46"/>
      <c r="AM151" s="46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50"/>
      <c r="AZ151" s="50"/>
      <c r="BA151" s="50"/>
      <c r="BB151" s="50"/>
      <c r="BC151" s="50"/>
      <c r="BD151" s="46"/>
      <c r="BE151" s="50"/>
      <c r="BF151" s="50"/>
      <c r="BG151" s="50"/>
      <c r="BH151" s="50"/>
      <c r="BI151" s="116"/>
      <c r="BJ151" s="50"/>
      <c r="BK151" s="50"/>
      <c r="BL151" s="50"/>
      <c r="BM151" s="50"/>
      <c r="BN151" s="50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</row>
    <row r="152" spans="1:146" s="36" customFormat="1" ht="12.75" customHeight="1">
      <c r="A152" s="32"/>
      <c r="B152" s="442"/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9"/>
      <c r="N152" s="61"/>
      <c r="O152" s="61"/>
      <c r="P152" s="65"/>
      <c r="Q152" s="65"/>
      <c r="R152" s="33"/>
      <c r="S152" s="46"/>
      <c r="T152" s="50"/>
      <c r="U152" s="50"/>
      <c r="V152" s="61"/>
      <c r="W152" s="65"/>
      <c r="X152" s="65"/>
      <c r="Y152" s="65"/>
      <c r="Z152" s="4"/>
      <c r="AA152" s="4"/>
      <c r="AB152" s="4"/>
      <c r="AC152" s="4"/>
      <c r="AD152" s="4"/>
      <c r="AE152" s="65"/>
      <c r="AF152" s="65"/>
      <c r="AG152" s="65"/>
      <c r="AH152" s="4"/>
      <c r="AI152" s="4"/>
      <c r="AJ152" s="4"/>
      <c r="AK152" s="4"/>
      <c r="AL152" s="4"/>
      <c r="AM152" s="4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34"/>
      <c r="AZ152" s="34"/>
      <c r="BA152" s="34"/>
      <c r="BB152" s="34"/>
      <c r="BC152" s="34"/>
      <c r="BD152" s="4"/>
      <c r="BE152" s="34"/>
      <c r="BF152" s="34"/>
      <c r="BG152" s="34"/>
      <c r="BH152" s="34"/>
      <c r="BI152" s="116"/>
      <c r="BJ152" s="50"/>
      <c r="BK152" s="50"/>
      <c r="BL152" s="50"/>
      <c r="BM152" s="50"/>
      <c r="BN152" s="50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</row>
    <row r="153" spans="1:146" s="36" customFormat="1" ht="25.5" customHeight="1">
      <c r="A153" s="32"/>
      <c r="B153" s="462" t="s">
        <v>162</v>
      </c>
      <c r="C153" s="463"/>
      <c r="D153" s="463"/>
      <c r="E153" s="463"/>
      <c r="F153" s="463"/>
      <c r="G153" s="463"/>
      <c r="H153" s="464"/>
      <c r="I153" s="459" t="s">
        <v>163</v>
      </c>
      <c r="J153" s="460"/>
      <c r="K153" s="460"/>
      <c r="L153" s="461"/>
      <c r="M153" s="65"/>
      <c r="N153" s="33"/>
      <c r="O153" s="33"/>
      <c r="P153" s="49"/>
      <c r="Q153" s="49"/>
      <c r="R153" s="61"/>
      <c r="S153" s="4"/>
      <c r="T153" s="34"/>
      <c r="U153" s="34"/>
      <c r="V153" s="33"/>
      <c r="W153" s="49"/>
      <c r="X153" s="49"/>
      <c r="Y153" s="49"/>
      <c r="Z153" s="46"/>
      <c r="AA153" s="46"/>
      <c r="AB153" s="46"/>
      <c r="AC153" s="46"/>
      <c r="AD153" s="46"/>
      <c r="AE153" s="49"/>
      <c r="AF153" s="49"/>
      <c r="AG153" s="49"/>
      <c r="AH153" s="46"/>
      <c r="AI153" s="46"/>
      <c r="AJ153" s="46"/>
      <c r="AK153" s="46"/>
      <c r="AL153" s="46"/>
      <c r="AM153" s="46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50"/>
      <c r="AZ153" s="50"/>
      <c r="BA153" s="50"/>
      <c r="BB153" s="50"/>
      <c r="BC153" s="50"/>
      <c r="BD153" s="46"/>
      <c r="BE153" s="50"/>
      <c r="BF153" s="50"/>
      <c r="BG153" s="50"/>
      <c r="BH153" s="50"/>
      <c r="BI153" s="116"/>
      <c r="BJ153" s="50"/>
      <c r="BK153" s="50"/>
      <c r="BL153" s="50"/>
      <c r="BM153" s="50"/>
      <c r="BN153" s="50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</row>
    <row r="154" spans="1:146" s="36" customFormat="1" ht="37.5" customHeight="1">
      <c r="A154" s="32"/>
      <c r="B154" s="462" t="s">
        <v>164</v>
      </c>
      <c r="C154" s="463"/>
      <c r="D154" s="463"/>
      <c r="E154" s="463"/>
      <c r="F154" s="463"/>
      <c r="G154" s="463"/>
      <c r="H154" s="464"/>
      <c r="I154" s="459" t="s">
        <v>165</v>
      </c>
      <c r="J154" s="460"/>
      <c r="K154" s="460"/>
      <c r="L154" s="461"/>
      <c r="M154" s="49"/>
      <c r="N154" s="61"/>
      <c r="O154" s="61"/>
      <c r="P154" s="65"/>
      <c r="Q154" s="65"/>
      <c r="R154" s="33"/>
      <c r="S154" s="46"/>
      <c r="T154" s="50"/>
      <c r="U154" s="50"/>
      <c r="V154" s="61"/>
      <c r="W154" s="65"/>
      <c r="X154" s="65"/>
      <c r="Y154" s="65"/>
      <c r="Z154" s="4"/>
      <c r="AA154" s="4"/>
      <c r="AB154" s="4"/>
      <c r="AC154" s="4"/>
      <c r="AD154" s="4"/>
      <c r="AE154" s="65"/>
      <c r="AF154" s="65"/>
      <c r="AG154" s="65"/>
      <c r="AH154" s="4"/>
      <c r="AI154" s="4"/>
      <c r="AJ154" s="4"/>
      <c r="AK154" s="4"/>
      <c r="AL154" s="4"/>
      <c r="AM154" s="4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34"/>
      <c r="AZ154" s="34"/>
      <c r="BA154" s="34"/>
      <c r="BB154" s="34"/>
      <c r="BC154" s="34"/>
      <c r="BD154" s="4"/>
      <c r="BE154" s="34"/>
      <c r="BF154" s="34"/>
      <c r="BG154" s="34"/>
      <c r="BH154" s="34"/>
      <c r="BI154" s="116"/>
      <c r="BJ154" s="50"/>
      <c r="BK154" s="50"/>
      <c r="BL154" s="50"/>
      <c r="BM154" s="50"/>
      <c r="BN154" s="50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</row>
    <row r="155" spans="1:146" s="36" customFormat="1" ht="48" customHeight="1">
      <c r="A155" s="32"/>
      <c r="B155" s="462" t="s">
        <v>166</v>
      </c>
      <c r="C155" s="463"/>
      <c r="D155" s="463"/>
      <c r="E155" s="463"/>
      <c r="F155" s="463"/>
      <c r="G155" s="463"/>
      <c r="H155" s="464"/>
      <c r="I155" s="459" t="s">
        <v>165</v>
      </c>
      <c r="J155" s="460"/>
      <c r="K155" s="460"/>
      <c r="L155" s="461"/>
      <c r="M155" s="65"/>
      <c r="N155" s="33"/>
      <c r="O155" s="33"/>
      <c r="P155" s="49"/>
      <c r="Q155" s="49"/>
      <c r="R155" s="61"/>
      <c r="S155" s="4"/>
      <c r="T155" s="34"/>
      <c r="U155" s="34"/>
      <c r="V155" s="33"/>
      <c r="W155" s="49"/>
      <c r="X155" s="49"/>
      <c r="Y155" s="49"/>
      <c r="Z155" s="46"/>
      <c r="AA155" s="46"/>
      <c r="AB155" s="46"/>
      <c r="AC155" s="46"/>
      <c r="AD155" s="46"/>
      <c r="AE155" s="49"/>
      <c r="AF155" s="49"/>
      <c r="AG155" s="49"/>
      <c r="AH155" s="46"/>
      <c r="AI155" s="46"/>
      <c r="AJ155" s="46"/>
      <c r="AK155" s="46"/>
      <c r="AL155" s="46"/>
      <c r="AM155" s="46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50"/>
      <c r="AZ155" s="50"/>
      <c r="BA155" s="50"/>
      <c r="BB155" s="50"/>
      <c r="BC155" s="50"/>
      <c r="BD155" s="46"/>
      <c r="BE155" s="50"/>
      <c r="BF155" s="50"/>
      <c r="BG155" s="50"/>
      <c r="BH155" s="50"/>
      <c r="BI155" s="116"/>
      <c r="BJ155" s="50"/>
      <c r="BK155" s="50"/>
      <c r="BL155" s="50"/>
      <c r="BM155" s="50"/>
      <c r="BN155" s="50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</row>
    <row r="156" spans="1:146" s="36" customFormat="1" ht="49.5" customHeight="1">
      <c r="A156" s="32"/>
      <c r="B156" s="462" t="s">
        <v>167</v>
      </c>
      <c r="C156" s="463"/>
      <c r="D156" s="463"/>
      <c r="E156" s="463"/>
      <c r="F156" s="463"/>
      <c r="G156" s="463"/>
      <c r="H156" s="464"/>
      <c r="I156" s="459" t="s">
        <v>168</v>
      </c>
      <c r="J156" s="460"/>
      <c r="K156" s="460"/>
      <c r="L156" s="461"/>
      <c r="M156" s="49"/>
      <c r="N156" s="61"/>
      <c r="O156" s="61"/>
      <c r="P156" s="65"/>
      <c r="Q156" s="65"/>
      <c r="R156" s="33"/>
      <c r="S156" s="46"/>
      <c r="T156" s="50"/>
      <c r="U156" s="50"/>
      <c r="V156" s="61"/>
      <c r="W156" s="65"/>
      <c r="X156" s="65"/>
      <c r="Y156" s="65"/>
      <c r="Z156" s="4"/>
      <c r="AA156" s="4"/>
      <c r="AB156" s="4"/>
      <c r="AC156" s="4"/>
      <c r="AD156" s="4"/>
      <c r="AE156" s="65"/>
      <c r="AF156" s="65"/>
      <c r="AG156" s="65"/>
      <c r="AH156" s="4"/>
      <c r="AI156" s="4"/>
      <c r="AJ156" s="4"/>
      <c r="AK156" s="4"/>
      <c r="AL156" s="4"/>
      <c r="AM156" s="4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34"/>
      <c r="AZ156" s="34"/>
      <c r="BA156" s="34"/>
      <c r="BB156" s="34"/>
      <c r="BC156" s="34"/>
      <c r="BD156" s="4"/>
      <c r="BE156" s="34"/>
      <c r="BF156" s="34"/>
      <c r="BG156" s="34"/>
      <c r="BH156" s="34"/>
      <c r="BI156" s="116"/>
      <c r="BJ156" s="50"/>
      <c r="BK156" s="50"/>
      <c r="BL156" s="50"/>
      <c r="BM156" s="50"/>
      <c r="BN156" s="50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</row>
    <row r="157" spans="1:146" s="36" customFormat="1" ht="25.5" customHeight="1">
      <c r="A157" s="32"/>
      <c r="B157" s="442"/>
      <c r="C157" s="442"/>
      <c r="D157" s="442"/>
      <c r="E157" s="442"/>
      <c r="F157" s="442"/>
      <c r="G157" s="442"/>
      <c r="H157" s="442"/>
      <c r="I157" s="442"/>
      <c r="J157" s="442"/>
      <c r="K157" s="442"/>
      <c r="L157" s="442"/>
      <c r="M157" s="65"/>
      <c r="N157" s="33"/>
      <c r="O157" s="33"/>
      <c r="P157" s="49"/>
      <c r="Q157" s="49"/>
      <c r="R157" s="61"/>
      <c r="S157" s="4"/>
      <c r="T157" s="34"/>
      <c r="U157" s="34"/>
      <c r="V157" s="33"/>
      <c r="W157" s="49"/>
      <c r="X157" s="49"/>
      <c r="Y157" s="49"/>
      <c r="Z157" s="46"/>
      <c r="AA157" s="46"/>
      <c r="AB157" s="46"/>
      <c r="AC157" s="46"/>
      <c r="AD157" s="46"/>
      <c r="AE157" s="49"/>
      <c r="AF157" s="49"/>
      <c r="AG157" s="49"/>
      <c r="AH157" s="46"/>
      <c r="AI157" s="46"/>
      <c r="AJ157" s="46"/>
      <c r="AK157" s="46"/>
      <c r="AL157" s="46"/>
      <c r="AM157" s="46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50"/>
      <c r="AZ157" s="50"/>
      <c r="BA157" s="50"/>
      <c r="BB157" s="50"/>
      <c r="BC157" s="50"/>
      <c r="BD157" s="46"/>
      <c r="BE157" s="50"/>
      <c r="BF157" s="50"/>
      <c r="BG157" s="50"/>
      <c r="BH157" s="50"/>
      <c r="BI157" s="116"/>
      <c r="BJ157" s="50"/>
      <c r="BK157" s="50"/>
      <c r="BL157" s="50"/>
      <c r="BM157" s="50"/>
      <c r="BN157" s="50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</row>
    <row r="158" spans="1:146" s="36" customFormat="1" ht="25.5" customHeight="1">
      <c r="A158" s="32"/>
      <c r="B158" s="467" t="s">
        <v>169</v>
      </c>
      <c r="C158" s="467"/>
      <c r="D158" s="467"/>
      <c r="E158" s="467"/>
      <c r="F158" s="467"/>
      <c r="G158" s="467"/>
      <c r="H158" s="467"/>
      <c r="I158" s="467"/>
      <c r="J158" s="467"/>
      <c r="K158" s="467"/>
      <c r="L158" s="467"/>
      <c r="M158" s="49"/>
      <c r="N158" s="61"/>
      <c r="O158" s="61"/>
      <c r="P158" s="65"/>
      <c r="Q158" s="65"/>
      <c r="R158" s="33"/>
      <c r="S158" s="46"/>
      <c r="T158" s="50"/>
      <c r="U158" s="50"/>
      <c r="V158" s="61"/>
      <c r="W158" s="65"/>
      <c r="X158" s="65"/>
      <c r="Y158" s="65"/>
      <c r="Z158" s="4"/>
      <c r="AA158" s="4"/>
      <c r="AB158" s="4"/>
      <c r="AC158" s="4"/>
      <c r="AD158" s="4"/>
      <c r="AE158" s="65"/>
      <c r="AF158" s="65"/>
      <c r="AG158" s="65"/>
      <c r="AH158" s="4"/>
      <c r="AI158" s="4"/>
      <c r="AJ158" s="4"/>
      <c r="AK158" s="4"/>
      <c r="AL158" s="4"/>
      <c r="AM158" s="4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34"/>
      <c r="AZ158" s="34"/>
      <c r="BA158" s="34"/>
      <c r="BB158" s="34"/>
      <c r="BC158" s="34"/>
      <c r="BD158" s="4"/>
      <c r="BE158" s="34"/>
      <c r="BF158" s="34"/>
      <c r="BG158" s="34"/>
      <c r="BH158" s="34"/>
      <c r="BI158" s="116"/>
      <c r="BJ158" s="50"/>
      <c r="BK158" s="50"/>
      <c r="BL158" s="50"/>
      <c r="BM158" s="50"/>
      <c r="BN158" s="50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</row>
    <row r="159" spans="1:146" s="36" customFormat="1" ht="25.5" customHeight="1">
      <c r="A159" s="32"/>
      <c r="B159" s="468"/>
      <c r="C159" s="468"/>
      <c r="D159" s="468"/>
      <c r="E159" s="468"/>
      <c r="F159" s="468"/>
      <c r="G159" s="468"/>
      <c r="H159" s="468"/>
      <c r="I159" s="468"/>
      <c r="J159" s="468"/>
      <c r="K159" s="468"/>
      <c r="L159" s="468"/>
      <c r="M159" s="65"/>
      <c r="N159" s="33"/>
      <c r="O159" s="33"/>
      <c r="P159" s="49"/>
      <c r="Q159" s="49"/>
      <c r="R159" s="61"/>
      <c r="S159" s="4"/>
      <c r="T159" s="34"/>
      <c r="U159" s="34"/>
      <c r="V159" s="33"/>
      <c r="W159" s="49"/>
      <c r="X159" s="49"/>
      <c r="Y159" s="49"/>
      <c r="Z159" s="46"/>
      <c r="AA159" s="46"/>
      <c r="AB159" s="46"/>
      <c r="AC159" s="46"/>
      <c r="AD159" s="46"/>
      <c r="AE159" s="49"/>
      <c r="AF159" s="49"/>
      <c r="AG159" s="49"/>
      <c r="AH159" s="46"/>
      <c r="AI159" s="46"/>
      <c r="AJ159" s="46"/>
      <c r="AK159" s="46"/>
      <c r="AL159" s="46"/>
      <c r="AM159" s="46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50"/>
      <c r="AZ159" s="50"/>
      <c r="BA159" s="50"/>
      <c r="BB159" s="50"/>
      <c r="BC159" s="50"/>
      <c r="BD159" s="46"/>
      <c r="BE159" s="50"/>
      <c r="BF159" s="50"/>
      <c r="BG159" s="50"/>
      <c r="BH159" s="50"/>
      <c r="BI159" s="116"/>
      <c r="BJ159" s="50"/>
      <c r="BK159" s="50"/>
      <c r="BL159" s="50"/>
      <c r="BM159" s="50"/>
      <c r="BN159" s="50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</row>
    <row r="160" spans="1:146" s="36" customFormat="1" ht="25.5" customHeight="1">
      <c r="A160" s="32"/>
      <c r="B160" s="459" t="s">
        <v>170</v>
      </c>
      <c r="C160" s="460"/>
      <c r="D160" s="460"/>
      <c r="E160" s="460"/>
      <c r="F160" s="460"/>
      <c r="G160" s="460"/>
      <c r="H160" s="461"/>
      <c r="I160" s="459" t="s">
        <v>174</v>
      </c>
      <c r="J160" s="460"/>
      <c r="K160" s="460"/>
      <c r="L160" s="461"/>
      <c r="M160" s="49"/>
      <c r="N160" s="61"/>
      <c r="O160" s="61"/>
      <c r="P160" s="65"/>
      <c r="Q160" s="65"/>
      <c r="R160" s="33"/>
      <c r="S160" s="46"/>
      <c r="T160" s="50"/>
      <c r="U160" s="50"/>
      <c r="V160" s="61"/>
      <c r="W160" s="65"/>
      <c r="X160" s="65"/>
      <c r="Y160" s="65"/>
      <c r="Z160" s="4"/>
      <c r="AA160" s="4"/>
      <c r="AB160" s="4"/>
      <c r="AC160" s="4"/>
      <c r="AD160" s="4"/>
      <c r="AE160" s="65"/>
      <c r="AF160" s="65"/>
      <c r="AG160" s="65"/>
      <c r="AH160" s="4"/>
      <c r="AI160" s="4"/>
      <c r="AJ160" s="4"/>
      <c r="AK160" s="4"/>
      <c r="AL160" s="4"/>
      <c r="AM160" s="4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34"/>
      <c r="AZ160" s="34"/>
      <c r="BA160" s="34"/>
      <c r="BB160" s="34"/>
      <c r="BC160" s="34"/>
      <c r="BD160" s="4"/>
      <c r="BE160" s="34"/>
      <c r="BF160" s="34"/>
      <c r="BG160" s="34"/>
      <c r="BH160" s="34"/>
      <c r="BI160" s="116"/>
      <c r="BJ160" s="50"/>
      <c r="BK160" s="50"/>
      <c r="BL160" s="50"/>
      <c r="BM160" s="50"/>
      <c r="BN160" s="50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</row>
    <row r="161" spans="1:146" s="36" customFormat="1" ht="39.75" customHeight="1">
      <c r="A161" s="32"/>
      <c r="B161" s="459" t="s">
        <v>171</v>
      </c>
      <c r="C161" s="460"/>
      <c r="D161" s="460"/>
      <c r="E161" s="460"/>
      <c r="F161" s="460"/>
      <c r="G161" s="460"/>
      <c r="H161" s="461"/>
      <c r="I161" s="459" t="s">
        <v>175</v>
      </c>
      <c r="J161" s="460"/>
      <c r="K161" s="460"/>
      <c r="L161" s="461"/>
      <c r="M161" s="65"/>
      <c r="N161" s="33"/>
      <c r="O161" s="33"/>
      <c r="P161" s="49"/>
      <c r="Q161" s="49"/>
      <c r="R161" s="61"/>
      <c r="S161" s="4"/>
      <c r="T161" s="34"/>
      <c r="U161" s="34"/>
      <c r="V161" s="33"/>
      <c r="W161" s="49"/>
      <c r="X161" s="49"/>
      <c r="Y161" s="49"/>
      <c r="Z161" s="46"/>
      <c r="AA161" s="46"/>
      <c r="AB161" s="46"/>
      <c r="AC161" s="46"/>
      <c r="AD161" s="46"/>
      <c r="AE161" s="49"/>
      <c r="AF161" s="49"/>
      <c r="AG161" s="49"/>
      <c r="AH161" s="46"/>
      <c r="AI161" s="46"/>
      <c r="AJ161" s="46"/>
      <c r="AK161" s="46"/>
      <c r="AL161" s="46"/>
      <c r="AM161" s="46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50"/>
      <c r="AZ161" s="50"/>
      <c r="BA161" s="50"/>
      <c r="BB161" s="50"/>
      <c r="BC161" s="50"/>
      <c r="BD161" s="46"/>
      <c r="BE161" s="50"/>
      <c r="BF161" s="50"/>
      <c r="BG161" s="50"/>
      <c r="BH161" s="50"/>
      <c r="BI161" s="116"/>
      <c r="BJ161" s="50"/>
      <c r="BK161" s="50"/>
      <c r="BL161" s="50"/>
      <c r="BM161" s="50"/>
      <c r="BN161" s="50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</row>
    <row r="162" spans="1:146" s="36" customFormat="1" ht="43.5" customHeight="1">
      <c r="A162" s="32"/>
      <c r="B162" s="462" t="s">
        <v>184</v>
      </c>
      <c r="C162" s="463"/>
      <c r="D162" s="463"/>
      <c r="E162" s="463"/>
      <c r="F162" s="463"/>
      <c r="G162" s="463"/>
      <c r="H162" s="464"/>
      <c r="I162" s="459" t="s">
        <v>175</v>
      </c>
      <c r="J162" s="460"/>
      <c r="K162" s="460"/>
      <c r="L162" s="461"/>
      <c r="M162" s="49"/>
      <c r="N162" s="61"/>
      <c r="O162" s="61"/>
      <c r="P162" s="65"/>
      <c r="Q162" s="65"/>
      <c r="R162" s="33"/>
      <c r="S162" s="46"/>
      <c r="T162" s="50"/>
      <c r="U162" s="50"/>
      <c r="V162" s="61"/>
      <c r="W162" s="65"/>
      <c r="X162" s="65"/>
      <c r="Y162" s="65"/>
      <c r="Z162" s="4"/>
      <c r="AA162" s="4"/>
      <c r="AB162" s="4"/>
      <c r="AC162" s="4"/>
      <c r="AD162" s="4"/>
      <c r="AE162" s="65"/>
      <c r="AF162" s="65"/>
      <c r="AG162" s="65"/>
      <c r="AH162" s="4"/>
      <c r="AI162" s="4"/>
      <c r="AJ162" s="4"/>
      <c r="AK162" s="4"/>
      <c r="AL162" s="4"/>
      <c r="AM162" s="4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34"/>
      <c r="AZ162" s="34"/>
      <c r="BA162" s="34"/>
      <c r="BB162" s="34"/>
      <c r="BC162" s="34"/>
      <c r="BD162" s="4"/>
      <c r="BE162" s="34"/>
      <c r="BF162" s="34"/>
      <c r="BG162" s="34"/>
      <c r="BH162" s="34"/>
      <c r="BI162" s="116"/>
      <c r="BJ162" s="50"/>
      <c r="BK162" s="50"/>
      <c r="BL162" s="50"/>
      <c r="BM162" s="50"/>
      <c r="BN162" s="50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</row>
    <row r="163" spans="1:146" s="36" customFormat="1" ht="54.75" customHeight="1">
      <c r="A163" s="32"/>
      <c r="B163" s="459" t="s">
        <v>172</v>
      </c>
      <c r="C163" s="460"/>
      <c r="D163" s="460"/>
      <c r="E163" s="460"/>
      <c r="F163" s="460"/>
      <c r="G163" s="460"/>
      <c r="H163" s="461"/>
      <c r="I163" s="459" t="s">
        <v>177</v>
      </c>
      <c r="J163" s="460"/>
      <c r="K163" s="460"/>
      <c r="L163" s="461"/>
      <c r="M163" s="65"/>
      <c r="N163" s="33"/>
      <c r="O163" s="33"/>
      <c r="P163" s="49"/>
      <c r="Q163" s="49"/>
      <c r="R163" s="61"/>
      <c r="S163" s="4"/>
      <c r="T163" s="34"/>
      <c r="U163" s="34"/>
      <c r="V163" s="33"/>
      <c r="W163" s="49"/>
      <c r="X163" s="49"/>
      <c r="Y163" s="49"/>
      <c r="Z163" s="46"/>
      <c r="AA163" s="46"/>
      <c r="AB163" s="46"/>
      <c r="AC163" s="46"/>
      <c r="AD163" s="46"/>
      <c r="AE163" s="49"/>
      <c r="AF163" s="49"/>
      <c r="AG163" s="49"/>
      <c r="AH163" s="46"/>
      <c r="AI163" s="46"/>
      <c r="AJ163" s="46"/>
      <c r="AK163" s="46"/>
      <c r="AL163" s="46"/>
      <c r="AM163" s="46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50"/>
      <c r="AZ163" s="50"/>
      <c r="BA163" s="50"/>
      <c r="BB163" s="50"/>
      <c r="BC163" s="50"/>
      <c r="BD163" s="46"/>
      <c r="BE163" s="50"/>
      <c r="BF163" s="50"/>
      <c r="BG163" s="50"/>
      <c r="BH163" s="50"/>
      <c r="BI163" s="116"/>
      <c r="BJ163" s="50"/>
      <c r="BK163" s="50"/>
      <c r="BL163" s="50"/>
      <c r="BM163" s="50"/>
      <c r="BN163" s="50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</row>
    <row r="164" spans="1:146" s="36" customFormat="1" ht="25.5" customHeight="1">
      <c r="A164" s="32"/>
      <c r="B164" s="459" t="s">
        <v>173</v>
      </c>
      <c r="C164" s="460"/>
      <c r="D164" s="460"/>
      <c r="E164" s="460"/>
      <c r="F164" s="460"/>
      <c r="G164" s="460"/>
      <c r="H164" s="461"/>
      <c r="I164" s="459" t="s">
        <v>178</v>
      </c>
      <c r="J164" s="460"/>
      <c r="K164" s="460"/>
      <c r="L164" s="461"/>
      <c r="M164" s="49"/>
      <c r="N164" s="61"/>
      <c r="O164" s="61"/>
      <c r="P164" s="65"/>
      <c r="Q164" s="65"/>
      <c r="R164" s="33"/>
      <c r="S164" s="46"/>
      <c r="T164" s="50"/>
      <c r="U164" s="50"/>
      <c r="V164" s="61"/>
      <c r="W164" s="65"/>
      <c r="X164" s="65"/>
      <c r="Y164" s="65"/>
      <c r="Z164" s="4"/>
      <c r="AA164" s="4"/>
      <c r="AB164" s="4"/>
      <c r="AC164" s="4"/>
      <c r="AD164" s="4"/>
      <c r="AE164" s="65"/>
      <c r="AF164" s="65"/>
      <c r="AG164" s="65"/>
      <c r="AH164" s="4"/>
      <c r="AI164" s="4"/>
      <c r="AJ164" s="4"/>
      <c r="AK164" s="4"/>
      <c r="AL164" s="4"/>
      <c r="AM164" s="4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34"/>
      <c r="AZ164" s="34"/>
      <c r="BA164" s="34"/>
      <c r="BB164" s="34"/>
      <c r="BC164" s="34"/>
      <c r="BD164" s="4"/>
      <c r="BE164" s="34"/>
      <c r="BF164" s="34"/>
      <c r="BG164" s="34"/>
      <c r="BH164" s="34"/>
      <c r="BI164" s="116"/>
      <c r="BJ164" s="50"/>
      <c r="BK164" s="50"/>
      <c r="BL164" s="50"/>
      <c r="BM164" s="50"/>
      <c r="BN164" s="50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</row>
    <row r="165" spans="1:146" s="36" customFormat="1" ht="63" customHeight="1">
      <c r="A165" s="32"/>
      <c r="B165" s="458" t="s">
        <v>179</v>
      </c>
      <c r="C165" s="458"/>
      <c r="D165" s="458"/>
      <c r="E165" s="458"/>
      <c r="F165" s="458"/>
      <c r="G165" s="458"/>
      <c r="H165" s="458"/>
      <c r="I165" s="458"/>
      <c r="J165" s="458"/>
      <c r="K165" s="458"/>
      <c r="L165" s="458"/>
      <c r="M165" s="65"/>
      <c r="N165" s="33"/>
      <c r="O165" s="33"/>
      <c r="P165" s="49"/>
      <c r="Q165" s="49"/>
      <c r="R165" s="61"/>
      <c r="S165" s="4"/>
      <c r="T165" s="34"/>
      <c r="U165" s="34"/>
      <c r="V165" s="33"/>
      <c r="W165" s="49"/>
      <c r="X165" s="49"/>
      <c r="Y165" s="49"/>
      <c r="Z165" s="46"/>
      <c r="AA165" s="46"/>
      <c r="AB165" s="46"/>
      <c r="AC165" s="46"/>
      <c r="AD165" s="46"/>
      <c r="AE165" s="49"/>
      <c r="AF165" s="49"/>
      <c r="AG165" s="49"/>
      <c r="AH165" s="46"/>
      <c r="AI165" s="46"/>
      <c r="AJ165" s="46"/>
      <c r="AK165" s="46"/>
      <c r="AL165" s="46"/>
      <c r="AM165" s="46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50"/>
      <c r="AZ165" s="50"/>
      <c r="BA165" s="50"/>
      <c r="BB165" s="50"/>
      <c r="BC165" s="50"/>
      <c r="BD165" s="46"/>
      <c r="BE165" s="50"/>
      <c r="BF165" s="50"/>
      <c r="BG165" s="50"/>
      <c r="BH165" s="50"/>
      <c r="BI165" s="116"/>
      <c r="BJ165" s="50"/>
      <c r="BK165" s="50"/>
      <c r="BL165" s="50"/>
      <c r="BM165" s="50"/>
      <c r="BN165" s="50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</row>
    <row r="166" spans="1:146" s="36" customFormat="1" ht="36.75" customHeight="1">
      <c r="A166" s="32"/>
      <c r="B166" s="456" t="s">
        <v>180</v>
      </c>
      <c r="C166" s="456"/>
      <c r="D166" s="456"/>
      <c r="E166" s="456"/>
      <c r="F166" s="456"/>
      <c r="G166" s="456"/>
      <c r="H166" s="456"/>
      <c r="I166" s="456"/>
      <c r="J166" s="456"/>
      <c r="K166" s="456"/>
      <c r="L166" s="456"/>
      <c r="M166" s="49"/>
      <c r="N166" s="61"/>
      <c r="O166" s="61"/>
      <c r="P166" s="65"/>
      <c r="Q166" s="65"/>
      <c r="R166" s="33"/>
      <c r="S166" s="46"/>
      <c r="T166" s="50"/>
      <c r="U166" s="50"/>
      <c r="V166" s="61"/>
      <c r="W166" s="65"/>
      <c r="X166" s="65"/>
      <c r="Y166" s="65"/>
      <c r="Z166" s="4"/>
      <c r="AA166" s="4"/>
      <c r="AB166" s="4"/>
      <c r="AC166" s="4"/>
      <c r="AD166" s="4"/>
      <c r="AE166" s="65"/>
      <c r="AF166" s="65"/>
      <c r="AG166" s="65"/>
      <c r="AH166" s="4"/>
      <c r="AI166" s="4"/>
      <c r="AJ166" s="4"/>
      <c r="AK166" s="4"/>
      <c r="AL166" s="4"/>
      <c r="AM166" s="4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34"/>
      <c r="AZ166" s="34"/>
      <c r="BA166" s="34"/>
      <c r="BB166" s="34"/>
      <c r="BC166" s="34"/>
      <c r="BD166" s="4"/>
      <c r="BE166" s="34"/>
      <c r="BF166" s="34"/>
      <c r="BG166" s="34"/>
      <c r="BH166" s="34"/>
      <c r="BI166" s="116"/>
      <c r="BJ166" s="50"/>
      <c r="BK166" s="50"/>
      <c r="BL166" s="50"/>
      <c r="BM166" s="50"/>
      <c r="BN166" s="50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</row>
    <row r="167" spans="1:146">
      <c r="A167" s="2"/>
      <c r="B167" s="457"/>
      <c r="C167" s="457"/>
      <c r="D167" s="457"/>
      <c r="E167" s="457"/>
      <c r="F167" s="457"/>
      <c r="G167" s="457"/>
      <c r="H167" s="457"/>
      <c r="I167" s="457"/>
      <c r="J167" s="457"/>
      <c r="K167" s="457"/>
      <c r="L167" s="457"/>
    </row>
    <row r="168" spans="1:146" ht="16.5" customHeight="1" thickBot="1">
      <c r="A168" s="45"/>
      <c r="B168" s="465">
        <f ca="1">IF(A168=0,TODAY(),A168)</f>
        <v>45294</v>
      </c>
      <c r="C168" s="477"/>
      <c r="D168" s="466"/>
      <c r="E168" s="466"/>
      <c r="F168" s="466"/>
      <c r="G168" s="456">
        <f>D7</f>
        <v>0</v>
      </c>
      <c r="H168" s="456"/>
      <c r="I168" s="81"/>
      <c r="J168" s="81"/>
      <c r="K168" s="81"/>
      <c r="L168" s="81"/>
    </row>
    <row r="169" spans="1:14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4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4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4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4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4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4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4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  <row r="177" spans="1:1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</row>
    <row r="178" spans="1:1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</row>
    <row r="179" spans="1:1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</row>
    <row r="182" spans="1:1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</row>
    <row r="183" spans="1:1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</row>
    <row r="184" spans="1:1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</row>
    <row r="185" spans="1:1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</row>
    <row r="186" spans="1:1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</row>
    <row r="187" spans="1:1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</row>
    <row r="188" spans="1:1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</row>
    <row r="189" spans="1:1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</row>
    <row r="190" spans="1:1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</row>
    <row r="191" spans="1:1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</row>
    <row r="192" spans="1:1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</row>
    <row r="193" spans="1:1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</sheetData>
  <sheetProtection password="DF29" sheet="1" objects="1" scenarios="1"/>
  <mergeCells count="268">
    <mergeCell ref="D77:E77"/>
    <mergeCell ref="B84:C84"/>
    <mergeCell ref="I51:L51"/>
    <mergeCell ref="B51:H51"/>
    <mergeCell ref="D71:E71"/>
    <mergeCell ref="B74:C74"/>
    <mergeCell ref="D74:E74"/>
    <mergeCell ref="B59:C59"/>
    <mergeCell ref="B61:C61"/>
    <mergeCell ref="B65:C65"/>
    <mergeCell ref="D65:E65"/>
    <mergeCell ref="D54:E54"/>
    <mergeCell ref="D56:E56"/>
    <mergeCell ref="B63:C63"/>
    <mergeCell ref="D63:E63"/>
    <mergeCell ref="B64:C64"/>
    <mergeCell ref="I52:L52"/>
    <mergeCell ref="D73:E73"/>
    <mergeCell ref="B73:C73"/>
    <mergeCell ref="B111:K111"/>
    <mergeCell ref="D95:E95"/>
    <mergeCell ref="D75:E75"/>
    <mergeCell ref="D84:E84"/>
    <mergeCell ref="D82:E82"/>
    <mergeCell ref="D55:E55"/>
    <mergeCell ref="B56:C56"/>
    <mergeCell ref="D53:E53"/>
    <mergeCell ref="D91:E91"/>
    <mergeCell ref="B91:C91"/>
    <mergeCell ref="B80:C80"/>
    <mergeCell ref="D88:E88"/>
    <mergeCell ref="D79:E79"/>
    <mergeCell ref="B82:C82"/>
    <mergeCell ref="B81:C81"/>
    <mergeCell ref="D81:E81"/>
    <mergeCell ref="B88:C88"/>
    <mergeCell ref="D87:E87"/>
    <mergeCell ref="B90:C90"/>
    <mergeCell ref="B71:C71"/>
    <mergeCell ref="D72:E72"/>
    <mergeCell ref="D64:E64"/>
    <mergeCell ref="B70:C70"/>
    <mergeCell ref="D83:E83"/>
    <mergeCell ref="D13:F13"/>
    <mergeCell ref="B30:C30"/>
    <mergeCell ref="D30:E30"/>
    <mergeCell ref="B13:C13"/>
    <mergeCell ref="B14:C14"/>
    <mergeCell ref="B18:C18"/>
    <mergeCell ref="B16:C16"/>
    <mergeCell ref="D20:F20"/>
    <mergeCell ref="D27:E27"/>
    <mergeCell ref="B27:C27"/>
    <mergeCell ref="D25:E25"/>
    <mergeCell ref="D21:F21"/>
    <mergeCell ref="D28:E28"/>
    <mergeCell ref="N1:Q1"/>
    <mergeCell ref="B7:C7"/>
    <mergeCell ref="D7:F7"/>
    <mergeCell ref="F1:H4"/>
    <mergeCell ref="B5:I5"/>
    <mergeCell ref="M11:P11"/>
    <mergeCell ref="M12:P12"/>
    <mergeCell ref="B8:C8"/>
    <mergeCell ref="D8:F8"/>
    <mergeCell ref="B10:C10"/>
    <mergeCell ref="D10:E10"/>
    <mergeCell ref="B11:C11"/>
    <mergeCell ref="D12:E12"/>
    <mergeCell ref="B12:C12"/>
    <mergeCell ref="D11:E11"/>
    <mergeCell ref="B33:C33"/>
    <mergeCell ref="B35:C35"/>
    <mergeCell ref="D35:E35"/>
    <mergeCell ref="D33:E33"/>
    <mergeCell ref="I24:L24"/>
    <mergeCell ref="D24:H24"/>
    <mergeCell ref="D18:F18"/>
    <mergeCell ref="D14:E14"/>
    <mergeCell ref="I23:L23"/>
    <mergeCell ref="B23:H23"/>
    <mergeCell ref="B24:C25"/>
    <mergeCell ref="D17:F17"/>
    <mergeCell ref="D22:E22"/>
    <mergeCell ref="D19:F19"/>
    <mergeCell ref="D16:E16"/>
    <mergeCell ref="D15:E15"/>
    <mergeCell ref="B15:C15"/>
    <mergeCell ref="B17:C17"/>
    <mergeCell ref="D26:E26"/>
    <mergeCell ref="B26:C26"/>
    <mergeCell ref="B29:C29"/>
    <mergeCell ref="D29:E29"/>
    <mergeCell ref="B28:C28"/>
    <mergeCell ref="B32:C32"/>
    <mergeCell ref="D32:E32"/>
    <mergeCell ref="B31:C31"/>
    <mergeCell ref="D31:E31"/>
    <mergeCell ref="B89:C89"/>
    <mergeCell ref="B38:C38"/>
    <mergeCell ref="D38:E38"/>
    <mergeCell ref="B39:C39"/>
    <mergeCell ref="D39:E39"/>
    <mergeCell ref="D44:E44"/>
    <mergeCell ref="D41:E41"/>
    <mergeCell ref="D42:E42"/>
    <mergeCell ref="B41:C41"/>
    <mergeCell ref="D49:E49"/>
    <mergeCell ref="B43:C43"/>
    <mergeCell ref="D43:E43"/>
    <mergeCell ref="B40:C40"/>
    <mergeCell ref="B49:C49"/>
    <mergeCell ref="B47:C47"/>
    <mergeCell ref="B45:C45"/>
    <mergeCell ref="B46:C46"/>
    <mergeCell ref="B60:C60"/>
    <mergeCell ref="B58:C58"/>
    <mergeCell ref="D59:E59"/>
    <mergeCell ref="D62:E62"/>
    <mergeCell ref="B87:C87"/>
    <mergeCell ref="D37:E37"/>
    <mergeCell ref="B34:C34"/>
    <mergeCell ref="B37:C37"/>
    <mergeCell ref="D40:E40"/>
    <mergeCell ref="B42:C42"/>
    <mergeCell ref="B57:C57"/>
    <mergeCell ref="B55:C55"/>
    <mergeCell ref="D61:E61"/>
    <mergeCell ref="B72:C72"/>
    <mergeCell ref="D52:H52"/>
    <mergeCell ref="D58:E58"/>
    <mergeCell ref="B36:C36"/>
    <mergeCell ref="D36:E36"/>
    <mergeCell ref="D34:E34"/>
    <mergeCell ref="D80:E80"/>
    <mergeCell ref="B85:C85"/>
    <mergeCell ref="B78:C78"/>
    <mergeCell ref="D78:E78"/>
    <mergeCell ref="B79:C79"/>
    <mergeCell ref="B76:C76"/>
    <mergeCell ref="D76:E76"/>
    <mergeCell ref="B75:C75"/>
    <mergeCell ref="B77:C77"/>
    <mergeCell ref="D90:E90"/>
    <mergeCell ref="D85:E85"/>
    <mergeCell ref="B83:C83"/>
    <mergeCell ref="D89:E89"/>
    <mergeCell ref="B44:C44"/>
    <mergeCell ref="D45:E45"/>
    <mergeCell ref="D47:E47"/>
    <mergeCell ref="B48:C48"/>
    <mergeCell ref="D48:E48"/>
    <mergeCell ref="D46:E46"/>
    <mergeCell ref="B54:C54"/>
    <mergeCell ref="B52:C53"/>
    <mergeCell ref="B68:C68"/>
    <mergeCell ref="D70:E70"/>
    <mergeCell ref="D67:E67"/>
    <mergeCell ref="D66:E66"/>
    <mergeCell ref="D69:E69"/>
    <mergeCell ref="D68:E68"/>
    <mergeCell ref="B69:C69"/>
    <mergeCell ref="B62:C62"/>
    <mergeCell ref="B67:C67"/>
    <mergeCell ref="B66:C66"/>
    <mergeCell ref="D57:E57"/>
    <mergeCell ref="D60:E60"/>
    <mergeCell ref="B164:H164"/>
    <mergeCell ref="I164:L164"/>
    <mergeCell ref="B157:L157"/>
    <mergeCell ref="G168:H168"/>
    <mergeCell ref="B167:L167"/>
    <mergeCell ref="I160:L160"/>
    <mergeCell ref="B162:H162"/>
    <mergeCell ref="B161:H161"/>
    <mergeCell ref="B160:H160"/>
    <mergeCell ref="B166:L166"/>
    <mergeCell ref="B168:C168"/>
    <mergeCell ref="D168:F168"/>
    <mergeCell ref="B165:L165"/>
    <mergeCell ref="B158:L158"/>
    <mergeCell ref="B163:H163"/>
    <mergeCell ref="B159:L159"/>
    <mergeCell ref="I163:L163"/>
    <mergeCell ref="I162:L162"/>
    <mergeCell ref="B151:L151"/>
    <mergeCell ref="B144:L144"/>
    <mergeCell ref="B145:L145"/>
    <mergeCell ref="B148:L148"/>
    <mergeCell ref="I156:L156"/>
    <mergeCell ref="B155:H155"/>
    <mergeCell ref="B152:L152"/>
    <mergeCell ref="B153:H153"/>
    <mergeCell ref="I153:L153"/>
    <mergeCell ref="I155:L155"/>
    <mergeCell ref="B154:H154"/>
    <mergeCell ref="B134:K134"/>
    <mergeCell ref="B132:K132"/>
    <mergeCell ref="B133:K133"/>
    <mergeCell ref="B123:K123"/>
    <mergeCell ref="B131:K131"/>
    <mergeCell ref="B128:K128"/>
    <mergeCell ref="B127:K127"/>
    <mergeCell ref="B130:K130"/>
    <mergeCell ref="I161:L161"/>
    <mergeCell ref="B139:L139"/>
    <mergeCell ref="I154:L154"/>
    <mergeCell ref="B156:H156"/>
    <mergeCell ref="B147:L147"/>
    <mergeCell ref="B150:L150"/>
    <mergeCell ref="B135:K135"/>
    <mergeCell ref="B149:L149"/>
    <mergeCell ref="B146:L146"/>
    <mergeCell ref="B137:H137"/>
    <mergeCell ref="B142:L142"/>
    <mergeCell ref="B138:L138"/>
    <mergeCell ref="B143:L143"/>
    <mergeCell ref="B141:L141"/>
    <mergeCell ref="B140:L140"/>
    <mergeCell ref="B136:H136"/>
    <mergeCell ref="B108:K108"/>
    <mergeCell ref="B121:K121"/>
    <mergeCell ref="B124:K124"/>
    <mergeCell ref="B109:K109"/>
    <mergeCell ref="B103:C103"/>
    <mergeCell ref="D103:E103"/>
    <mergeCell ref="B92:C92"/>
    <mergeCell ref="B100:C100"/>
    <mergeCell ref="B102:C102"/>
    <mergeCell ref="D102:E102"/>
    <mergeCell ref="D100:E100"/>
    <mergeCell ref="B97:C97"/>
    <mergeCell ref="B98:C98"/>
    <mergeCell ref="D94:E94"/>
    <mergeCell ref="B94:C94"/>
    <mergeCell ref="D101:E101"/>
    <mergeCell ref="D99:E99"/>
    <mergeCell ref="D98:E98"/>
    <mergeCell ref="B101:C101"/>
    <mergeCell ref="B99:C99"/>
    <mergeCell ref="B96:C96"/>
    <mergeCell ref="D96:E96"/>
    <mergeCell ref="D97:E97"/>
    <mergeCell ref="B93:C93"/>
    <mergeCell ref="P111:Q111"/>
    <mergeCell ref="N111:O111"/>
    <mergeCell ref="B119:K119"/>
    <mergeCell ref="B120:K120"/>
    <mergeCell ref="B115:K115"/>
    <mergeCell ref="B110:H110"/>
    <mergeCell ref="B86:C86"/>
    <mergeCell ref="B129:H129"/>
    <mergeCell ref="B104:H104"/>
    <mergeCell ref="B107:H107"/>
    <mergeCell ref="D86:E86"/>
    <mergeCell ref="B95:C95"/>
    <mergeCell ref="B112:K112"/>
    <mergeCell ref="B114:K114"/>
    <mergeCell ref="B117:K117"/>
    <mergeCell ref="B122:K122"/>
    <mergeCell ref="B125:K125"/>
    <mergeCell ref="B126:K126"/>
    <mergeCell ref="B118:K118"/>
    <mergeCell ref="B116:K116"/>
    <mergeCell ref="B113:K113"/>
    <mergeCell ref="D92:E92"/>
    <mergeCell ref="D93:E93"/>
    <mergeCell ref="B106:H106"/>
  </mergeCells>
  <phoneticPr fontId="22" type="noConversion"/>
  <conditionalFormatting sqref="A11">
    <cfRule type="cellIs" dxfId="292" priority="33" stopIfTrue="1" operator="greaterThan">
      <formula>61</formula>
    </cfRule>
    <cfRule type="expression" dxfId="291" priority="34" stopIfTrue="1">
      <formula>$A$25</formula>
    </cfRule>
  </conditionalFormatting>
  <conditionalFormatting sqref="A14:A15">
    <cfRule type="cellIs" dxfId="290" priority="73" stopIfTrue="1" operator="greaterThan">
      <formula>73</formula>
    </cfRule>
    <cfRule type="expression" dxfId="289" priority="74" stopIfTrue="1">
      <formula>$A$25</formula>
    </cfRule>
  </conditionalFormatting>
  <conditionalFormatting sqref="B38:C38 B44:C44 B49:H50 B54:H102">
    <cfRule type="expression" dxfId="288" priority="1" stopIfTrue="1">
      <formula>$N38</formula>
    </cfRule>
  </conditionalFormatting>
  <conditionalFormatting sqref="B18:F18">
    <cfRule type="expression" dxfId="287" priority="22" stopIfTrue="1">
      <formula>$M$8</formula>
    </cfRule>
  </conditionalFormatting>
  <conditionalFormatting sqref="B26:H26">
    <cfRule type="expression" dxfId="286" priority="3" stopIfTrue="1">
      <formula>$N$26</formula>
    </cfRule>
  </conditionalFormatting>
  <conditionalFormatting sqref="B27:H27">
    <cfRule type="expression" dxfId="285" priority="4" stopIfTrue="1">
      <formula>$N$27</formula>
    </cfRule>
  </conditionalFormatting>
  <conditionalFormatting sqref="B29:H29 D30:E49">
    <cfRule type="expression" dxfId="284" priority="6" stopIfTrue="1">
      <formula>$N$29</formula>
    </cfRule>
  </conditionalFormatting>
  <conditionalFormatting sqref="B30:H30">
    <cfRule type="expression" dxfId="283" priority="7" stopIfTrue="1">
      <formula>$N$30</formula>
    </cfRule>
  </conditionalFormatting>
  <conditionalFormatting sqref="B31:H31">
    <cfRule type="expression" dxfId="282" priority="8" stopIfTrue="1">
      <formula>$N$31</formula>
    </cfRule>
  </conditionalFormatting>
  <conditionalFormatting sqref="B32:H32">
    <cfRule type="expression" dxfId="281" priority="9" stopIfTrue="1">
      <formula>$N$32</formula>
    </cfRule>
  </conditionalFormatting>
  <conditionalFormatting sqref="B33:H33">
    <cfRule type="expression" dxfId="280" priority="10" stopIfTrue="1">
      <formula>$N$33</formula>
    </cfRule>
  </conditionalFormatting>
  <conditionalFormatting sqref="B34:H34">
    <cfRule type="expression" dxfId="279" priority="11" stopIfTrue="1">
      <formula>$N$34</formula>
    </cfRule>
  </conditionalFormatting>
  <conditionalFormatting sqref="B35:H35">
    <cfRule type="expression" dxfId="278" priority="12" stopIfTrue="1">
      <formula>$N$35</formula>
    </cfRule>
  </conditionalFormatting>
  <conditionalFormatting sqref="B36:H36">
    <cfRule type="expression" dxfId="277" priority="13" stopIfTrue="1">
      <formula>$N$36</formula>
    </cfRule>
  </conditionalFormatting>
  <conditionalFormatting sqref="B37:H37">
    <cfRule type="expression" dxfId="276" priority="14" stopIfTrue="1">
      <formula>$N$37</formula>
    </cfRule>
  </conditionalFormatting>
  <conditionalFormatting sqref="B39:H39">
    <cfRule type="expression" dxfId="275" priority="16" stopIfTrue="1">
      <formula>$N$39</formula>
    </cfRule>
  </conditionalFormatting>
  <conditionalFormatting sqref="B40:H40">
    <cfRule type="expression" dxfId="274" priority="17" stopIfTrue="1">
      <formula>$N$40</formula>
    </cfRule>
  </conditionalFormatting>
  <conditionalFormatting sqref="B41:H41">
    <cfRule type="expression" dxfId="273" priority="18" stopIfTrue="1">
      <formula>$N$41</formula>
    </cfRule>
  </conditionalFormatting>
  <conditionalFormatting sqref="B42:H42">
    <cfRule type="expression" dxfId="272" priority="19" stopIfTrue="1">
      <formula>$N$42</formula>
    </cfRule>
  </conditionalFormatting>
  <conditionalFormatting sqref="B43:H43">
    <cfRule type="expression" dxfId="271" priority="20" stopIfTrue="1">
      <formula>$N$43</formula>
    </cfRule>
  </conditionalFormatting>
  <conditionalFormatting sqref="B45:H45">
    <cfRule type="expression" dxfId="270" priority="25" stopIfTrue="1">
      <formula>$N$45</formula>
    </cfRule>
  </conditionalFormatting>
  <conditionalFormatting sqref="B46:H46">
    <cfRule type="expression" dxfId="269" priority="26" stopIfTrue="1">
      <formula>$N$46</formula>
    </cfRule>
  </conditionalFormatting>
  <conditionalFormatting sqref="B47:H47">
    <cfRule type="expression" dxfId="268" priority="27" stopIfTrue="1">
      <formula>$N$47</formula>
    </cfRule>
  </conditionalFormatting>
  <conditionalFormatting sqref="B48:H48">
    <cfRule type="expression" dxfId="267" priority="28" stopIfTrue="1">
      <formula>$N$48</formula>
    </cfRule>
  </conditionalFormatting>
  <conditionalFormatting sqref="B106:I137">
    <cfRule type="expression" dxfId="266" priority="38" stopIfTrue="1">
      <formula>A106</formula>
    </cfRule>
  </conditionalFormatting>
  <conditionalFormatting sqref="D12">
    <cfRule type="expression" dxfId="265" priority="32" stopIfTrue="1">
      <formula>$A$25</formula>
    </cfRule>
  </conditionalFormatting>
  <conditionalFormatting sqref="D10:E10">
    <cfRule type="cellIs" dxfId="264" priority="30" stopIfTrue="1" operator="lessThan">
      <formula>300000</formula>
    </cfRule>
  </conditionalFormatting>
  <conditionalFormatting sqref="D29:E49 B28:H28">
    <cfRule type="expression" dxfId="263" priority="5" stopIfTrue="1">
      <formula>$N$28</formula>
    </cfRule>
  </conditionalFormatting>
  <conditionalFormatting sqref="D38:H38">
    <cfRule type="expression" dxfId="262" priority="15" stopIfTrue="1">
      <formula>$N$38</formula>
    </cfRule>
  </conditionalFormatting>
  <conditionalFormatting sqref="D44:H44">
    <cfRule type="expression" dxfId="261" priority="24" stopIfTrue="1">
      <formula>$N$44</formula>
    </cfRule>
  </conditionalFormatting>
  <conditionalFormatting sqref="F10 D10:E11">
    <cfRule type="expression" dxfId="260" priority="21" stopIfTrue="1">
      <formula>$M$5</formula>
    </cfRule>
  </conditionalFormatting>
  <conditionalFormatting sqref="G10:L10">
    <cfRule type="expression" dxfId="259" priority="23" stopIfTrue="1">
      <formula>$A$1</formula>
    </cfRule>
  </conditionalFormatting>
  <conditionalFormatting sqref="I25:K25 I53:K53">
    <cfRule type="expression" dxfId="258" priority="79" stopIfTrue="1">
      <formula>$D$15</formula>
    </cfRule>
  </conditionalFormatting>
  <conditionalFormatting sqref="I24:L24 L25 I52:L52 L53">
    <cfRule type="expression" dxfId="257" priority="80" stopIfTrue="1">
      <formula>$D$15</formula>
    </cfRule>
  </conditionalFormatting>
  <conditionalFormatting sqref="I26:L49 J54:L101 I54:I102">
    <cfRule type="expression" dxfId="256" priority="40" stopIfTrue="1">
      <formula>$BD26</formula>
    </cfRule>
  </conditionalFormatting>
  <conditionalFormatting sqref="J106:J137">
    <cfRule type="expression" dxfId="255" priority="39" stopIfTrue="1">
      <formula>H106</formula>
    </cfRule>
  </conditionalFormatting>
  <conditionalFormatting sqref="J102:L102">
    <cfRule type="expression" dxfId="254" priority="41" stopIfTrue="1">
      <formula>$AY102</formula>
    </cfRule>
  </conditionalFormatting>
  <conditionalFormatting sqref="K106:K137">
    <cfRule type="expression" dxfId="253" priority="37" stopIfTrue="1">
      <formula>H106</formula>
    </cfRule>
  </conditionalFormatting>
  <conditionalFormatting sqref="L106:L130 L134:L137">
    <cfRule type="expression" dxfId="252" priority="2" stopIfTrue="1">
      <formula>H106</formula>
    </cfRule>
  </conditionalFormatting>
  <pageMargins left="0.86614173228346458" right="0.35433070866141736" top="0.39370078740157483" bottom="0.31496062992125984" header="0.51181102362204722" footer="0.31496062992125984"/>
  <pageSetup paperSize="9" scale="55" orientation="portrait" r:id="rId1"/>
  <headerFooter alignWithMargins="0"/>
  <rowBreaks count="1" manualBreakCount="1">
    <brk id="102" min="1" max="7" man="1"/>
  </rowBreaks>
  <colBreaks count="2" manualBreakCount="2">
    <brk id="1" max="1048575" man="1"/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K175"/>
  <sheetViews>
    <sheetView zoomScale="90" zoomScaleNormal="90" workbookViewId="0">
      <selection activeCell="B5" sqref="B5:H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8.28515625" style="21" customWidth="1"/>
    <col min="5" max="5" width="13.42578125" style="21" customWidth="1"/>
    <col min="6" max="6" width="21.42578125" style="21" customWidth="1"/>
    <col min="7" max="7" width="16.5703125" style="21" hidden="1" customWidth="1"/>
    <col min="8" max="8" width="22.42578125" style="21" customWidth="1"/>
    <col min="9" max="10" width="16.5703125" style="21" customWidth="1"/>
    <col min="11" max="11" width="16.5703125" style="21" hidden="1" customWidth="1"/>
    <col min="12" max="12" width="22" style="21" customWidth="1"/>
    <col min="13" max="15" width="9.28515625" style="46" bestFit="1" customWidth="1"/>
    <col min="16" max="16" width="12.85546875" style="46" bestFit="1" customWidth="1"/>
    <col min="17" max="17" width="11.5703125" style="46" customWidth="1"/>
    <col min="18" max="18" width="13.7109375" style="46" customWidth="1"/>
    <col min="19" max="20" width="13.5703125" style="46" customWidth="1"/>
    <col min="21" max="21" width="13.42578125" style="46" customWidth="1"/>
    <col min="22" max="22" width="13.85546875" style="46" customWidth="1"/>
    <col min="23" max="23" width="14" style="46" customWidth="1"/>
    <col min="24" max="24" width="12.7109375" style="46" customWidth="1"/>
    <col min="25" max="27" width="12.140625" style="46" customWidth="1"/>
    <col min="28" max="28" width="17.5703125" style="46" customWidth="1"/>
    <col min="29" max="29" width="12.42578125" style="46" customWidth="1"/>
    <col min="30" max="34" width="12.28515625" style="46" customWidth="1"/>
    <col min="35" max="35" width="13.85546875" style="46" customWidth="1"/>
    <col min="36" max="36" width="12.140625" style="46" customWidth="1"/>
    <col min="37" max="37" width="12" style="46" customWidth="1"/>
    <col min="38" max="45" width="9.140625" style="46"/>
    <col min="46" max="50" width="9.140625" style="47"/>
    <col min="51" max="51" width="9.140625" style="46"/>
    <col min="52" max="57" width="9.140625" style="47"/>
    <col min="58" max="60" width="9.140625" style="19"/>
    <col min="61" max="141" width="9.140625" style="20"/>
    <col min="142" max="16384" width="9.140625" style="21"/>
  </cols>
  <sheetData>
    <row r="1" spans="1:60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19"/>
      <c r="AU1" s="19"/>
      <c r="AV1" s="19"/>
      <c r="AW1" s="19"/>
      <c r="AX1" s="19"/>
      <c r="AY1" s="4"/>
      <c r="AZ1" s="19"/>
      <c r="BA1" s="19"/>
      <c r="BB1" s="19"/>
      <c r="BC1" s="19"/>
      <c r="BD1" s="19"/>
      <c r="BE1" s="19"/>
    </row>
    <row r="2" spans="1:60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BF2" s="47"/>
      <c r="BG2" s="47"/>
      <c r="BH2" s="47"/>
    </row>
    <row r="3" spans="1:60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9"/>
      <c r="AU3" s="19"/>
      <c r="AV3" s="19"/>
      <c r="AW3" s="19"/>
      <c r="AX3" s="19"/>
      <c r="AY3" s="4"/>
      <c r="AZ3" s="19"/>
      <c r="BA3" s="19"/>
      <c r="BB3" s="19"/>
      <c r="BC3" s="19"/>
      <c r="BD3" s="19"/>
      <c r="BE3" s="19"/>
    </row>
    <row r="4" spans="1:60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BF4" s="47"/>
      <c r="BG4" s="47"/>
      <c r="BH4" s="47"/>
    </row>
    <row r="5" spans="1:60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78"/>
      <c r="J5" s="78"/>
      <c r="K5" s="78"/>
      <c r="L5" s="78"/>
      <c r="M5" s="46">
        <f>IF(M1=0,1,0)</f>
        <v>0</v>
      </c>
      <c r="BF5" s="47"/>
      <c r="BG5" s="47"/>
      <c r="BH5" s="47"/>
    </row>
    <row r="6" spans="1:60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BF6" s="47"/>
      <c r="BG6" s="47"/>
      <c r="BH6" s="47"/>
    </row>
    <row r="7" spans="1:6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BF7" s="47"/>
      <c r="BG7" s="47"/>
      <c r="BH7" s="47"/>
    </row>
    <row r="8" spans="1:6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v>0</v>
      </c>
      <c r="I8" s="4"/>
      <c r="J8" s="4"/>
      <c r="K8" s="4"/>
      <c r="L8" s="4"/>
      <c r="M8" s="46">
        <v>1</v>
      </c>
      <c r="N8" s="46">
        <v>0</v>
      </c>
      <c r="O8" s="46">
        <f>N8+M8+H8</f>
        <v>1</v>
      </c>
      <c r="BF8" s="47"/>
      <c r="BG8" s="47"/>
      <c r="BH8" s="47"/>
    </row>
    <row r="9" spans="1:60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19"/>
      <c r="AU9" s="19"/>
      <c r="AV9" s="19"/>
      <c r="AW9" s="19"/>
      <c r="AX9" s="19"/>
      <c r="AY9" s="4"/>
      <c r="AZ9" s="19"/>
      <c r="BA9" s="19"/>
      <c r="BB9" s="19"/>
      <c r="BC9" s="19"/>
      <c r="BD9" s="19"/>
      <c r="BE9" s="19"/>
    </row>
    <row r="10" spans="1:60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1000000</v>
      </c>
      <c r="E10" s="450"/>
      <c r="F10" s="11" t="s">
        <v>189</v>
      </c>
      <c r="G10" s="12" t="s">
        <v>7</v>
      </c>
      <c r="H10" s="13">
        <f>F22+G22+A92+D10</f>
        <v>2902040</v>
      </c>
      <c r="I10" s="40"/>
      <c r="J10" s="40"/>
      <c r="K10" s="40"/>
      <c r="L10" s="4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19"/>
      <c r="AU10" s="19"/>
      <c r="AV10" s="19"/>
      <c r="AW10" s="19"/>
      <c r="AX10" s="19"/>
      <c r="AY10" s="4"/>
      <c r="AZ10" s="19"/>
      <c r="BA10" s="19"/>
      <c r="BB10" s="19"/>
      <c r="BC10" s="19"/>
      <c r="BD10" s="19"/>
      <c r="BE10" s="19"/>
    </row>
    <row r="11" spans="1:60" ht="15" customHeight="1">
      <c r="A11" s="17">
        <v>23.5</v>
      </c>
      <c r="B11" s="408" t="s">
        <v>8</v>
      </c>
      <c r="C11" s="409"/>
      <c r="D11" s="413">
        <f>A11*2+15</f>
        <v>62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>R11-Q12-1</f>
        <v>5</v>
      </c>
      <c r="R11" s="46">
        <f>IF(DAY(D16)=31,31,30)</f>
        <v>30</v>
      </c>
      <c r="BF11" s="47"/>
      <c r="BG11" s="47"/>
      <c r="BH11" s="47"/>
    </row>
    <row r="12" spans="1:60" ht="15" hidden="1" customHeight="1">
      <c r="A12" s="7"/>
      <c r="B12" s="408" t="s">
        <v>10</v>
      </c>
      <c r="C12" s="409"/>
      <c r="D12" s="422">
        <v>0</v>
      </c>
      <c r="E12" s="423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>DATE(YEAR(0),MONTH(0),DAY(D16)-1)</f>
        <v>24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19"/>
      <c r="AU12" s="19"/>
      <c r="AV12" s="19"/>
      <c r="AW12" s="19"/>
      <c r="AX12" s="19"/>
      <c r="AY12" s="4"/>
      <c r="AZ12" s="19"/>
      <c r="BA12" s="19"/>
      <c r="BB12" s="19"/>
      <c r="BC12" s="19"/>
      <c r="BD12" s="19"/>
      <c r="BE12" s="19"/>
    </row>
    <row r="13" spans="1:60" ht="27" customHeight="1">
      <c r="A13" s="16" t="s">
        <v>12</v>
      </c>
      <c r="B13" s="345" t="s">
        <v>181</v>
      </c>
      <c r="C13" s="346"/>
      <c r="D13" s="415" t="s">
        <v>182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BF13" s="47"/>
      <c r="BG13" s="47"/>
      <c r="BH13" s="47"/>
    </row>
    <row r="14" spans="1:60" ht="15" customHeight="1">
      <c r="A14" s="75">
        <f>IF(DAY(D16)&lt;=21,D14,D14+1)</f>
        <v>61</v>
      </c>
      <c r="B14" s="408" t="s">
        <v>13</v>
      </c>
      <c r="C14" s="409"/>
      <c r="D14" s="422">
        <v>60</v>
      </c>
      <c r="E14" s="423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>IF(M1=1,IF(F10="USD",0,A14),IF(M1=2,A14," "))</f>
        <v>61</v>
      </c>
      <c r="BF14" s="47"/>
      <c r="BG14" s="47"/>
      <c r="BH14" s="47"/>
    </row>
    <row r="15" spans="1:60" ht="15" customHeight="1">
      <c r="A15" s="16"/>
      <c r="B15" s="309" t="s">
        <v>139</v>
      </c>
      <c r="C15" s="310"/>
      <c r="D15" s="355">
        <v>12</v>
      </c>
      <c r="E15" s="356"/>
      <c r="F15" s="14" t="str">
        <f>IF(D15=54,"месяца",IF(D15=42,"месяца",IF(D15&gt;4,"месяцев",IF(D15&gt;1,"месяца",IF(D15=1,"месяц","месяцев")))))</f>
        <v>месяцев</v>
      </c>
      <c r="G15" s="4"/>
      <c r="H15" s="4"/>
      <c r="I15" s="4"/>
      <c r="J15" s="4"/>
      <c r="K15" s="4"/>
      <c r="L15" s="4"/>
      <c r="BF15" s="47"/>
      <c r="BG15" s="47"/>
      <c r="BH15" s="47"/>
    </row>
    <row r="16" spans="1:60" ht="15" customHeight="1">
      <c r="A16" s="7"/>
      <c r="B16" s="408" t="s">
        <v>14</v>
      </c>
      <c r="C16" s="409"/>
      <c r="D16" s="418">
        <v>41299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>A14-D15</f>
        <v>49</v>
      </c>
      <c r="BF16" s="47"/>
      <c r="BG16" s="47"/>
      <c r="BH16" s="47"/>
    </row>
    <row r="17" spans="1:141" ht="15" customHeight="1" thickBot="1">
      <c r="A17" s="4">
        <f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BF17" s="47"/>
      <c r="BG17" s="47"/>
      <c r="BH17" s="47"/>
    </row>
    <row r="18" spans="1:141" ht="13.5" thickBot="1">
      <c r="A18" s="4"/>
      <c r="B18" s="444" t="s">
        <v>18</v>
      </c>
      <c r="C18" s="445"/>
      <c r="D18" s="446"/>
      <c r="E18" s="447"/>
      <c r="F18" s="448"/>
      <c r="G18" s="4"/>
      <c r="H18" s="4"/>
      <c r="I18" s="4"/>
      <c r="J18" s="4"/>
      <c r="K18" s="4"/>
      <c r="L18" s="4"/>
      <c r="BF18" s="47"/>
      <c r="BG18" s="47"/>
      <c r="BH18" s="47"/>
    </row>
    <row r="19" spans="1:141" hidden="1">
      <c r="A19" s="4"/>
      <c r="B19" s="4"/>
      <c r="C19" s="4"/>
      <c r="D19" s="489" t="s">
        <v>17</v>
      </c>
      <c r="E19" s="489"/>
      <c r="F19" s="489"/>
      <c r="G19" s="4"/>
      <c r="H19" s="4"/>
      <c r="I19" s="4"/>
      <c r="J19" s="4"/>
      <c r="K19" s="4"/>
      <c r="L19" s="4"/>
      <c r="BF19" s="47"/>
      <c r="BG19" s="47"/>
      <c r="BH19" s="47"/>
    </row>
    <row r="20" spans="1:141" hidden="1">
      <c r="A20" s="4"/>
      <c r="B20" s="4"/>
      <c r="C20" s="4"/>
      <c r="D20" s="489" t="s">
        <v>79</v>
      </c>
      <c r="E20" s="489"/>
      <c r="F20" s="489"/>
      <c r="G20" s="4"/>
      <c r="H20" s="4"/>
      <c r="I20" s="4"/>
      <c r="J20" s="4"/>
      <c r="K20" s="4"/>
      <c r="L20" s="4"/>
      <c r="BF20" s="47"/>
      <c r="BG20" s="47"/>
      <c r="BH20" s="47"/>
    </row>
    <row r="21" spans="1:141" hidden="1">
      <c r="A21" s="4"/>
      <c r="B21" s="4"/>
      <c r="C21" s="4"/>
      <c r="D21" s="489"/>
      <c r="E21" s="489"/>
      <c r="F21" s="489"/>
      <c r="G21" s="4"/>
      <c r="H21" s="4"/>
      <c r="I21" s="4"/>
      <c r="J21" s="4"/>
      <c r="K21" s="4"/>
      <c r="L21" s="4"/>
      <c r="BF21" s="47"/>
      <c r="BG21" s="47"/>
      <c r="BH21" s="47"/>
    </row>
    <row r="22" spans="1:141" ht="6.75" hidden="1" customHeight="1">
      <c r="A22" s="4"/>
      <c r="B22" s="4"/>
      <c r="C22" s="4"/>
      <c r="D22" s="404">
        <f>SUM(D25:E85)</f>
        <v>1000000</v>
      </c>
      <c r="E22" s="272"/>
      <c r="F22" s="22">
        <f>SUM(F25:F86)/2</f>
        <v>1902040</v>
      </c>
      <c r="G22" s="22">
        <f>SUM(G25:G86)/2</f>
        <v>0</v>
      </c>
      <c r="H22" s="22">
        <f>SUM(H25:H72)</f>
        <v>2531980</v>
      </c>
      <c r="I22" s="22"/>
      <c r="J22" s="22"/>
      <c r="K22" s="22"/>
      <c r="L22" s="22"/>
      <c r="BF22" s="47"/>
      <c r="BG22" s="47"/>
      <c r="BH22" s="47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BF23" s="47"/>
      <c r="BG23" s="47"/>
      <c r="BH23" s="47"/>
    </row>
    <row r="24" spans="1:141" ht="39.75" customHeight="1">
      <c r="A24" s="4">
        <f>IF(A14&lt;D14,1,IF(ABS(A14-D14)&gt;1,1,0))</f>
        <v>0</v>
      </c>
      <c r="B24" s="349"/>
      <c r="C24" s="350"/>
      <c r="D24" s="470" t="s">
        <v>22</v>
      </c>
      <c r="E24" s="470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48" t="s">
        <v>26</v>
      </c>
      <c r="O24" s="48" t="s">
        <v>27</v>
      </c>
      <c r="P24" s="48" t="s">
        <v>28</v>
      </c>
      <c r="Q24" s="48" t="s">
        <v>29</v>
      </c>
      <c r="R24" s="48" t="s">
        <v>30</v>
      </c>
      <c r="S24" s="48">
        <v>2</v>
      </c>
      <c r="T24" s="48"/>
      <c r="U24" s="48" t="s">
        <v>31</v>
      </c>
      <c r="V24" s="48" t="s">
        <v>32</v>
      </c>
      <c r="W24" s="48" t="s">
        <v>142</v>
      </c>
      <c r="X24" s="48" t="s">
        <v>142</v>
      </c>
      <c r="Y24" s="48"/>
      <c r="Z24" s="48"/>
      <c r="AA24" s="48"/>
      <c r="AB24" s="48" t="s">
        <v>33</v>
      </c>
      <c r="AC24" s="48" t="s">
        <v>28</v>
      </c>
      <c r="AD24" s="48" t="s">
        <v>29</v>
      </c>
      <c r="AE24" s="48" t="s">
        <v>143</v>
      </c>
      <c r="AF24" s="48" t="s">
        <v>143</v>
      </c>
      <c r="AG24" s="48"/>
      <c r="AH24" s="48"/>
      <c r="AI24" s="48" t="s">
        <v>30</v>
      </c>
      <c r="AJ24" s="48" t="s">
        <v>31</v>
      </c>
      <c r="AK24" s="48" t="s">
        <v>32</v>
      </c>
      <c r="AL24" s="51"/>
      <c r="AM24" s="51"/>
      <c r="AN24" s="51"/>
      <c r="AO24" s="51"/>
      <c r="AP24" s="51"/>
      <c r="AQ24" s="51"/>
      <c r="AR24" s="51"/>
      <c r="AS24" s="51"/>
      <c r="AT24" s="52"/>
      <c r="AU24" s="52"/>
      <c r="AV24" s="52"/>
      <c r="AW24" s="52"/>
      <c r="AX24" s="52"/>
      <c r="AY24" s="51"/>
      <c r="AZ24" s="52"/>
      <c r="BA24" s="52"/>
      <c r="BB24" s="52"/>
      <c r="BC24" s="52"/>
      <c r="BD24" s="52"/>
      <c r="BE24" s="52"/>
      <c r="BF24" s="52"/>
      <c r="BG24" s="52"/>
      <c r="BH24" s="52"/>
    </row>
    <row r="25" spans="1:141" s="24" customFormat="1" ht="15" customHeight="1">
      <c r="A25" s="4">
        <v>1</v>
      </c>
      <c r="B25" s="268">
        <f>IF(N25=0,IF(N24=1,"ИТОГО"," "),DATE(YEAR(D16),MONTH(D16)+1,O25))</f>
        <v>41325</v>
      </c>
      <c r="C25" s="401"/>
      <c r="D25" s="443">
        <v>0</v>
      </c>
      <c r="E25" s="443"/>
      <c r="F25" s="84">
        <f>IF(M1=1,P25,IF(M1=2,Q25," "))</f>
        <v>8610</v>
      </c>
      <c r="G25" s="84">
        <f>IF(M1=1,AC25,IF(M1=2,AD25," "))</f>
        <v>0</v>
      </c>
      <c r="H25" s="84">
        <f>SUM(D25:G25)+A87</f>
        <v>8610</v>
      </c>
      <c r="I25" s="84">
        <v>0</v>
      </c>
      <c r="J25" s="84">
        <f>IF(M25&lt;=D$15,X25,IF(M$1=1,P25,IF(M$1=2,Q25," ")))</f>
        <v>8610</v>
      </c>
      <c r="K25" s="84">
        <f>IF(M25&lt;=D$15,AF25,IF(M$1=1,AC25,IF(M$1=2,AD25," ")))</f>
        <v>0</v>
      </c>
      <c r="L25" s="84">
        <f>SUM(I25:K25)+A87</f>
        <v>8610</v>
      </c>
      <c r="M25" s="51">
        <v>1</v>
      </c>
      <c r="N25" s="51">
        <f>IF(M1=1,IF(M14&gt;0,1,0),IF(M1=2,IF(M14&gt;0,1,0),0))</f>
        <v>1</v>
      </c>
      <c r="O25" s="51">
        <f t="shared" ref="O25:O56" si="0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56">
        <f t="shared" ref="P25:P56" si="1">IF(U25&lt;&gt;0,IF(VALUE(RIGHT(ROUND(U25,0)))&lt;=5,ROUND(U25,0)-VALUE(RIGHT(ROUND(U25,0))),ROUND(U25,0)+10-VALUE(RIGHT(ROUND(U25,0)))),0)</f>
        <v>8610</v>
      </c>
      <c r="Q25" s="56">
        <f t="shared" ref="Q25:Q56" si="2">IF(V25&lt;&gt;0,IF(VALUE(RIGHT(ROUND(V25,0)))&lt;=5,ROUND(V25,0)-VALUE(RIGHT(ROUND(V25,0))),ROUND(V25,0)+10-VALUE(RIGHT(ROUND(V25,0)))),0)</f>
        <v>8610</v>
      </c>
      <c r="R25" s="56">
        <f>D10</f>
        <v>1000000</v>
      </c>
      <c r="S25" s="56">
        <f>IF(N25=0,0,IF(F10="USD",ROUND(D10/M14,2),IF(F10="бел. рублей",IF(AW25&lt;=5,ROUND(AU25,0)-AW25,ROUND(AU25,0)+AX25)," ")))</f>
        <v>20410</v>
      </c>
      <c r="T25" s="56">
        <f>IF(N25=0,0,IF(F10="USD",ROUND(D10/M14,2),IF(F10="бел. рублей",IF(AW25&lt;=5,ROUND(AU25,0)-AW25,ROUND(AU25,0)+AX25)," ")))</f>
        <v>20410</v>
      </c>
      <c r="U25" s="56">
        <f>R25*Q11*D11/36000</f>
        <v>8611.1111111111113</v>
      </c>
      <c r="V25" s="56">
        <f>R25*Q11*D11/36000</f>
        <v>8611.1111111111113</v>
      </c>
      <c r="W25" s="56">
        <f>IF(D10*Q11*D11/36000&lt;&gt;0,IF(VALUE(RIGHT(ROUND(D10*Q11*D11/36000,0)))&lt;=5,ROUND(D10*Q11*D11/36000,0)-VALUE(RIGHT(ROUND(D10*Q11*D11/36000,0))),ROUND(D10*Q11*D11/36000,0)+10-VALUE(RIGHT(ROUND(D10*Q11*D11/36000,0)))),0)</f>
        <v>8610</v>
      </c>
      <c r="X25" s="56">
        <f>IF(D10*Q11*D11/36000&lt;&gt;0,IF(VALUE(RIGHT(ROUND(D10*Q11*D11/36000,0)))&lt;=5,ROUND(D10*Q11*D11/36000,0)-VALUE(RIGHT(ROUND(D10*Q11*D11/36000,0))),ROUND(D10*Q11*D11/36000,0)+10-VALUE(RIGHT(ROUND(D10*Q11*D11/36000,0)))),0)</f>
        <v>8610</v>
      </c>
      <c r="Y25" s="56">
        <f>IF(M25&lt;=(D$15+1),D$10,Y24-I24)</f>
        <v>1000000</v>
      </c>
      <c r="Z25" s="56">
        <f>Y25*Q11*D11/36000</f>
        <v>8611.1111111111113</v>
      </c>
      <c r="AA25" s="56">
        <f>IF(Z25&lt;&gt;0,IF(VALUE(RIGHT(ROUND(Z25,0)))&lt;=5,ROUND(Z25,0)-VALUE(RIGHT(ROUND(Z25,0))),ROUND(Z25,0)+10-VALUE(RIGHT(ROUND(Z25,0)))),0)</f>
        <v>8610</v>
      </c>
      <c r="AB25" s="56">
        <f>R25*Q11</f>
        <v>5000000</v>
      </c>
      <c r="AC25" s="56">
        <f t="shared" ref="AC25:AC56" si="3">IF(AJ25&lt;&gt;0,IF(VALUE(RIGHT(ROUND(AJ25,0)))&lt;=5,ROUND(AJ25,0)-VALUE(RIGHT(ROUND(AJ25,0))),ROUND(AJ25,0)+10-VALUE(RIGHT(ROUND(AJ25,0)))),0)</f>
        <v>0</v>
      </c>
      <c r="AD25" s="56">
        <f t="shared" ref="AD25:AD56" si="4">IF(AK25&lt;&gt;0,IF(VALUE(RIGHT(ROUND(AK25,0)))&lt;=5,ROUND(AK25,0)-VALUE(RIGHT(ROUND(AK25,0))),ROUND(AK25,0)+10-VALUE(RIGHT(ROUND(AK25,0)))),0)</f>
        <v>0</v>
      </c>
      <c r="AE25" s="56">
        <f>AI25*Q11*G12/36000</f>
        <v>0</v>
      </c>
      <c r="AF25" s="56">
        <f>IF(AE25&lt;&gt;0,IF(VALUE(RIGHT(ROUND(AE25,0)))&lt;=5,ROUND(AE25,0)-VALUE(RIGHT(ROUND(AE25,0))),ROUND(AE25,0)+10-VALUE(RIGHT(ROUND(AE25,0)))),0)</f>
        <v>0</v>
      </c>
      <c r="AG25" s="56">
        <f>Y25*Q11*G12/36000</f>
        <v>0</v>
      </c>
      <c r="AH25" s="56">
        <f>IF(AG25&lt;&gt;0,IF(VALUE(RIGHT(ROUND(AG25,0)))&lt;=5,ROUND(AG25,0)-VALUE(RIGHT(ROUND(AG25,0))),ROUND(AG25,0)+10-VALUE(RIGHT(ROUND(AG25,0)))),0)</f>
        <v>0</v>
      </c>
      <c r="AI25" s="56">
        <f t="shared" ref="AI25:AI56" si="5">R25</f>
        <v>1000000</v>
      </c>
      <c r="AJ25" s="56">
        <f>AI25*Q11*G12/36000</f>
        <v>0</v>
      </c>
      <c r="AK25" s="56">
        <f>AI25*Q11*G12/36000</f>
        <v>0</v>
      </c>
      <c r="AL25" s="57">
        <f>IF(N25=0,0,MONTH(D16)+1)</f>
        <v>2</v>
      </c>
      <c r="AM25" s="57">
        <f t="shared" ref="AM25:AM56" si="6">IF(AL25=13,1,AL25)</f>
        <v>2</v>
      </c>
      <c r="AN25" s="51">
        <f>IF(N25=0,0,YEAR(D16))</f>
        <v>2013</v>
      </c>
      <c r="AO25" s="51">
        <f t="shared" ref="AO25:AO56" si="7">IF(AM25=1,AN25+1,AN25)</f>
        <v>2013</v>
      </c>
      <c r="AP25" s="51">
        <f t="shared" ref="AP25:AP56" si="8">IF((AN25/2012)=1,1,IF((AN25/2016)=1,1,IF((AN25/2020)=1,1,IF((AN25/2024)=1,1,IF((AN25/2028)=1,1,IF((AN25/2032)=1,1,0))))))</f>
        <v>0</v>
      </c>
      <c r="AQ25" s="51">
        <f t="shared" ref="AQ25:AQ56" si="9">IF(AM25=2,IF(AP25=1,29,28),30)</f>
        <v>28</v>
      </c>
      <c r="AR25" s="51">
        <f t="shared" ref="AR25:AR56" si="10">IF(C$24=30,AQ25,20)</f>
        <v>20</v>
      </c>
      <c r="AS25" s="51"/>
      <c r="AT25" s="52"/>
      <c r="AU25" s="52">
        <f>IF(N25=0,0,IF(F10="USD",ROUND(D10/(M14-12),2),IF(F10="бел. рублей",ROUND(D10/(M14-12),0)," ")))</f>
        <v>20408</v>
      </c>
      <c r="AV25" s="64" t="str">
        <f>RIGHT(AU25)</f>
        <v>8</v>
      </c>
      <c r="AW25" s="52">
        <f>VALUE(AV25)</f>
        <v>8</v>
      </c>
      <c r="AX25" s="52">
        <f>10-AW25</f>
        <v>2</v>
      </c>
      <c r="AY25" s="51">
        <f>IF(D$15=0,0,IF(N25=1,1,0))</f>
        <v>1</v>
      </c>
      <c r="AZ25" s="52"/>
      <c r="BA25" s="52"/>
      <c r="BB25" s="52"/>
      <c r="BC25" s="52"/>
      <c r="BD25" s="52"/>
      <c r="BE25" s="52"/>
      <c r="BF25" s="52"/>
      <c r="BG25" s="52"/>
      <c r="BH25" s="52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1">A25+1</f>
        <v>2</v>
      </c>
      <c r="B26" s="268">
        <f t="shared" ref="B26:B57" si="12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41353</v>
      </c>
      <c r="C26" s="401"/>
      <c r="D26" s="443">
        <v>0</v>
      </c>
      <c r="E26" s="443"/>
      <c r="F26" s="84">
        <f>IF(N26=0,IF(N25=1,F25," "),IF(M1=1,P26,IF(M1=2,Q26," ")))</f>
        <v>51670</v>
      </c>
      <c r="G26" s="84">
        <f>IF(N26=0,IF(N25=1,G25," "),IF(M1=1,AC26,IF(M1=2,AD26," ")))</f>
        <v>0</v>
      </c>
      <c r="H26" s="84">
        <f t="shared" ref="H26:H57" si="13">IF(SUM(D26:G26)=0," ",SUM(D26:G26))</f>
        <v>51670</v>
      </c>
      <c r="I26" s="84">
        <v>0</v>
      </c>
      <c r="J26" s="84">
        <f t="shared" ref="J26:J85" si="14">IF(M26&lt;=D$15,X26,IF(M$1=1,P26,IF(M$1=2,Q26," ")))</f>
        <v>51670</v>
      </c>
      <c r="K26" s="84">
        <f t="shared" ref="K26:K85" si="15">IF(M26&lt;=D$15,AF26,IF(M$1=1,AC26,IF(M$1=2,AD26," ")))</f>
        <v>0</v>
      </c>
      <c r="L26" s="84">
        <f>IF(SUM(I26:K26)=0," ",SUM(I26:K26))</f>
        <v>51670</v>
      </c>
      <c r="M26" s="51">
        <f t="shared" ref="M26:M48" si="16">M25+1</f>
        <v>2</v>
      </c>
      <c r="N26" s="51">
        <f>IF(M1=1,IF(M14&gt;1,1,0),IF(M1=2,IF(M14&gt;1,1,0),0))</f>
        <v>1</v>
      </c>
      <c r="O26" s="51">
        <f t="shared" si="0"/>
        <v>20</v>
      </c>
      <c r="P26" s="56">
        <f t="shared" si="1"/>
        <v>51670</v>
      </c>
      <c r="Q26" s="56">
        <f t="shared" si="2"/>
        <v>51670</v>
      </c>
      <c r="R26" s="56">
        <f t="shared" ref="R26:R57" si="17">IF(N26=0,0,R25-D25)</f>
        <v>1000000</v>
      </c>
      <c r="S26" s="56">
        <f>IF(M26&lt;=D$15,D$10/(D$14-M25),D26)</f>
        <v>16949.152542372882</v>
      </c>
      <c r="T26" s="56">
        <f>IF(S26&lt;&gt;0,IF(VALUE(RIGHT(ROUND(S26,0)))&lt;=5,ROUND(S26,0)-VALUE(RIGHT(ROUND(S26,0))),ROUND(S26,0)+10-VALUE(RIGHT(ROUND(S26,0)))),0)</f>
        <v>16950</v>
      </c>
      <c r="U26" s="56">
        <f>IF(N27=1,R25*D11*20/36000+R26*D11*10/36000,IF(N27=0,IF(N26=0,0,R26*D11*Q12/36000+R25*D11*20/36000+R26*D11*10/36000)))</f>
        <v>51666.666666666672</v>
      </c>
      <c r="V26" s="56">
        <f>IF(N27=1,R25*D11*20/36000+R26*D11*10/36000,IF(N27=0,IF(N26=0,0,R26*D11*Q12/36000+R25*D11*20/36000+R26*D11*10/36000)))</f>
        <v>51666.666666666672</v>
      </c>
      <c r="W26" s="56">
        <f>IF(N27=1,$D$10*$D$11*20/36000+$D$10*$D$11*10/36000,IF(N27=0,IF(N26=0,0,$D$10*$D$11*$Q$12/36000+$D$10*$D$11*20/36000+$D$10*$D$11*10/36000)))</f>
        <v>51666.666666666672</v>
      </c>
      <c r="X26" s="56">
        <f>IF(W26&lt;&gt;0,IF(VALUE(RIGHT(ROUND(W26,0)))&lt;=5,ROUND(W26,0)-VALUE(RIGHT(ROUND(W26,0))),ROUND(W26,0)+10-VALUE(RIGHT(ROUND(W26,0)))),0)</f>
        <v>51670</v>
      </c>
      <c r="Y26" s="56">
        <f t="shared" ref="Y26:Y85" si="18">IF(M26&lt;=(D$15+1),D$10,Y25-I25)</f>
        <v>1000000</v>
      </c>
      <c r="Z26" s="56">
        <f>IF(N27=1,Y25*D$11*20/36000+Y26*D$11*10/36000,IF(N27=0,IF(N26=0,0,Y26*D$11*Q$12/36000+Y25*D$11*20/36000+Y26*D$11*10/36000)))</f>
        <v>51666.666666666672</v>
      </c>
      <c r="AA26" s="56">
        <f t="shared" ref="AA26:AA85" si="19">IF(Z26&lt;&gt;0,IF(VALUE(RIGHT(ROUND(Z26,0)))&lt;=5,ROUND(Z26,0)-VALUE(RIGHT(ROUND(Z26,0))),ROUND(Z26,0)+10-VALUE(RIGHT(ROUND(Z26,0)))),0)</f>
        <v>51670</v>
      </c>
      <c r="AB26" s="56">
        <f>IF(R27=0,R26*Q12,(R25*20+R26*10))</f>
        <v>30000000</v>
      </c>
      <c r="AC26" s="56">
        <f t="shared" si="3"/>
        <v>0</v>
      </c>
      <c r="AD26" s="56">
        <f t="shared" si="4"/>
        <v>0</v>
      </c>
      <c r="AE26" s="56">
        <f>IF(N27=1,D$10*G$12*20/36000+D$10*G$12*10/36000,IF(N27=0,IF(N26=0,0,D$10*G$12*Q$12/36000+D$10*G$12*20/36000+D$10*G$12*10/36000)))</f>
        <v>0</v>
      </c>
      <c r="AF26" s="56">
        <f t="shared" ref="AF26:AF85" si="20">IF(AE26&lt;&gt;0,IF(VALUE(RIGHT(ROUND(AE26,0)))&lt;=5,ROUND(AE26,0)-VALUE(RIGHT(ROUND(AE26,0))),ROUND(AE26,0)+10-VALUE(RIGHT(ROUND(AE26,0)))),0)</f>
        <v>0</v>
      </c>
      <c r="AG26" s="56">
        <f>IF(N27=1,Y25*G$12*20/36000+Y26*G$12*10/36000,IF(N27=0,IF(N26=0,0,Y26*G$12*Q$12/36000+Y25*G$12*20/36000+Y26*G$12*10/36000)))</f>
        <v>0</v>
      </c>
      <c r="AH26" s="56">
        <f t="shared" ref="AH26:AH85" si="21">IF(AG26&lt;&gt;0,IF(VALUE(RIGHT(ROUND(AG26,0)))&lt;=5,ROUND(AG26,0)-VALUE(RIGHT(ROUND(AG26,0))),ROUND(AG26,0)+10-VALUE(RIGHT(ROUND(AG26,0)))),0)</f>
        <v>0</v>
      </c>
      <c r="AI26" s="56">
        <f t="shared" si="5"/>
        <v>1000000</v>
      </c>
      <c r="AJ26" s="56">
        <f>IF(N27=1,AI25*G12*20/36000+AI26*G12*10/36000,IF(N27=0,IF(N26=0,0,AI26*G12*Q12/36000+AI25*G12*20/36000+AI26*G12*10/36000)))</f>
        <v>0</v>
      </c>
      <c r="AK26" s="56">
        <f>IF(N27=1,AI25*G12*20/36000+AI26*G12*10/36000,IF(N27=0,IF(N26=0,0,AI26*G12*Q12/36000+AI25*G12*20/36000+AI26*G12*10/36000)))</f>
        <v>0</v>
      </c>
      <c r="AL26" s="57">
        <f t="shared" ref="AL26:AL57" si="22">IF(N26=0,0,MONTH(B25)+1)</f>
        <v>3</v>
      </c>
      <c r="AM26" s="57">
        <f t="shared" si="6"/>
        <v>3</v>
      </c>
      <c r="AN26" s="51">
        <f t="shared" ref="AN26:AN57" si="23">IF(N26=0,0,YEAR(B25))</f>
        <v>2013</v>
      </c>
      <c r="AO26" s="51">
        <f t="shared" si="7"/>
        <v>2013</v>
      </c>
      <c r="AP26" s="51">
        <f t="shared" si="8"/>
        <v>0</v>
      </c>
      <c r="AQ26" s="51">
        <f t="shared" si="9"/>
        <v>30</v>
      </c>
      <c r="AR26" s="51">
        <f t="shared" si="10"/>
        <v>20</v>
      </c>
      <c r="AS26" s="51">
        <f t="shared" ref="AS26:AS57" si="24">AQ25</f>
        <v>28</v>
      </c>
      <c r="AT26" s="52"/>
      <c r="AU26" s="51">
        <f>ROUNDUP(D$10/(A$14-D$15),0)</f>
        <v>20409</v>
      </c>
      <c r="AV26" s="56">
        <f>IF(AU26&lt;&gt;0,IF(VALUE(RIGHT(ROUND(AU26,0)))&lt;=5,ROUND(AU26,0)-VALUE(RIGHT(ROUND(AU26,0))),ROUND(AU26,0)+10-VALUE(RIGHT(ROUND(AU26,0)))),0)</f>
        <v>20410</v>
      </c>
      <c r="AW26" s="52"/>
      <c r="AX26" s="52"/>
      <c r="AY26" s="51">
        <f t="shared" ref="AY26:AY85" si="25">IF(D$15=0,0,IF(N26=1,1,0))</f>
        <v>1</v>
      </c>
      <c r="AZ26" s="52"/>
      <c r="BA26" s="52"/>
      <c r="BB26" s="52"/>
      <c r="BC26" s="52"/>
      <c r="BD26" s="52"/>
      <c r="BE26" s="52"/>
      <c r="BF26" s="52"/>
      <c r="BG26" s="52"/>
      <c r="BH26" s="52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1"/>
        <v>3</v>
      </c>
      <c r="B27" s="268">
        <f t="shared" si="12"/>
        <v>41384</v>
      </c>
      <c r="C27" s="401"/>
      <c r="D27" s="443">
        <v>0</v>
      </c>
      <c r="E27" s="443"/>
      <c r="F27" s="84">
        <f>IF(N27=0,IF(N26=1,F25+F26," "),IF(M1=1,P27,IF(M1=2,Q27," ")))</f>
        <v>51670</v>
      </c>
      <c r="G27" s="84">
        <f>IF(N27=0,IF(N26=1,G25+G26," "),IF(M1=1,AC27,IF(M1=2,AD27," ")))</f>
        <v>0</v>
      </c>
      <c r="H27" s="84">
        <f t="shared" si="13"/>
        <v>51670</v>
      </c>
      <c r="I27" s="84">
        <v>0</v>
      </c>
      <c r="J27" s="84">
        <f t="shared" si="14"/>
        <v>51670</v>
      </c>
      <c r="K27" s="84">
        <f t="shared" si="15"/>
        <v>0</v>
      </c>
      <c r="L27" s="84">
        <f t="shared" ref="L27:L85" si="26">IF(SUM(I27:K27)=0," ",SUM(I27:K27))</f>
        <v>51670</v>
      </c>
      <c r="M27" s="51">
        <f t="shared" si="16"/>
        <v>3</v>
      </c>
      <c r="N27" s="51">
        <f>IF(M1=1,IF(M14&gt;2,1,0),IF(M1=2,IF(M14&gt;2,1,0),0))</f>
        <v>1</v>
      </c>
      <c r="O27" s="51">
        <f t="shared" si="0"/>
        <v>20</v>
      </c>
      <c r="P27" s="56">
        <f t="shared" si="1"/>
        <v>51670</v>
      </c>
      <c r="Q27" s="56">
        <f t="shared" si="2"/>
        <v>51670</v>
      </c>
      <c r="R27" s="56">
        <f t="shared" si="17"/>
        <v>1000000</v>
      </c>
      <c r="S27" s="56">
        <f t="shared" ref="S27:S85" si="27">IF(M27&lt;=D$15,D$10/(D$14-M26),D27)</f>
        <v>17241.379310344826</v>
      </c>
      <c r="T27" s="56">
        <f t="shared" ref="T27:T85" si="28">IF(S27&lt;&gt;0,IF(VALUE(RIGHT(ROUND(S27,0)))&lt;=5,ROUND(S27,0)-VALUE(RIGHT(ROUND(S27,0))),ROUND(S27,0)+10-VALUE(RIGHT(ROUND(S27,0)))),0)</f>
        <v>17240</v>
      </c>
      <c r="U27" s="56">
        <f>IF(N28=1,R26*D11*20/36000+R27*D11*10/36000,IF(N28=0,IF(N27=0,0,R27*D11*Q12/36000+R26*D11*20/36000+R27*D11*10/36000)))</f>
        <v>51666.666666666672</v>
      </c>
      <c r="V27" s="56">
        <f>IF(N28=1,R26*D11*20/36000+R27*D11*10/36000,IF(N28=0,IF(N27=0,0,R27*D11*Q12/36000+R26*D11*20/36000+R27*D11*10/36000)))</f>
        <v>51666.666666666672</v>
      </c>
      <c r="W27" s="56">
        <f t="shared" ref="W27:W84" si="29">IF(N28=1,$D$10*$D$11*20/36000+$D$10*$D$11*10/36000,IF(N28=0,IF(N27=0,0,$D$10*$D$11*$Q$12/36000+$D$10*$D$11*20/36000+$D$10*$D$11*10/36000)))</f>
        <v>51666.666666666672</v>
      </c>
      <c r="X27" s="56">
        <f t="shared" ref="X27:X85" si="30">IF(W27&lt;&gt;0,IF(VALUE(RIGHT(ROUND(W27,0)))&lt;=5,ROUND(W27,0)-VALUE(RIGHT(ROUND(W27,0))),ROUND(W27,0)+10-VALUE(RIGHT(ROUND(W27,0)))),0)</f>
        <v>51670</v>
      </c>
      <c r="Y27" s="56">
        <f t="shared" si="18"/>
        <v>1000000</v>
      </c>
      <c r="Z27" s="56">
        <f>IF(N28=1,Y26*D$11*20/36000+Y27*D$11*10/36000,IF(N28=0,IF(N27=0,0,Y27*D$11*Q$12/36000+Y26*D$11*20/36000+Y27*D$11*10/36000)))</f>
        <v>51666.666666666672</v>
      </c>
      <c r="AA27" s="56">
        <f t="shared" si="19"/>
        <v>51670</v>
      </c>
      <c r="AB27" s="56">
        <f>IF(R28=0,R27*Q12,(R26*20+R27*10))</f>
        <v>30000000</v>
      </c>
      <c r="AC27" s="56">
        <f t="shared" si="3"/>
        <v>0</v>
      </c>
      <c r="AD27" s="56">
        <f t="shared" si="4"/>
        <v>0</v>
      </c>
      <c r="AE27" s="56">
        <f>IF(N28=1,D$10*G$12*20/36000+D$10*G$12*10/36000,IF(N28=0,IF(N27=0,0,D$10*G$12*Q$12/36000+D$10*G$12*20/36000+D$10*G$12*10/36000)))</f>
        <v>0</v>
      </c>
      <c r="AF27" s="56">
        <f t="shared" si="20"/>
        <v>0</v>
      </c>
      <c r="AG27" s="56">
        <f t="shared" ref="AG27:AG84" si="31">IF(N28=1,Y26*G$12*20/36000+Y27*G$12*10/36000,IF(N28=0,IF(N27=0,0,Y27*G$12*Q$12/36000+Y26*G$12*20/36000+Y27*G$12*10/36000)))</f>
        <v>0</v>
      </c>
      <c r="AH27" s="56">
        <f t="shared" si="21"/>
        <v>0</v>
      </c>
      <c r="AI27" s="56">
        <f t="shared" si="5"/>
        <v>1000000</v>
      </c>
      <c r="AJ27" s="56">
        <f>IF(N28=1,AI26*G12*20/36000+AI27*G12*10/36000,IF(N28=0,IF(N27=0,0,AI27*G12*Q12/36000+AI26*G12*20/36000+AI27*G12*10/36000)))</f>
        <v>0</v>
      </c>
      <c r="AK27" s="56">
        <f>IF(N28=1,AI26*G12*20/36000+AI27*G12*10/36000,IF(N28=0,IF(N27=0,0,AI27*G12*Q12/36000+AI26*G12*20/36000+AI27*G12*10/36000)))</f>
        <v>0</v>
      </c>
      <c r="AL27" s="57">
        <f t="shared" si="22"/>
        <v>4</v>
      </c>
      <c r="AM27" s="57">
        <f t="shared" si="6"/>
        <v>4</v>
      </c>
      <c r="AN27" s="51">
        <f t="shared" si="23"/>
        <v>2013</v>
      </c>
      <c r="AO27" s="51">
        <f t="shared" si="7"/>
        <v>2013</v>
      </c>
      <c r="AP27" s="51">
        <f t="shared" si="8"/>
        <v>0</v>
      </c>
      <c r="AQ27" s="51">
        <f t="shared" si="9"/>
        <v>30</v>
      </c>
      <c r="AR27" s="51">
        <f t="shared" si="10"/>
        <v>20</v>
      </c>
      <c r="AS27" s="51">
        <f t="shared" si="24"/>
        <v>30</v>
      </c>
      <c r="AT27" s="52"/>
      <c r="AU27" s="52"/>
      <c r="AV27" s="52"/>
      <c r="AW27" s="52"/>
      <c r="AX27" s="52"/>
      <c r="AY27" s="51">
        <f t="shared" si="25"/>
        <v>1</v>
      </c>
      <c r="AZ27" s="52"/>
      <c r="BA27" s="52"/>
      <c r="BB27" s="52"/>
      <c r="BC27" s="52"/>
      <c r="BD27" s="52"/>
      <c r="BE27" s="52"/>
      <c r="BF27" s="52"/>
      <c r="BG27" s="52"/>
      <c r="BH27" s="52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1"/>
        <v>4</v>
      </c>
      <c r="B28" s="268">
        <f t="shared" si="12"/>
        <v>41414</v>
      </c>
      <c r="C28" s="401"/>
      <c r="D28" s="443">
        <v>0</v>
      </c>
      <c r="E28" s="443"/>
      <c r="F28" s="84">
        <f>IF(N28=0,IF(N27=1,F25+F26+F27," "),IF(M1=1,P28,IF(M1=2,Q28," ")))</f>
        <v>51670</v>
      </c>
      <c r="G28" s="84">
        <f>IF(N28=0,IF(N27=1,G25+G26+G27," "),IF(M1=1,AC28,IF(M1=2,AD28," ")))</f>
        <v>0</v>
      </c>
      <c r="H28" s="84">
        <f t="shared" si="13"/>
        <v>51670</v>
      </c>
      <c r="I28" s="84">
        <v>0</v>
      </c>
      <c r="J28" s="84">
        <f t="shared" si="14"/>
        <v>51670</v>
      </c>
      <c r="K28" s="84">
        <f t="shared" si="15"/>
        <v>0</v>
      </c>
      <c r="L28" s="84">
        <f t="shared" si="26"/>
        <v>51670</v>
      </c>
      <c r="M28" s="51">
        <f t="shared" si="16"/>
        <v>4</v>
      </c>
      <c r="N28" s="51">
        <f>IF(M1=1,IF(M14&gt;3,1,0),IF(M1=2,IF(M14&gt;3,1,0),0))</f>
        <v>1</v>
      </c>
      <c r="O28" s="51">
        <f t="shared" si="0"/>
        <v>20</v>
      </c>
      <c r="P28" s="56">
        <f t="shared" si="1"/>
        <v>51670</v>
      </c>
      <c r="Q28" s="56">
        <f t="shared" si="2"/>
        <v>51670</v>
      </c>
      <c r="R28" s="56">
        <f t="shared" si="17"/>
        <v>1000000</v>
      </c>
      <c r="S28" s="56">
        <f t="shared" si="27"/>
        <v>17543.859649122805</v>
      </c>
      <c r="T28" s="56">
        <f t="shared" si="28"/>
        <v>17540</v>
      </c>
      <c r="U28" s="56">
        <f>IF(N29=1,R27*D11*20/36000+R28*D11*10/36000,IF(N29=0,IF(N28=0,0,R28*D11*Q12/36000+R27*D11*20/36000+R28*D11*10/36000)))</f>
        <v>51666.666666666672</v>
      </c>
      <c r="V28" s="56">
        <f>IF(N29=1,R27*D11*20/36000+R28*D11*10/36000,IF(N29=0,IF(N28=0,0,R28*D11*Q12/36000+R27*D11*20/36000+R28*D11*10/36000)))</f>
        <v>51666.666666666672</v>
      </c>
      <c r="W28" s="56">
        <f t="shared" si="29"/>
        <v>51666.666666666672</v>
      </c>
      <c r="X28" s="56">
        <f t="shared" si="30"/>
        <v>51670</v>
      </c>
      <c r="Y28" s="56">
        <f t="shared" si="18"/>
        <v>1000000</v>
      </c>
      <c r="Z28" s="56">
        <f>IF(N29=1,Y27*D$11*20/36000+Y28*D$11*10/36000,IF(N29=0,IF(N28=0,0,Y28*D$11*Q$12/36000+Y27*D$11*20/36000+Y28*D$11*10/36000)))</f>
        <v>51666.666666666672</v>
      </c>
      <c r="AA28" s="56">
        <f t="shared" si="19"/>
        <v>51670</v>
      </c>
      <c r="AB28" s="56">
        <f>IF(R29=0,R28*Q12,(R27*20+R28*10))</f>
        <v>30000000</v>
      </c>
      <c r="AC28" s="56">
        <f t="shared" si="3"/>
        <v>0</v>
      </c>
      <c r="AD28" s="56">
        <f t="shared" si="4"/>
        <v>0</v>
      </c>
      <c r="AE28" s="56">
        <f t="shared" ref="AE28:AE84" si="32">IF(N29=1,D$10*G$12*20/36000+D$10*G$12*10/36000,IF(N29=0,IF(N28=0,0,D$10*G$12*Q$12/36000+D$10*G$12*20/36000+D$10*G$12*10/36000)))</f>
        <v>0</v>
      </c>
      <c r="AF28" s="56">
        <f t="shared" si="20"/>
        <v>0</v>
      </c>
      <c r="AG28" s="56">
        <f t="shared" si="31"/>
        <v>0</v>
      </c>
      <c r="AH28" s="56">
        <f t="shared" si="21"/>
        <v>0</v>
      </c>
      <c r="AI28" s="56">
        <f t="shared" si="5"/>
        <v>1000000</v>
      </c>
      <c r="AJ28" s="56">
        <f>IF(N29=1,AI27*G12*20/36000+AI28*G12*10/36000,IF(N29=0,IF(N28=0,0,AI28*G12*Q12/36000+AI27*G12*20/36000+AI28*G12*10/36000)))</f>
        <v>0</v>
      </c>
      <c r="AK28" s="56">
        <f>IF(N29=1,AI27*G12*20/36000+AI28*G12*10/36000,IF(N29=0,IF(N28=0,0,AI28*G12*Q12/36000+AI27*G12*20/36000+AI28*G12*10/36000)))</f>
        <v>0</v>
      </c>
      <c r="AL28" s="57">
        <f t="shared" si="22"/>
        <v>5</v>
      </c>
      <c r="AM28" s="57">
        <f t="shared" si="6"/>
        <v>5</v>
      </c>
      <c r="AN28" s="51">
        <f t="shared" si="23"/>
        <v>2013</v>
      </c>
      <c r="AO28" s="51">
        <f t="shared" si="7"/>
        <v>2013</v>
      </c>
      <c r="AP28" s="51">
        <f t="shared" si="8"/>
        <v>0</v>
      </c>
      <c r="AQ28" s="51">
        <f t="shared" si="9"/>
        <v>30</v>
      </c>
      <c r="AR28" s="51">
        <f t="shared" si="10"/>
        <v>20</v>
      </c>
      <c r="AS28" s="51">
        <f t="shared" si="24"/>
        <v>30</v>
      </c>
      <c r="AT28" s="52"/>
      <c r="AU28" s="52"/>
      <c r="AV28" s="52"/>
      <c r="AW28" s="52"/>
      <c r="AX28" s="52"/>
      <c r="AY28" s="51">
        <f t="shared" si="25"/>
        <v>1</v>
      </c>
      <c r="AZ28" s="52"/>
      <c r="BA28" s="52"/>
      <c r="BB28" s="52"/>
      <c r="BC28" s="52"/>
      <c r="BD28" s="52"/>
      <c r="BE28" s="52"/>
      <c r="BF28" s="52"/>
      <c r="BG28" s="52"/>
      <c r="BH28" s="52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1"/>
        <v>5</v>
      </c>
      <c r="B29" s="268">
        <f t="shared" si="12"/>
        <v>41445</v>
      </c>
      <c r="C29" s="401"/>
      <c r="D29" s="443">
        <v>0</v>
      </c>
      <c r="E29" s="443"/>
      <c r="F29" s="84">
        <f>IF(N29=0,IF(N28=1,F25+F26+F27+F28," "),IF(M1=1,P29,IF(M1=2,Q29," ")))</f>
        <v>51670</v>
      </c>
      <c r="G29" s="84">
        <f>IF(N29=0,IF(N28=1,G25+G26+G27+G28," "),IF(M1=1,AC29,IF(M1=2,AD29," ")))</f>
        <v>0</v>
      </c>
      <c r="H29" s="84">
        <f t="shared" si="13"/>
        <v>51670</v>
      </c>
      <c r="I29" s="84">
        <v>0</v>
      </c>
      <c r="J29" s="84">
        <f t="shared" si="14"/>
        <v>51670</v>
      </c>
      <c r="K29" s="84">
        <f t="shared" si="15"/>
        <v>0</v>
      </c>
      <c r="L29" s="84">
        <f t="shared" si="26"/>
        <v>51670</v>
      </c>
      <c r="M29" s="51">
        <f t="shared" si="16"/>
        <v>5</v>
      </c>
      <c r="N29" s="51">
        <f>IF(M1=1,IF(M14&gt;4,1,0),IF(M1=2,IF(M14&gt;4,1,0),0))</f>
        <v>1</v>
      </c>
      <c r="O29" s="51">
        <f t="shared" si="0"/>
        <v>20</v>
      </c>
      <c r="P29" s="56">
        <f t="shared" si="1"/>
        <v>51670</v>
      </c>
      <c r="Q29" s="56">
        <f t="shared" si="2"/>
        <v>51670</v>
      </c>
      <c r="R29" s="56">
        <f t="shared" si="17"/>
        <v>1000000</v>
      </c>
      <c r="S29" s="56">
        <f t="shared" si="27"/>
        <v>17857.142857142859</v>
      </c>
      <c r="T29" s="56">
        <f t="shared" si="28"/>
        <v>17860</v>
      </c>
      <c r="U29" s="56">
        <f>IF(N30=1,R28*D11*20/36000+R29*D11*10/36000,IF(N30=0,IF(N29=0,0,R29*D11*Q12/36000+R28*D11*20/36000+R29*D11*10/36000)))</f>
        <v>51666.666666666672</v>
      </c>
      <c r="V29" s="56">
        <f>IF(N30=1,R28*D11*20/36000+R29*D11*10/36000,IF(N30=0,IF(N29=0,0,R29*D11*Q12/36000+R28*D11*20/36000+R29*D11*10/36000)))</f>
        <v>51666.666666666672</v>
      </c>
      <c r="W29" s="56">
        <f t="shared" si="29"/>
        <v>51666.666666666672</v>
      </c>
      <c r="X29" s="56">
        <f t="shared" si="30"/>
        <v>51670</v>
      </c>
      <c r="Y29" s="56">
        <f t="shared" si="18"/>
        <v>1000000</v>
      </c>
      <c r="Z29" s="56">
        <f>IF(N30=1,Y28*D$11*20/36000+Y29*D$11*10/36000,IF(N30=0,IF(N29=0,0,Y29*D$11*Q$12/36000+Y28*D$11*20/36000+Y29*D$11*10/36000)))</f>
        <v>51666.666666666672</v>
      </c>
      <c r="AA29" s="56">
        <f t="shared" si="19"/>
        <v>51670</v>
      </c>
      <c r="AB29" s="56">
        <f>IF(R30=0,R29*Q12,(R28*20+R29*10))</f>
        <v>30000000</v>
      </c>
      <c r="AC29" s="56">
        <f t="shared" si="3"/>
        <v>0</v>
      </c>
      <c r="AD29" s="56">
        <f t="shared" si="4"/>
        <v>0</v>
      </c>
      <c r="AE29" s="56">
        <f t="shared" si="32"/>
        <v>0</v>
      </c>
      <c r="AF29" s="56">
        <f t="shared" si="20"/>
        <v>0</v>
      </c>
      <c r="AG29" s="56">
        <f t="shared" si="31"/>
        <v>0</v>
      </c>
      <c r="AH29" s="56">
        <f t="shared" si="21"/>
        <v>0</v>
      </c>
      <c r="AI29" s="56">
        <f t="shared" si="5"/>
        <v>1000000</v>
      </c>
      <c r="AJ29" s="56">
        <f>IF(N30=1,AI28*G12*20/36000+AI29*G12*10/36000,IF(N30=0,IF(N29=0,0,AI29*G12*Q12/36000+AI28*G12*20/36000+AI29*G12*10/36000)))</f>
        <v>0</v>
      </c>
      <c r="AK29" s="56">
        <f>IF(N30=1,AI28*G12*20/36000+AI29*G12*10/36000,IF(N30=0,IF(N29=0,0,AI29*G12*Q12/36000+AI28*G12*20/36000+AI29*G12*10/36000)))</f>
        <v>0</v>
      </c>
      <c r="AL29" s="57">
        <f t="shared" si="22"/>
        <v>6</v>
      </c>
      <c r="AM29" s="57">
        <f t="shared" si="6"/>
        <v>6</v>
      </c>
      <c r="AN29" s="51">
        <f t="shared" si="23"/>
        <v>2013</v>
      </c>
      <c r="AO29" s="51">
        <f t="shared" si="7"/>
        <v>2013</v>
      </c>
      <c r="AP29" s="51">
        <f t="shared" si="8"/>
        <v>0</v>
      </c>
      <c r="AQ29" s="51">
        <f t="shared" si="9"/>
        <v>30</v>
      </c>
      <c r="AR29" s="51">
        <f t="shared" si="10"/>
        <v>20</v>
      </c>
      <c r="AS29" s="51">
        <f t="shared" si="24"/>
        <v>30</v>
      </c>
      <c r="AT29" s="52"/>
      <c r="AU29" s="52"/>
      <c r="AV29" s="52"/>
      <c r="AW29" s="52"/>
      <c r="AX29" s="52"/>
      <c r="AY29" s="51">
        <f t="shared" si="25"/>
        <v>1</v>
      </c>
      <c r="AZ29" s="52"/>
      <c r="BA29" s="52"/>
      <c r="BB29" s="52"/>
      <c r="BC29" s="52"/>
      <c r="BD29" s="52"/>
      <c r="BE29" s="52"/>
      <c r="BF29" s="52"/>
      <c r="BG29" s="52"/>
      <c r="BH29" s="52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1"/>
        <v>6</v>
      </c>
      <c r="B30" s="268">
        <f t="shared" si="12"/>
        <v>41475</v>
      </c>
      <c r="C30" s="401"/>
      <c r="D30" s="443">
        <v>0</v>
      </c>
      <c r="E30" s="443"/>
      <c r="F30" s="84">
        <f>IF(N30=0,IF(N29=1,F25+F26+F27+F28+F29," "),IF(M1=1,P30,IF(M1=2,Q30," ")))</f>
        <v>51670</v>
      </c>
      <c r="G30" s="84">
        <f>IF(N30=0,IF(N29=1,G25+G26+G27+G28+G29," "),IF(M1=1,AC30,IF(M1=2,AD30," ")))</f>
        <v>0</v>
      </c>
      <c r="H30" s="84">
        <f t="shared" si="13"/>
        <v>51670</v>
      </c>
      <c r="I30" s="84">
        <v>0</v>
      </c>
      <c r="J30" s="84">
        <f t="shared" si="14"/>
        <v>51670</v>
      </c>
      <c r="K30" s="84">
        <f t="shared" si="15"/>
        <v>0</v>
      </c>
      <c r="L30" s="84">
        <f t="shared" si="26"/>
        <v>51670</v>
      </c>
      <c r="M30" s="51">
        <f t="shared" si="16"/>
        <v>6</v>
      </c>
      <c r="N30" s="51">
        <f>IF(M1=1,IF(M14&gt;5,1,0),IF(M1=2,IF(M14&gt;5,1,0),0))</f>
        <v>1</v>
      </c>
      <c r="O30" s="51">
        <f t="shared" si="0"/>
        <v>20</v>
      </c>
      <c r="P30" s="56">
        <f t="shared" si="1"/>
        <v>51670</v>
      </c>
      <c r="Q30" s="56">
        <f t="shared" si="2"/>
        <v>51670</v>
      </c>
      <c r="R30" s="56">
        <f t="shared" si="17"/>
        <v>1000000</v>
      </c>
      <c r="S30" s="56">
        <f t="shared" si="27"/>
        <v>18181.81818181818</v>
      </c>
      <c r="T30" s="56">
        <f t="shared" si="28"/>
        <v>18180</v>
      </c>
      <c r="U30" s="56">
        <f>IF(N31=1,R29*D11*20/36000+R30*D11*10/36000,IF(N31=0,IF(N30=0,0,R30*D11*Q12/36000+R29*D11*20/36000+R30*D11*10/36000)))</f>
        <v>51666.666666666672</v>
      </c>
      <c r="V30" s="56">
        <f>IF(N31=1,R29*D11*20/36000+R30*D11*10/36000,IF(N31=0,IF(N30=0,0,R30*D11*Q12/36000+R29*D11*20/36000+R30*D11*10/36000)))</f>
        <v>51666.666666666672</v>
      </c>
      <c r="W30" s="56">
        <f t="shared" si="29"/>
        <v>51666.666666666672</v>
      </c>
      <c r="X30" s="56">
        <f t="shared" si="30"/>
        <v>51670</v>
      </c>
      <c r="Y30" s="56">
        <f t="shared" si="18"/>
        <v>1000000</v>
      </c>
      <c r="Z30" s="56">
        <f>IF(N31=1,Y29*D$11*20/36000+Y30*D$11*10/36000,IF(N31=0,IF(N30=0,0,Y30*D$11*Q$12/36000+Y29*D$11*20/36000+Y30*D$11*10/36000)))</f>
        <v>51666.666666666672</v>
      </c>
      <c r="AA30" s="56">
        <f t="shared" si="19"/>
        <v>51670</v>
      </c>
      <c r="AB30" s="56">
        <f>IF(R31=0,R30*Q12,(R29*20+R30*10))</f>
        <v>30000000</v>
      </c>
      <c r="AC30" s="56">
        <f t="shared" si="3"/>
        <v>0</v>
      </c>
      <c r="AD30" s="56">
        <f t="shared" si="4"/>
        <v>0</v>
      </c>
      <c r="AE30" s="56">
        <f t="shared" si="32"/>
        <v>0</v>
      </c>
      <c r="AF30" s="56">
        <f t="shared" si="20"/>
        <v>0</v>
      </c>
      <c r="AG30" s="56">
        <f t="shared" si="31"/>
        <v>0</v>
      </c>
      <c r="AH30" s="56">
        <f t="shared" si="21"/>
        <v>0</v>
      </c>
      <c r="AI30" s="56">
        <f t="shared" si="5"/>
        <v>1000000</v>
      </c>
      <c r="AJ30" s="56">
        <f>IF(N31=1,AI29*G12*20/36000+AI30*G12*10/36000,IF(N31=0,IF(N30=0,0,AI30*G12*Q12/36000+AI29*G12*20/36000+AI30*G12*10/36000)))</f>
        <v>0</v>
      </c>
      <c r="AK30" s="56">
        <f>IF(N31=1,AI29*G12*20/36000+AI30*G12*10/36000,IF(N31=0,IF(N30=0,0,AI30*G12*Q12/36000+AI29*G12*20/36000+AI30*G12*10/36000)))</f>
        <v>0</v>
      </c>
      <c r="AL30" s="57">
        <f t="shared" si="22"/>
        <v>7</v>
      </c>
      <c r="AM30" s="57">
        <f t="shared" si="6"/>
        <v>7</v>
      </c>
      <c r="AN30" s="51">
        <f t="shared" si="23"/>
        <v>2013</v>
      </c>
      <c r="AO30" s="51">
        <f t="shared" si="7"/>
        <v>2013</v>
      </c>
      <c r="AP30" s="51">
        <f t="shared" si="8"/>
        <v>0</v>
      </c>
      <c r="AQ30" s="51">
        <f t="shared" si="9"/>
        <v>30</v>
      </c>
      <c r="AR30" s="51">
        <f t="shared" si="10"/>
        <v>20</v>
      </c>
      <c r="AS30" s="51">
        <f t="shared" si="24"/>
        <v>30</v>
      </c>
      <c r="AT30" s="52"/>
      <c r="AU30" s="52"/>
      <c r="AV30" s="52"/>
      <c r="AW30" s="52"/>
      <c r="AX30" s="52"/>
      <c r="AY30" s="51">
        <f t="shared" si="25"/>
        <v>1</v>
      </c>
      <c r="AZ30" s="52"/>
      <c r="BA30" s="52"/>
      <c r="BB30" s="52">
        <v>1</v>
      </c>
      <c r="BC30" s="52"/>
      <c r="BD30" s="52"/>
      <c r="BE30" s="52"/>
      <c r="BF30" s="52"/>
      <c r="BG30" s="52"/>
      <c r="BH30" s="52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1"/>
        <v>7</v>
      </c>
      <c r="B31" s="268">
        <f t="shared" si="12"/>
        <v>41506</v>
      </c>
      <c r="C31" s="401"/>
      <c r="D31" s="443">
        <v>0</v>
      </c>
      <c r="E31" s="443"/>
      <c r="F31" s="84">
        <f>IF(N31=0,IF(N30=1,F25+F26+F27+F28+F29+F30," "),IF(M1=1,P31,IF(M1=2,Q31," ")))</f>
        <v>51670</v>
      </c>
      <c r="G31" s="84">
        <f>IF(N31=0,IF(N30=1,G25+G26+G27+G28+G29+G30," "),IF(M1=1,AC31,IF(M1=2,AD31," ")))</f>
        <v>0</v>
      </c>
      <c r="H31" s="84">
        <f t="shared" si="13"/>
        <v>51670</v>
      </c>
      <c r="I31" s="84">
        <v>0</v>
      </c>
      <c r="J31" s="84">
        <f t="shared" si="14"/>
        <v>51670</v>
      </c>
      <c r="K31" s="84">
        <f t="shared" si="15"/>
        <v>0</v>
      </c>
      <c r="L31" s="84">
        <f t="shared" si="26"/>
        <v>51670</v>
      </c>
      <c r="M31" s="51">
        <f t="shared" si="16"/>
        <v>7</v>
      </c>
      <c r="N31" s="51">
        <f>IF(M1=1,IF(M14&gt;6,1,0),IF(M1=2,IF(M14&gt;6,1,0),0))</f>
        <v>1</v>
      </c>
      <c r="O31" s="51">
        <f t="shared" si="0"/>
        <v>20</v>
      </c>
      <c r="P31" s="56">
        <f t="shared" si="1"/>
        <v>51670</v>
      </c>
      <c r="Q31" s="56">
        <f t="shared" si="2"/>
        <v>51670</v>
      </c>
      <c r="R31" s="56">
        <f t="shared" si="17"/>
        <v>1000000</v>
      </c>
      <c r="S31" s="56">
        <f t="shared" si="27"/>
        <v>18518.518518518518</v>
      </c>
      <c r="T31" s="56">
        <f t="shared" si="28"/>
        <v>18520</v>
      </c>
      <c r="U31" s="56">
        <f>IF(N32=1,R30*D$11*20/36000+R31*D$11*10/36000,IF(N32=0,IF(N31=0,0,IF(D$16&gt;20,R30*D$11*20/36000+R31*D$11*(Q$12-20)/36000,R31*D$11*Q$12/36000))))</f>
        <v>51666.666666666672</v>
      </c>
      <c r="V31" s="56">
        <f>IF(N32=1,R30*D$11*20/36000+R31*D$11*10/36000,IF(N32=0,IF(N31=0,0,IF(D$16&gt;20,R30*D$11*20/36000+R31*D$11*(Q$12-20)/36000,R31*D$11*Q$12/36000))))</f>
        <v>51666.666666666672</v>
      </c>
      <c r="W31" s="56">
        <f t="shared" si="29"/>
        <v>51666.666666666672</v>
      </c>
      <c r="X31" s="56">
        <f t="shared" si="30"/>
        <v>51670</v>
      </c>
      <c r="Y31" s="56">
        <f t="shared" si="18"/>
        <v>1000000</v>
      </c>
      <c r="Z31" s="56">
        <f>IF(N32=1,Y30*D$11*20/36000+Y31*D$11*10/36000,IF(N32=0,IF(N31=0,0,IF(D$16&gt;20,Y30*D$11*20/36000+Y31*D$11*(Q$12-20)/36000,Y31*D$11*Q$12/36000))))</f>
        <v>51666.666666666672</v>
      </c>
      <c r="AA31" s="56">
        <f t="shared" si="19"/>
        <v>51670</v>
      </c>
      <c r="AB31" s="56">
        <f>IF(R32=0,R31*Q12,(R30*20+R31*10))</f>
        <v>30000000</v>
      </c>
      <c r="AC31" s="56">
        <f t="shared" si="3"/>
        <v>0</v>
      </c>
      <c r="AD31" s="56">
        <f t="shared" si="4"/>
        <v>0</v>
      </c>
      <c r="AE31" s="56">
        <f t="shared" si="32"/>
        <v>0</v>
      </c>
      <c r="AF31" s="56">
        <f t="shared" si="20"/>
        <v>0</v>
      </c>
      <c r="AG31" s="56">
        <f t="shared" si="31"/>
        <v>0</v>
      </c>
      <c r="AH31" s="56">
        <f t="shared" si="21"/>
        <v>0</v>
      </c>
      <c r="AI31" s="56">
        <f t="shared" si="5"/>
        <v>1000000</v>
      </c>
      <c r="AJ31" s="56">
        <f>IF(N32=1,AI30*G$12*20/36000+AI31*G$12*10/36000,IF(N32=0,IF(N31=0,0,AI31*G$12*Q$12/36000)))</f>
        <v>0</v>
      </c>
      <c r="AK31" s="56">
        <f>IF(N32=1,AI30*G$12*20/36000+AI31*G$12*10/36000,IF(N32=0,IF(N31=0,0,AI31*G$12*Q$12/36000)))</f>
        <v>0</v>
      </c>
      <c r="AL31" s="57">
        <f t="shared" si="22"/>
        <v>8</v>
      </c>
      <c r="AM31" s="57">
        <f t="shared" si="6"/>
        <v>8</v>
      </c>
      <c r="AN31" s="51">
        <f t="shared" si="23"/>
        <v>2013</v>
      </c>
      <c r="AO31" s="51">
        <f t="shared" si="7"/>
        <v>2013</v>
      </c>
      <c r="AP31" s="51">
        <f t="shared" si="8"/>
        <v>0</v>
      </c>
      <c r="AQ31" s="51">
        <f t="shared" si="9"/>
        <v>30</v>
      </c>
      <c r="AR31" s="51">
        <f t="shared" si="10"/>
        <v>20</v>
      </c>
      <c r="AS31" s="51">
        <f t="shared" si="24"/>
        <v>30</v>
      </c>
      <c r="AT31" s="52"/>
      <c r="AU31" s="52"/>
      <c r="AV31" s="52"/>
      <c r="AW31" s="52"/>
      <c r="AX31" s="52"/>
      <c r="AY31" s="51">
        <f t="shared" si="25"/>
        <v>1</v>
      </c>
      <c r="AZ31" s="52"/>
      <c r="BA31" s="52"/>
      <c r="BB31" s="52">
        <v>3</v>
      </c>
      <c r="BC31" s="52"/>
      <c r="BD31" s="52"/>
      <c r="BE31" s="52"/>
      <c r="BF31" s="52"/>
      <c r="BG31" s="52"/>
      <c r="BH31" s="52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1"/>
        <v>8</v>
      </c>
      <c r="B32" s="268">
        <f t="shared" si="12"/>
        <v>41537</v>
      </c>
      <c r="C32" s="401"/>
      <c r="D32" s="443">
        <v>0</v>
      </c>
      <c r="E32" s="443"/>
      <c r="F32" s="84">
        <f>IF(N32=0,IF(N31=1,F25+F26+F27+F28+F29+F30+F31," "),IF(M1=1,P32,IF(M1=2,Q32," ")))</f>
        <v>51670</v>
      </c>
      <c r="G32" s="84">
        <f>IF(N32=0,IF(N31=1,G25+G26+G27+G28+G29+G30+G31," "),IF(M1=1,AC32,IF(M1=2,AD32," ")))</f>
        <v>0</v>
      </c>
      <c r="H32" s="84">
        <f t="shared" si="13"/>
        <v>51670</v>
      </c>
      <c r="I32" s="84">
        <v>0</v>
      </c>
      <c r="J32" s="84">
        <f t="shared" si="14"/>
        <v>51670</v>
      </c>
      <c r="K32" s="84">
        <f t="shared" si="15"/>
        <v>0</v>
      </c>
      <c r="L32" s="84">
        <f t="shared" si="26"/>
        <v>51670</v>
      </c>
      <c r="M32" s="51">
        <f t="shared" si="16"/>
        <v>8</v>
      </c>
      <c r="N32" s="51">
        <f>IF(M1=1,IF(M14&gt;7,1,0),IF(M1=2,IF(M14&gt;7,1,0),0))</f>
        <v>1</v>
      </c>
      <c r="O32" s="51">
        <f t="shared" si="0"/>
        <v>20</v>
      </c>
      <c r="P32" s="56">
        <f t="shared" si="1"/>
        <v>51670</v>
      </c>
      <c r="Q32" s="56">
        <f t="shared" si="2"/>
        <v>51670</v>
      </c>
      <c r="R32" s="56">
        <f t="shared" si="17"/>
        <v>1000000</v>
      </c>
      <c r="S32" s="56">
        <f t="shared" si="27"/>
        <v>18867.924528301886</v>
      </c>
      <c r="T32" s="56">
        <f t="shared" si="28"/>
        <v>18870</v>
      </c>
      <c r="U32" s="56">
        <f t="shared" ref="U32:U85" si="33">IF(N33=1,R31*D$11*20/36000+R32*D$11*10/36000,IF(N33=0,IF(N32=0,0,IF(D$16&gt;20,R31*D$11*20/36000+R32*D$11*(Q$12-20)/36000,R32*D$11*Q$12/36000))))</f>
        <v>51666.666666666672</v>
      </c>
      <c r="V32" s="56">
        <f t="shared" ref="V32:V85" si="34">IF(N33=1,R31*D$11*20/36000+R32*D$11*10/36000,IF(N33=0,IF(N32=0,0,IF(D$16&gt;20,R31*D$11*20/36000+R32*D$11*(Q$12-20)/36000,R32*D$11*Q$12/36000))))</f>
        <v>51666.666666666672</v>
      </c>
      <c r="W32" s="56">
        <f t="shared" si="29"/>
        <v>51666.666666666672</v>
      </c>
      <c r="X32" s="56">
        <f t="shared" si="30"/>
        <v>51670</v>
      </c>
      <c r="Y32" s="56">
        <f t="shared" si="18"/>
        <v>1000000</v>
      </c>
      <c r="Z32" s="56">
        <f t="shared" ref="Z32:Z85" si="35">IF(N33=1,Y31*D$11*20/36000+Y32*D$11*10/36000,IF(N33=0,IF(N32=0,0,IF(D$16&gt;20,Y31*D$11*20/36000+Y32*D$11*(Q$12-20)/36000,Y32*D$11*Q$12/36000))))</f>
        <v>51666.666666666672</v>
      </c>
      <c r="AA32" s="56">
        <f t="shared" si="19"/>
        <v>51670</v>
      </c>
      <c r="AB32" s="56">
        <f>IF(R33=0,R32*Q12,(R31*20+R32*10))</f>
        <v>30000000</v>
      </c>
      <c r="AC32" s="56">
        <f t="shared" si="3"/>
        <v>0</v>
      </c>
      <c r="AD32" s="56">
        <f t="shared" si="4"/>
        <v>0</v>
      </c>
      <c r="AE32" s="56">
        <f t="shared" si="32"/>
        <v>0</v>
      </c>
      <c r="AF32" s="56">
        <f t="shared" si="20"/>
        <v>0</v>
      </c>
      <c r="AG32" s="56">
        <f t="shared" si="31"/>
        <v>0</v>
      </c>
      <c r="AH32" s="56">
        <f t="shared" si="21"/>
        <v>0</v>
      </c>
      <c r="AI32" s="56">
        <f t="shared" si="5"/>
        <v>1000000</v>
      </c>
      <c r="AJ32" s="56">
        <f>IF(N33=1,AI31*G12*20/36000+AI32*G12*10/36000,IF(N33=0,IF(N32=0,0,AI32*G12*Q12/36000+AI31*G12*20/36000+AI32*G12*10/36000)))</f>
        <v>0</v>
      </c>
      <c r="AK32" s="56">
        <f>IF(N33=1,AI31*G12*20/36000+AI32*G12*10/36000,IF(N33=0,IF(N32=0,0,AI32*G12*Q12/36000+AI31*G12*20/36000+AI32*G12*10/36000)))</f>
        <v>0</v>
      </c>
      <c r="AL32" s="57">
        <f t="shared" si="22"/>
        <v>9</v>
      </c>
      <c r="AM32" s="57">
        <f t="shared" si="6"/>
        <v>9</v>
      </c>
      <c r="AN32" s="51">
        <f t="shared" si="23"/>
        <v>2013</v>
      </c>
      <c r="AO32" s="51">
        <f t="shared" si="7"/>
        <v>2013</v>
      </c>
      <c r="AP32" s="51">
        <f t="shared" si="8"/>
        <v>0</v>
      </c>
      <c r="AQ32" s="51">
        <f t="shared" si="9"/>
        <v>30</v>
      </c>
      <c r="AR32" s="51">
        <f t="shared" si="10"/>
        <v>20</v>
      </c>
      <c r="AS32" s="51">
        <f t="shared" si="24"/>
        <v>30</v>
      </c>
      <c r="AT32" s="52"/>
      <c r="AU32" s="52"/>
      <c r="AV32" s="52"/>
      <c r="AW32" s="52"/>
      <c r="AX32" s="52"/>
      <c r="AY32" s="51">
        <f t="shared" si="25"/>
        <v>1</v>
      </c>
      <c r="AZ32" s="52"/>
      <c r="BA32" s="52"/>
      <c r="BB32" s="52">
        <v>6</v>
      </c>
      <c r="BC32" s="52"/>
      <c r="BD32" s="52"/>
      <c r="BE32" s="52"/>
      <c r="BF32" s="52"/>
      <c r="BG32" s="52"/>
      <c r="BH32" s="52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1"/>
        <v>9</v>
      </c>
      <c r="B33" s="268">
        <f t="shared" si="12"/>
        <v>41567</v>
      </c>
      <c r="C33" s="401"/>
      <c r="D33" s="443">
        <v>0</v>
      </c>
      <c r="E33" s="443"/>
      <c r="F33" s="84">
        <f>IF(N33=0,IF(N32=1,F25+F26+F27+F28+F29+F30+F31+F32," "),IF(M1=1,P33,IF(M1=2,Q33," ")))</f>
        <v>51670</v>
      </c>
      <c r="G33" s="84">
        <f>IF(N33=0,IF(N32=1,G25+G26+G27+G28+G29+G30+G31+G32," "),IF(M1=1,AC33,IF(M1=2,AD33," ")))</f>
        <v>0</v>
      </c>
      <c r="H33" s="84">
        <f t="shared" si="13"/>
        <v>51670</v>
      </c>
      <c r="I33" s="84">
        <v>0</v>
      </c>
      <c r="J33" s="84">
        <f t="shared" si="14"/>
        <v>51670</v>
      </c>
      <c r="K33" s="84">
        <f t="shared" si="15"/>
        <v>0</v>
      </c>
      <c r="L33" s="84">
        <f t="shared" si="26"/>
        <v>51670</v>
      </c>
      <c r="M33" s="51">
        <f t="shared" si="16"/>
        <v>9</v>
      </c>
      <c r="N33" s="51">
        <f>IF(M1=1,IF(M14&gt;8,1,0),IF(M1=2,IF(M14&gt;8,1,0),0))</f>
        <v>1</v>
      </c>
      <c r="O33" s="51">
        <f t="shared" si="0"/>
        <v>20</v>
      </c>
      <c r="P33" s="56">
        <f t="shared" si="1"/>
        <v>51670</v>
      </c>
      <c r="Q33" s="56">
        <f t="shared" si="2"/>
        <v>51670</v>
      </c>
      <c r="R33" s="56">
        <f t="shared" si="17"/>
        <v>1000000</v>
      </c>
      <c r="S33" s="56">
        <f t="shared" si="27"/>
        <v>19230.76923076923</v>
      </c>
      <c r="T33" s="56">
        <f t="shared" si="28"/>
        <v>19230</v>
      </c>
      <c r="U33" s="56">
        <f t="shared" si="33"/>
        <v>51666.666666666672</v>
      </c>
      <c r="V33" s="56">
        <f t="shared" si="34"/>
        <v>51666.666666666672</v>
      </c>
      <c r="W33" s="56">
        <f t="shared" si="29"/>
        <v>51666.666666666672</v>
      </c>
      <c r="X33" s="56">
        <f t="shared" si="30"/>
        <v>51670</v>
      </c>
      <c r="Y33" s="56">
        <f t="shared" si="18"/>
        <v>1000000</v>
      </c>
      <c r="Z33" s="56">
        <f t="shared" si="35"/>
        <v>51666.666666666672</v>
      </c>
      <c r="AA33" s="56">
        <f t="shared" si="19"/>
        <v>51670</v>
      </c>
      <c r="AB33" s="56">
        <f>IF(R34=0,R33*Q12,(R32*20+R33*10))</f>
        <v>30000000</v>
      </c>
      <c r="AC33" s="56">
        <f t="shared" si="3"/>
        <v>0</v>
      </c>
      <c r="AD33" s="56">
        <f t="shared" si="4"/>
        <v>0</v>
      </c>
      <c r="AE33" s="56">
        <f t="shared" si="32"/>
        <v>0</v>
      </c>
      <c r="AF33" s="56">
        <f t="shared" si="20"/>
        <v>0</v>
      </c>
      <c r="AG33" s="56">
        <f t="shared" si="31"/>
        <v>0</v>
      </c>
      <c r="AH33" s="56">
        <f t="shared" si="21"/>
        <v>0</v>
      </c>
      <c r="AI33" s="56">
        <f t="shared" si="5"/>
        <v>1000000</v>
      </c>
      <c r="AJ33" s="56">
        <f>IF(N34=1,AI32*G12*20/36000+AI33*G12*10/36000,IF(N34=0,IF(N33=0,0,AI33*G12*Q12/36000+AI32*G12*20/36000+AI33*G12*10/36000)))</f>
        <v>0</v>
      </c>
      <c r="AK33" s="56">
        <f>IF(N34=1,AI32*G12*20/36000+AI33*G12*10/36000,IF(N34=0,IF(N33=0,0,AI33*G12*Q12/36000+AI32*G12*20/36000+AI33*G12*10/36000)))</f>
        <v>0</v>
      </c>
      <c r="AL33" s="57">
        <f t="shared" si="22"/>
        <v>10</v>
      </c>
      <c r="AM33" s="57">
        <f t="shared" si="6"/>
        <v>10</v>
      </c>
      <c r="AN33" s="51">
        <f t="shared" si="23"/>
        <v>2013</v>
      </c>
      <c r="AO33" s="51">
        <f t="shared" si="7"/>
        <v>2013</v>
      </c>
      <c r="AP33" s="51">
        <f t="shared" si="8"/>
        <v>0</v>
      </c>
      <c r="AQ33" s="51">
        <f t="shared" si="9"/>
        <v>30</v>
      </c>
      <c r="AR33" s="51">
        <f t="shared" si="10"/>
        <v>20</v>
      </c>
      <c r="AS33" s="51">
        <f t="shared" si="24"/>
        <v>30</v>
      </c>
      <c r="AT33" s="52"/>
      <c r="AU33" s="52"/>
      <c r="AV33" s="52"/>
      <c r="AW33" s="52"/>
      <c r="AX33" s="52"/>
      <c r="AY33" s="51">
        <f t="shared" si="25"/>
        <v>1</v>
      </c>
      <c r="AZ33" s="52"/>
      <c r="BA33" s="52"/>
      <c r="BB33" s="52">
        <v>12</v>
      </c>
      <c r="BC33" s="52"/>
      <c r="BD33" s="52"/>
      <c r="BE33" s="52"/>
      <c r="BF33" s="52"/>
      <c r="BG33" s="52"/>
      <c r="BH33" s="52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1"/>
        <v>10</v>
      </c>
      <c r="B34" s="268">
        <f t="shared" si="12"/>
        <v>41598</v>
      </c>
      <c r="C34" s="401"/>
      <c r="D34" s="443">
        <v>0</v>
      </c>
      <c r="E34" s="443"/>
      <c r="F34" s="84">
        <f>IF(N34=0,IF(N33=1,F25+F26+F27+F28+F29+F30+F31+F32+F33," "),IF(M1=1,P34,IF(M1=2,Q34," ")))</f>
        <v>51670</v>
      </c>
      <c r="G34" s="84">
        <f>IF(N34=0,IF(N33=1,G25+G26+G27+G28+G29+G30+G31+G32+G33," "),IF(M1=1,AC34,IF(M1=2,AD34," ")))</f>
        <v>0</v>
      </c>
      <c r="H34" s="84">
        <f t="shared" si="13"/>
        <v>51670</v>
      </c>
      <c r="I34" s="84">
        <v>0</v>
      </c>
      <c r="J34" s="84">
        <f t="shared" si="14"/>
        <v>51670</v>
      </c>
      <c r="K34" s="84">
        <f t="shared" si="15"/>
        <v>0</v>
      </c>
      <c r="L34" s="84">
        <f t="shared" si="26"/>
        <v>51670</v>
      </c>
      <c r="M34" s="51">
        <f t="shared" si="16"/>
        <v>10</v>
      </c>
      <c r="N34" s="51">
        <f>IF(M1=1,IF(M14&gt;9,1,0),IF(M1=2,IF(M14&gt;9,1,0),0))</f>
        <v>1</v>
      </c>
      <c r="O34" s="51">
        <f t="shared" si="0"/>
        <v>20</v>
      </c>
      <c r="P34" s="56">
        <f t="shared" si="1"/>
        <v>51670</v>
      </c>
      <c r="Q34" s="56">
        <f t="shared" si="2"/>
        <v>51670</v>
      </c>
      <c r="R34" s="56">
        <f t="shared" si="17"/>
        <v>1000000</v>
      </c>
      <c r="S34" s="56">
        <f t="shared" si="27"/>
        <v>19607.843137254902</v>
      </c>
      <c r="T34" s="56">
        <f t="shared" si="28"/>
        <v>19610</v>
      </c>
      <c r="U34" s="56">
        <f t="shared" si="33"/>
        <v>51666.666666666672</v>
      </c>
      <c r="V34" s="56">
        <f t="shared" si="34"/>
        <v>51666.666666666672</v>
      </c>
      <c r="W34" s="56">
        <f t="shared" si="29"/>
        <v>51666.666666666672</v>
      </c>
      <c r="X34" s="56">
        <f t="shared" si="30"/>
        <v>51670</v>
      </c>
      <c r="Y34" s="56">
        <f t="shared" si="18"/>
        <v>1000000</v>
      </c>
      <c r="Z34" s="56">
        <f t="shared" si="35"/>
        <v>51666.666666666672</v>
      </c>
      <c r="AA34" s="56">
        <f t="shared" si="19"/>
        <v>51670</v>
      </c>
      <c r="AB34" s="56">
        <f>IF(R35=0,R34*Q12,(R33*20+R34*10))</f>
        <v>30000000</v>
      </c>
      <c r="AC34" s="56">
        <f t="shared" si="3"/>
        <v>0</v>
      </c>
      <c r="AD34" s="56">
        <f t="shared" si="4"/>
        <v>0</v>
      </c>
      <c r="AE34" s="56">
        <f t="shared" si="32"/>
        <v>0</v>
      </c>
      <c r="AF34" s="56">
        <f t="shared" si="20"/>
        <v>0</v>
      </c>
      <c r="AG34" s="56">
        <f t="shared" si="31"/>
        <v>0</v>
      </c>
      <c r="AH34" s="56">
        <f t="shared" si="21"/>
        <v>0</v>
      </c>
      <c r="AI34" s="56">
        <f t="shared" si="5"/>
        <v>1000000</v>
      </c>
      <c r="AJ34" s="56">
        <f>IF(N35=1,AI33*G12*20/36000+AI34*G12*10/36000,IF(N35=0,IF(N34=0,0,AI34*G12*Q12/36000+29*G12*20/36000+AI34*G12*10/36000)))</f>
        <v>0</v>
      </c>
      <c r="AK34" s="56">
        <f>IF(N35=1,AI33*G12*20/36000+AI34*G12*10/36000,IF(N35=0,IF(N34=0,0,AI34*G12*Q12/36000+29*G12*20/36000+AI34*G12*10/36000)))</f>
        <v>0</v>
      </c>
      <c r="AL34" s="57">
        <f t="shared" si="22"/>
        <v>11</v>
      </c>
      <c r="AM34" s="57">
        <f t="shared" si="6"/>
        <v>11</v>
      </c>
      <c r="AN34" s="51">
        <f t="shared" si="23"/>
        <v>2013</v>
      </c>
      <c r="AO34" s="51">
        <f t="shared" si="7"/>
        <v>2013</v>
      </c>
      <c r="AP34" s="51">
        <f t="shared" si="8"/>
        <v>0</v>
      </c>
      <c r="AQ34" s="51">
        <f t="shared" si="9"/>
        <v>30</v>
      </c>
      <c r="AR34" s="51">
        <f t="shared" si="10"/>
        <v>20</v>
      </c>
      <c r="AS34" s="51">
        <f t="shared" si="24"/>
        <v>30</v>
      </c>
      <c r="AT34" s="52"/>
      <c r="AU34" s="52"/>
      <c r="AV34" s="52"/>
      <c r="AW34" s="52"/>
      <c r="AX34" s="52"/>
      <c r="AY34" s="51">
        <f t="shared" si="25"/>
        <v>1</v>
      </c>
      <c r="AZ34" s="52"/>
      <c r="BA34" s="52"/>
      <c r="BB34" s="52">
        <v>18</v>
      </c>
      <c r="BC34" s="52"/>
      <c r="BD34" s="52"/>
      <c r="BE34" s="52"/>
      <c r="BF34" s="52"/>
      <c r="BG34" s="52"/>
      <c r="BH34" s="52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1"/>
        <v>11</v>
      </c>
      <c r="B35" s="268">
        <f t="shared" si="12"/>
        <v>41628</v>
      </c>
      <c r="C35" s="401"/>
      <c r="D35" s="443">
        <v>0</v>
      </c>
      <c r="E35" s="443"/>
      <c r="F35" s="84">
        <f>IF(N35=0,IF(N34=1,F25+F26+F27+F28+F29+F30+F31+F32+F33+F34," "),IF(M1=1,P35,IF(M1=2,Q35," ")))</f>
        <v>51670</v>
      </c>
      <c r="G35" s="84">
        <f>IF(N35=0,IF(N34=1,G25+G26+G27+G28+G29+G30+G31+G32+G33+G34," "),IF(M1=1,AC35,IF(M1=2,AD35," ")))</f>
        <v>0</v>
      </c>
      <c r="H35" s="84">
        <f t="shared" si="13"/>
        <v>51670</v>
      </c>
      <c r="I35" s="84">
        <v>0</v>
      </c>
      <c r="J35" s="84">
        <f t="shared" si="14"/>
        <v>51670</v>
      </c>
      <c r="K35" s="84">
        <f t="shared" si="15"/>
        <v>0</v>
      </c>
      <c r="L35" s="84">
        <f t="shared" si="26"/>
        <v>51670</v>
      </c>
      <c r="M35" s="51">
        <f t="shared" si="16"/>
        <v>11</v>
      </c>
      <c r="N35" s="51">
        <f>IF(M1=1,IF(M14&gt;10,1,0),IF(M1=2,IF(M14&gt;10,1,0),0))</f>
        <v>1</v>
      </c>
      <c r="O35" s="51">
        <f t="shared" si="0"/>
        <v>20</v>
      </c>
      <c r="P35" s="56">
        <f t="shared" si="1"/>
        <v>51670</v>
      </c>
      <c r="Q35" s="56">
        <f t="shared" si="2"/>
        <v>51670</v>
      </c>
      <c r="R35" s="56">
        <f t="shared" si="17"/>
        <v>1000000</v>
      </c>
      <c r="S35" s="56">
        <f t="shared" si="27"/>
        <v>20000</v>
      </c>
      <c r="T35" s="56">
        <f t="shared" si="28"/>
        <v>20000</v>
      </c>
      <c r="U35" s="56">
        <f t="shared" si="33"/>
        <v>51666.666666666672</v>
      </c>
      <c r="V35" s="56">
        <f t="shared" si="34"/>
        <v>51666.666666666672</v>
      </c>
      <c r="W35" s="56">
        <f t="shared" si="29"/>
        <v>51666.666666666672</v>
      </c>
      <c r="X35" s="56">
        <f t="shared" si="30"/>
        <v>51670</v>
      </c>
      <c r="Y35" s="56">
        <f t="shared" si="18"/>
        <v>1000000</v>
      </c>
      <c r="Z35" s="56">
        <f t="shared" si="35"/>
        <v>51666.666666666672</v>
      </c>
      <c r="AA35" s="56">
        <f t="shared" si="19"/>
        <v>51670</v>
      </c>
      <c r="AB35" s="56">
        <f>IF(R36=0,R35*Q12,(R34*20+R35*10))</f>
        <v>30000000</v>
      </c>
      <c r="AC35" s="56">
        <f t="shared" si="3"/>
        <v>0</v>
      </c>
      <c r="AD35" s="56">
        <f t="shared" si="4"/>
        <v>0</v>
      </c>
      <c r="AE35" s="56">
        <f t="shared" si="32"/>
        <v>0</v>
      </c>
      <c r="AF35" s="56">
        <f t="shared" si="20"/>
        <v>0</v>
      </c>
      <c r="AG35" s="56">
        <f t="shared" si="31"/>
        <v>0</v>
      </c>
      <c r="AH35" s="56">
        <f t="shared" si="21"/>
        <v>0</v>
      </c>
      <c r="AI35" s="56">
        <f t="shared" si="5"/>
        <v>1000000</v>
      </c>
      <c r="AJ35" s="56">
        <f>IF(N36=1,AI34*G12*20/36000+AI35*G12*10/36000,IF(N36=0,IF(N35=0,0,AI35*G12*Q12/36000+AI34*G12*20/36000+AI35*G12*10/36000)))</f>
        <v>0</v>
      </c>
      <c r="AK35" s="56">
        <f>IF(N36=1,AI34*G12*20/36000+AI35*G12*10/36000,IF(N36=0,IF(N35=0,0,AI35*G12*Q12/36000+AI34*G12*20/36000+AI35*G12*10/36000)))</f>
        <v>0</v>
      </c>
      <c r="AL35" s="57">
        <f t="shared" si="22"/>
        <v>12</v>
      </c>
      <c r="AM35" s="57">
        <f t="shared" si="6"/>
        <v>12</v>
      </c>
      <c r="AN35" s="51">
        <f t="shared" si="23"/>
        <v>2013</v>
      </c>
      <c r="AO35" s="51">
        <f t="shared" si="7"/>
        <v>2013</v>
      </c>
      <c r="AP35" s="51">
        <f t="shared" si="8"/>
        <v>0</v>
      </c>
      <c r="AQ35" s="51">
        <f t="shared" si="9"/>
        <v>30</v>
      </c>
      <c r="AR35" s="51">
        <f t="shared" si="10"/>
        <v>20</v>
      </c>
      <c r="AS35" s="51">
        <f t="shared" si="24"/>
        <v>30</v>
      </c>
      <c r="AT35" s="52"/>
      <c r="AU35" s="52"/>
      <c r="AV35" s="52"/>
      <c r="AW35" s="52"/>
      <c r="AX35" s="52"/>
      <c r="AY35" s="51">
        <f t="shared" si="25"/>
        <v>1</v>
      </c>
      <c r="AZ35" s="52"/>
      <c r="BA35" s="52"/>
      <c r="BB35" s="52">
        <v>30</v>
      </c>
      <c r="BC35" s="52"/>
      <c r="BD35" s="52"/>
      <c r="BE35" s="52"/>
      <c r="BF35" s="52"/>
      <c r="BG35" s="52"/>
      <c r="BH35" s="52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1"/>
        <v>12</v>
      </c>
      <c r="B36" s="268">
        <f t="shared" si="12"/>
        <v>41659</v>
      </c>
      <c r="C36" s="401"/>
      <c r="D36" s="443">
        <v>0</v>
      </c>
      <c r="E36" s="443"/>
      <c r="F36" s="84">
        <f>IF(N36=0,IF(N35=1,F25+F26+F27+F28+F29+F30+F31+F32+F33+F34+F35," "),IF(M1=1,P36,IF(M1=2,Q36," ")))</f>
        <v>51670</v>
      </c>
      <c r="G36" s="84">
        <f>IF(N36=0,IF(N35=1,G25+G26+G27+G28+G29+G30+G31+G32+G33+G34+G35," "),IF(M1=1,AC36,IF(M1=2,AD36," ")))</f>
        <v>0</v>
      </c>
      <c r="H36" s="84">
        <f t="shared" si="13"/>
        <v>51670</v>
      </c>
      <c r="I36" s="84">
        <v>0</v>
      </c>
      <c r="J36" s="84">
        <f t="shared" si="14"/>
        <v>51670</v>
      </c>
      <c r="K36" s="84">
        <f t="shared" si="15"/>
        <v>0</v>
      </c>
      <c r="L36" s="84">
        <f t="shared" si="26"/>
        <v>51670</v>
      </c>
      <c r="M36" s="51">
        <f t="shared" si="16"/>
        <v>12</v>
      </c>
      <c r="N36" s="51">
        <f>IF(M1=1,IF(M14&gt;11,1,0),IF(M1=2,IF(M14&gt;11,1,0),0))</f>
        <v>1</v>
      </c>
      <c r="O36" s="51">
        <f t="shared" si="0"/>
        <v>20</v>
      </c>
      <c r="P36" s="56">
        <f t="shared" si="1"/>
        <v>51670</v>
      </c>
      <c r="Q36" s="56">
        <f t="shared" si="2"/>
        <v>51670</v>
      </c>
      <c r="R36" s="56">
        <f t="shared" si="17"/>
        <v>1000000</v>
      </c>
      <c r="S36" s="56">
        <f t="shared" si="27"/>
        <v>20408.163265306124</v>
      </c>
      <c r="T36" s="56">
        <f t="shared" si="28"/>
        <v>20410</v>
      </c>
      <c r="U36" s="56">
        <f t="shared" si="33"/>
        <v>51666.666666666672</v>
      </c>
      <c r="V36" s="56">
        <f t="shared" si="34"/>
        <v>51666.666666666672</v>
      </c>
      <c r="W36" s="56">
        <f t="shared" si="29"/>
        <v>51666.666666666672</v>
      </c>
      <c r="X36" s="56">
        <f t="shared" si="30"/>
        <v>51670</v>
      </c>
      <c r="Y36" s="56">
        <f t="shared" si="18"/>
        <v>1000000</v>
      </c>
      <c r="Z36" s="56">
        <f t="shared" si="35"/>
        <v>51666.666666666672</v>
      </c>
      <c r="AA36" s="56">
        <f t="shared" si="19"/>
        <v>51670</v>
      </c>
      <c r="AB36" s="56">
        <f>IF(R37=0,R36*Q12,(R35*20+R36*10))</f>
        <v>30000000</v>
      </c>
      <c r="AC36" s="56">
        <f t="shared" si="3"/>
        <v>0</v>
      </c>
      <c r="AD36" s="56">
        <f t="shared" si="4"/>
        <v>0</v>
      </c>
      <c r="AE36" s="56">
        <f t="shared" si="32"/>
        <v>0</v>
      </c>
      <c r="AF36" s="56">
        <f t="shared" si="20"/>
        <v>0</v>
      </c>
      <c r="AG36" s="56">
        <f t="shared" si="31"/>
        <v>0</v>
      </c>
      <c r="AH36" s="56">
        <f t="shared" si="21"/>
        <v>0</v>
      </c>
      <c r="AI36" s="56">
        <f t="shared" si="5"/>
        <v>1000000</v>
      </c>
      <c r="AJ36" s="56">
        <f>IF(N37=1,AI35*G12*20/36000+AI36*G12*10/36000,IF(N37=0,IF(N36=0,0,AI36*G12*Q12/36000+AI35*G12*20/36000+AI36*G12*10/36000)))</f>
        <v>0</v>
      </c>
      <c r="AK36" s="56">
        <f>IF(N37=1,AI35*G12*20/36000+AI36*G12*10/36000,IF(N37=0,IF(N36=0,0,AI36*G12*Q12/36000+AI35*G12*20/36000+AI36*G12*10/36000)))</f>
        <v>0</v>
      </c>
      <c r="AL36" s="57">
        <f t="shared" si="22"/>
        <v>13</v>
      </c>
      <c r="AM36" s="57">
        <f t="shared" si="6"/>
        <v>1</v>
      </c>
      <c r="AN36" s="51">
        <f t="shared" si="23"/>
        <v>2013</v>
      </c>
      <c r="AO36" s="51">
        <f t="shared" si="7"/>
        <v>2014</v>
      </c>
      <c r="AP36" s="51">
        <f t="shared" si="8"/>
        <v>0</v>
      </c>
      <c r="AQ36" s="51">
        <f t="shared" si="9"/>
        <v>30</v>
      </c>
      <c r="AR36" s="51">
        <f t="shared" si="10"/>
        <v>20</v>
      </c>
      <c r="AS36" s="51">
        <f t="shared" si="24"/>
        <v>30</v>
      </c>
      <c r="AT36" s="52"/>
      <c r="AU36" s="52"/>
      <c r="AV36" s="52"/>
      <c r="AW36" s="52"/>
      <c r="AX36" s="52"/>
      <c r="AY36" s="51">
        <f t="shared" si="25"/>
        <v>1</v>
      </c>
      <c r="AZ36" s="52"/>
      <c r="BA36" s="52"/>
      <c r="BB36" s="52">
        <v>42</v>
      </c>
      <c r="BC36" s="52"/>
      <c r="BD36" s="52"/>
      <c r="BE36" s="52"/>
      <c r="BF36" s="52"/>
      <c r="BG36" s="52"/>
      <c r="BH36" s="52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1"/>
        <v>13</v>
      </c>
      <c r="B37" s="268">
        <f t="shared" si="12"/>
        <v>41690</v>
      </c>
      <c r="C37" s="401"/>
      <c r="D37" s="443">
        <f>IF(N25=0,0,IF(F10="USD",ROUND(D10/(M14-12),2),IF(F10="бел. рублей",IF(AW25&lt;=5,ROUND(AU25,0)-AW25,ROUND(AU25,0)+AX25)," ")))</f>
        <v>20410</v>
      </c>
      <c r="E37" s="443"/>
      <c r="F37" s="84">
        <f>IF(N37=0,IF(N36=1,F25+F26+F27+F28+F29+F30+F31+F32+F33+F34+F35+F36," "),IF(M1=1,P37,IF(M1=2,Q37," ")))</f>
        <v>51670</v>
      </c>
      <c r="G37" s="84">
        <f>IF(N37=0,IF(N36=1,G25+G26+G27+G28+G29+G30+G31+G32+G33+G34+G35+G36," "),IF(M1=1,AC37,IF(M1=2,AD37," ")))</f>
        <v>0</v>
      </c>
      <c r="H37" s="84">
        <f t="shared" si="13"/>
        <v>72080</v>
      </c>
      <c r="I37" s="84">
        <f>IF(N25=0,0,IF(F10="USD",ROUND(D10/(M14-12),2),IF(F10="бел. рублей",IF(AW25&lt;=5,ROUND(AU25,0)-AW25,ROUND(AU25,0)+AX25)," ")))</f>
        <v>20410</v>
      </c>
      <c r="J37" s="84">
        <f t="shared" si="14"/>
        <v>51670</v>
      </c>
      <c r="K37" s="84">
        <f t="shared" si="15"/>
        <v>0</v>
      </c>
      <c r="L37" s="84">
        <f t="shared" si="26"/>
        <v>72080</v>
      </c>
      <c r="M37" s="51">
        <f t="shared" si="16"/>
        <v>13</v>
      </c>
      <c r="N37" s="51">
        <f>IF(M1=1,IF(M14&gt;12,1,0),IF(M1=2,IF(M14&gt;12,1,0),0))</f>
        <v>1</v>
      </c>
      <c r="O37" s="51">
        <f t="shared" si="0"/>
        <v>20</v>
      </c>
      <c r="P37" s="56">
        <f t="shared" si="1"/>
        <v>51670</v>
      </c>
      <c r="Q37" s="56">
        <f t="shared" si="2"/>
        <v>51670</v>
      </c>
      <c r="R37" s="56">
        <f t="shared" si="17"/>
        <v>1000000</v>
      </c>
      <c r="S37" s="56">
        <f t="shared" si="27"/>
        <v>20410</v>
      </c>
      <c r="T37" s="56">
        <f t="shared" si="28"/>
        <v>20410</v>
      </c>
      <c r="U37" s="56">
        <f t="shared" si="33"/>
        <v>51666.666666666672</v>
      </c>
      <c r="V37" s="56">
        <f t="shared" si="34"/>
        <v>51666.666666666672</v>
      </c>
      <c r="W37" s="56">
        <f t="shared" si="29"/>
        <v>51666.666666666672</v>
      </c>
      <c r="X37" s="56">
        <f t="shared" si="30"/>
        <v>51670</v>
      </c>
      <c r="Y37" s="56">
        <f t="shared" si="18"/>
        <v>1000000</v>
      </c>
      <c r="Z37" s="56">
        <f t="shared" si="35"/>
        <v>51666.666666666672</v>
      </c>
      <c r="AA37" s="56">
        <f t="shared" si="19"/>
        <v>51670</v>
      </c>
      <c r="AB37" s="56">
        <f>IF(R38=0,R37*Q12,(R36*20+R37*10))</f>
        <v>30000000</v>
      </c>
      <c r="AC37" s="56">
        <f t="shared" si="3"/>
        <v>0</v>
      </c>
      <c r="AD37" s="56">
        <f t="shared" si="4"/>
        <v>0</v>
      </c>
      <c r="AE37" s="56">
        <f t="shared" si="32"/>
        <v>0</v>
      </c>
      <c r="AF37" s="56">
        <f t="shared" si="20"/>
        <v>0</v>
      </c>
      <c r="AG37" s="56">
        <f t="shared" si="31"/>
        <v>0</v>
      </c>
      <c r="AH37" s="56">
        <f t="shared" si="21"/>
        <v>0</v>
      </c>
      <c r="AI37" s="56">
        <f t="shared" si="5"/>
        <v>1000000</v>
      </c>
      <c r="AJ37" s="56">
        <f>IF(N38=1,AI36*G12*20/36000+AI37*G12*10/36000,IF(N38=0,IF(N37=0,0,AI37*G12*Q12/36000)))</f>
        <v>0</v>
      </c>
      <c r="AK37" s="56">
        <f>IF(N38=1,AI36*G12*20/36000+AI37*G12*10/36000,IF(N38=0,IF(N37=0,0,AI37*G12*Q12/36000)))</f>
        <v>0</v>
      </c>
      <c r="AL37" s="57">
        <f t="shared" si="22"/>
        <v>2</v>
      </c>
      <c r="AM37" s="57">
        <f t="shared" si="6"/>
        <v>2</v>
      </c>
      <c r="AN37" s="51">
        <f t="shared" si="23"/>
        <v>2014</v>
      </c>
      <c r="AO37" s="51">
        <f t="shared" si="7"/>
        <v>2014</v>
      </c>
      <c r="AP37" s="51">
        <f t="shared" si="8"/>
        <v>0</v>
      </c>
      <c r="AQ37" s="51">
        <f t="shared" si="9"/>
        <v>28</v>
      </c>
      <c r="AR37" s="51">
        <f t="shared" si="10"/>
        <v>20</v>
      </c>
      <c r="AS37" s="51">
        <f t="shared" si="24"/>
        <v>30</v>
      </c>
      <c r="AT37" s="52"/>
      <c r="AU37" s="52"/>
      <c r="AV37" s="52"/>
      <c r="AW37" s="52"/>
      <c r="AX37" s="52"/>
      <c r="AY37" s="51">
        <f t="shared" si="25"/>
        <v>1</v>
      </c>
      <c r="AZ37" s="52"/>
      <c r="BA37" s="52"/>
      <c r="BB37" s="52">
        <v>54</v>
      </c>
      <c r="BC37" s="52"/>
      <c r="BD37" s="52"/>
      <c r="BE37" s="52"/>
      <c r="BF37" s="52"/>
      <c r="BG37" s="52"/>
      <c r="BH37" s="52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1"/>
        <v>14</v>
      </c>
      <c r="B38" s="268">
        <f t="shared" si="12"/>
        <v>41718</v>
      </c>
      <c r="C38" s="401"/>
      <c r="D38" s="443">
        <f>IF(N38=0,IF(N37=1,D25+D26+D27+D28+D29+D30+D31+D32+D33+D34+D35+D36+D37," "),IF(N38=0," ",IF(N39=1,D37,IF(N39=0,D10-D37*(M14-13)," "))))</f>
        <v>20410</v>
      </c>
      <c r="E38" s="443"/>
      <c r="F38" s="84">
        <f>IF(N38=0,IF(N37=1,F25+F26+F27+F28+F29+F30+F31+F32+F33+F34+F35+F36+F37," "),IF(M1=1,P38,IF(M1=2,Q38," ")))</f>
        <v>51310</v>
      </c>
      <c r="G38" s="84">
        <f>IF(N38=0,IF(N37=1,G25+G26+G27+G28+G29+G30+G31+G32+G33+G34+G35+G36+G37," "),IF(M1=1,AC38,IF(M1=2,AD38," ")))</f>
        <v>0</v>
      </c>
      <c r="H38" s="84">
        <f t="shared" si="13"/>
        <v>71720</v>
      </c>
      <c r="I38" s="84">
        <f>IF(N38=0,IF(N37=1,SUM(D$25:E37)," "),IF(N38=0," ",IF(N39=1,D$37,IF(N39=0,D$10-D$37*(M$14-13)," "))))</f>
        <v>20410</v>
      </c>
      <c r="J38" s="84">
        <f t="shared" si="14"/>
        <v>51310</v>
      </c>
      <c r="K38" s="84">
        <f t="shared" si="15"/>
        <v>0</v>
      </c>
      <c r="L38" s="84">
        <f t="shared" si="26"/>
        <v>71720</v>
      </c>
      <c r="M38" s="51">
        <f t="shared" si="16"/>
        <v>14</v>
      </c>
      <c r="N38" s="51">
        <f>IF(M1=1,IF(M14&gt;13,1,0),IF(M1=2,IF(M14&gt;13,1,0),0))</f>
        <v>1</v>
      </c>
      <c r="O38" s="51">
        <f t="shared" si="0"/>
        <v>20</v>
      </c>
      <c r="P38" s="56">
        <f t="shared" si="1"/>
        <v>51310</v>
      </c>
      <c r="Q38" s="56">
        <f t="shared" si="2"/>
        <v>51310</v>
      </c>
      <c r="R38" s="56">
        <f t="shared" si="17"/>
        <v>979590</v>
      </c>
      <c r="S38" s="56">
        <f t="shared" si="27"/>
        <v>20410</v>
      </c>
      <c r="T38" s="56">
        <f t="shared" si="28"/>
        <v>20410</v>
      </c>
      <c r="U38" s="56">
        <f t="shared" si="33"/>
        <v>51315.161111111112</v>
      </c>
      <c r="V38" s="56">
        <f t="shared" si="34"/>
        <v>51315.161111111112</v>
      </c>
      <c r="W38" s="56">
        <f t="shared" si="29"/>
        <v>51666.666666666672</v>
      </c>
      <c r="X38" s="56">
        <f t="shared" si="30"/>
        <v>51670</v>
      </c>
      <c r="Y38" s="56">
        <f t="shared" si="18"/>
        <v>979590</v>
      </c>
      <c r="Z38" s="56">
        <f t="shared" si="35"/>
        <v>51315.161111111112</v>
      </c>
      <c r="AA38" s="56">
        <f t="shared" si="19"/>
        <v>51310</v>
      </c>
      <c r="AB38" s="56">
        <f>IF(R39=0,R38*Q12,(R37*20+R38*10))</f>
        <v>29795900</v>
      </c>
      <c r="AC38" s="56">
        <f t="shared" si="3"/>
        <v>0</v>
      </c>
      <c r="AD38" s="56">
        <f t="shared" si="4"/>
        <v>0</v>
      </c>
      <c r="AE38" s="56">
        <f t="shared" si="32"/>
        <v>0</v>
      </c>
      <c r="AF38" s="56">
        <f t="shared" si="20"/>
        <v>0</v>
      </c>
      <c r="AG38" s="56">
        <f t="shared" si="31"/>
        <v>0</v>
      </c>
      <c r="AH38" s="56">
        <f t="shared" si="21"/>
        <v>0</v>
      </c>
      <c r="AI38" s="56">
        <f t="shared" si="5"/>
        <v>979590</v>
      </c>
      <c r="AJ38" s="56">
        <f>IF(N39=1,AI37*G12*20/36000+AI38*G12*10/36000,IF(N39=0,IF(N38=0,0,AI38*G12*Q12/36000+AI37*G12*20/36000+AI38*G12*10/36000)))</f>
        <v>0</v>
      </c>
      <c r="AK38" s="56">
        <f>IF(N39=1,AI37*G12*20/36000+AI38*G12*10/36000,IF(N39=0,IF(N38=0,0,AI38*G12*Q12/36000+AI37*G12*20/36000+AI38*G12*10/36000)))</f>
        <v>0</v>
      </c>
      <c r="AL38" s="57">
        <f t="shared" si="22"/>
        <v>3</v>
      </c>
      <c r="AM38" s="57">
        <f t="shared" si="6"/>
        <v>3</v>
      </c>
      <c r="AN38" s="51">
        <f t="shared" si="23"/>
        <v>2014</v>
      </c>
      <c r="AO38" s="51">
        <f t="shared" si="7"/>
        <v>2014</v>
      </c>
      <c r="AP38" s="51">
        <f t="shared" si="8"/>
        <v>0</v>
      </c>
      <c r="AQ38" s="51">
        <f t="shared" si="9"/>
        <v>30</v>
      </c>
      <c r="AR38" s="51">
        <f t="shared" si="10"/>
        <v>20</v>
      </c>
      <c r="AS38" s="51">
        <f t="shared" si="24"/>
        <v>28</v>
      </c>
      <c r="AT38" s="52"/>
      <c r="AU38" s="52"/>
      <c r="AV38" s="52"/>
      <c r="AW38" s="52"/>
      <c r="AX38" s="52"/>
      <c r="AY38" s="51">
        <f t="shared" si="25"/>
        <v>1</v>
      </c>
      <c r="AZ38" s="52"/>
      <c r="BA38" s="52"/>
      <c r="BB38" s="52"/>
      <c r="BC38" s="52"/>
      <c r="BD38" s="52"/>
      <c r="BE38" s="52"/>
      <c r="BF38" s="52"/>
      <c r="BG38" s="52"/>
      <c r="BH38" s="52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1"/>
        <v>15</v>
      </c>
      <c r="B39" s="268">
        <f t="shared" si="12"/>
        <v>41749</v>
      </c>
      <c r="C39" s="401"/>
      <c r="D39" s="443">
        <f>IF(N39=0,IF(N38=1,D25+D26+D27+D28+D29+D30+D31+D32+D33+D34+D35+D36+D37+D38," "),IF(N39=0," ",IF(N40=1,D37,IF(N40=0,D10-D37*(M14-13)," "))))</f>
        <v>20410</v>
      </c>
      <c r="E39" s="443"/>
      <c r="F39" s="84">
        <f>IF(N39=0,IF(N38=1,F25+F26+F27+F28+F29+F30+F31+F32+F33+F34+F35+F36+F37+F38," "),IF(M1=1,P39,IF(M1=2,Q39," ")))</f>
        <v>50260</v>
      </c>
      <c r="G39" s="84">
        <f>IF(N39=0,IF(N38=1,G25+G26+G27+G28+G29+G30+G31+G32+G33+G34+G35+G36+G37+G38," "),IF(M1=1,AC39,IF(M1=2,AD39," ")))</f>
        <v>0</v>
      </c>
      <c r="H39" s="84">
        <f t="shared" si="13"/>
        <v>70670</v>
      </c>
      <c r="I39" s="84">
        <f>IF(N39=0,IF(N38=1,SUM(D$25:E38)," "),IF(N39=0," ",IF(N40=1,D$37,IF(N40=0,D$10-D$37*(M$14-13)," "))))</f>
        <v>20410</v>
      </c>
      <c r="J39" s="84">
        <f t="shared" si="14"/>
        <v>50260</v>
      </c>
      <c r="K39" s="84">
        <f t="shared" si="15"/>
        <v>0</v>
      </c>
      <c r="L39" s="84">
        <f t="shared" si="26"/>
        <v>70670</v>
      </c>
      <c r="M39" s="51">
        <f t="shared" si="16"/>
        <v>15</v>
      </c>
      <c r="N39" s="51">
        <f>IF(M1=1,IF(M14&gt;14,1,0),IF(M1=2,IF(M14&gt;14,1,0),0))</f>
        <v>1</v>
      </c>
      <c r="O39" s="51">
        <f t="shared" si="0"/>
        <v>20</v>
      </c>
      <c r="P39" s="56">
        <f t="shared" si="1"/>
        <v>50260</v>
      </c>
      <c r="Q39" s="56">
        <f t="shared" si="2"/>
        <v>50260</v>
      </c>
      <c r="R39" s="56">
        <f t="shared" si="17"/>
        <v>959180</v>
      </c>
      <c r="S39" s="56">
        <f t="shared" si="27"/>
        <v>20410</v>
      </c>
      <c r="T39" s="56">
        <f t="shared" si="28"/>
        <v>20410</v>
      </c>
      <c r="U39" s="56">
        <f t="shared" si="33"/>
        <v>50260.64444444445</v>
      </c>
      <c r="V39" s="56">
        <f t="shared" si="34"/>
        <v>50260.64444444445</v>
      </c>
      <c r="W39" s="56">
        <f t="shared" si="29"/>
        <v>51666.666666666672</v>
      </c>
      <c r="X39" s="56">
        <f t="shared" si="30"/>
        <v>51670</v>
      </c>
      <c r="Y39" s="56">
        <f t="shared" si="18"/>
        <v>959180</v>
      </c>
      <c r="Z39" s="56">
        <f t="shared" si="35"/>
        <v>50260.64444444445</v>
      </c>
      <c r="AA39" s="56">
        <f t="shared" si="19"/>
        <v>50260</v>
      </c>
      <c r="AB39" s="56">
        <f>IF(R40=0,R39*Q12,(R38*20+R39*10))</f>
        <v>29183600</v>
      </c>
      <c r="AC39" s="56">
        <f t="shared" si="3"/>
        <v>0</v>
      </c>
      <c r="AD39" s="56">
        <f t="shared" si="4"/>
        <v>0</v>
      </c>
      <c r="AE39" s="56">
        <f t="shared" si="32"/>
        <v>0</v>
      </c>
      <c r="AF39" s="56">
        <f t="shared" si="20"/>
        <v>0</v>
      </c>
      <c r="AG39" s="56">
        <f t="shared" si="31"/>
        <v>0</v>
      </c>
      <c r="AH39" s="56">
        <f t="shared" si="21"/>
        <v>0</v>
      </c>
      <c r="AI39" s="56">
        <f t="shared" si="5"/>
        <v>959180</v>
      </c>
      <c r="AJ39" s="56">
        <f>IF(N40=1,AI38*G12*20/36000+AI39*G12*10/36000,IF(N40=0,IF(N39=0,0,AI39*G12*Q12/36000+AI38*G12*20/36000+AI39*G12*10/36000)))</f>
        <v>0</v>
      </c>
      <c r="AK39" s="56">
        <f>IF(N40=1,AI38*G12*20/36000+AI39*G12*10/36000,IF(N40=0,IF(N39=0,0,AI39*G12*Q12/36000+AI38*G12*20/36000+AI39*G12*10/36000)))</f>
        <v>0</v>
      </c>
      <c r="AL39" s="57">
        <f t="shared" si="22"/>
        <v>4</v>
      </c>
      <c r="AM39" s="57">
        <f t="shared" si="6"/>
        <v>4</v>
      </c>
      <c r="AN39" s="51">
        <f t="shared" si="23"/>
        <v>2014</v>
      </c>
      <c r="AO39" s="51">
        <f t="shared" si="7"/>
        <v>2014</v>
      </c>
      <c r="AP39" s="51">
        <f t="shared" si="8"/>
        <v>0</v>
      </c>
      <c r="AQ39" s="51">
        <f t="shared" si="9"/>
        <v>30</v>
      </c>
      <c r="AR39" s="51">
        <f t="shared" si="10"/>
        <v>20</v>
      </c>
      <c r="AS39" s="51">
        <f t="shared" si="24"/>
        <v>30</v>
      </c>
      <c r="AT39" s="52"/>
      <c r="AU39" s="52"/>
      <c r="AV39" s="52"/>
      <c r="AW39" s="52"/>
      <c r="AX39" s="52"/>
      <c r="AY39" s="51">
        <f t="shared" si="25"/>
        <v>1</v>
      </c>
      <c r="AZ39" s="52"/>
      <c r="BA39" s="52"/>
      <c r="BB39" s="52"/>
      <c r="BC39" s="52"/>
      <c r="BD39" s="52"/>
      <c r="BE39" s="52"/>
      <c r="BF39" s="52"/>
      <c r="BG39" s="52"/>
      <c r="BH39" s="52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1"/>
        <v>16</v>
      </c>
      <c r="B40" s="268">
        <f t="shared" si="12"/>
        <v>41779</v>
      </c>
      <c r="C40" s="401"/>
      <c r="D40" s="443">
        <f>IF(N40=0,IF(N39=1,D25+D26+D27+D28+D29+D30+D31+D32+D33+D34+D35+D36+D37+D38+D39," "),IF(N40=0," ",IF(N41=1,D37,IF(N41=0,D10-D37*(M14-13)," "))))</f>
        <v>20410</v>
      </c>
      <c r="E40" s="443"/>
      <c r="F40" s="84">
        <f>IF(N40=0,IF(N39=1,F25+F26+F27+F28+F29+F30+F31+F32+F33+F34+F35+F36+F37+F38+F39," "),IF(M1=1,P40,IF(M1=2,Q40," ")))</f>
        <v>49210</v>
      </c>
      <c r="G40" s="84">
        <f>IF(N40=0,IF(N39=1,G25+G26+G27+G28+G29+G30+G31+G32+G33+G34+G35+G36+G37+G38+G39," "),IF(M1=1,AC40,IF(M1=2,AD40," ")))</f>
        <v>0</v>
      </c>
      <c r="H40" s="84">
        <f t="shared" si="13"/>
        <v>69620</v>
      </c>
      <c r="I40" s="84">
        <f>IF(N40=0,IF(N39=1,SUM(D$25:E39)," "),IF(N40=0," ",IF(N41=1,D$37,IF(N41=0,D$10-D$37*(M$14-13)," "))))</f>
        <v>20410</v>
      </c>
      <c r="J40" s="84">
        <f t="shared" si="14"/>
        <v>49210</v>
      </c>
      <c r="K40" s="84">
        <f t="shared" si="15"/>
        <v>0</v>
      </c>
      <c r="L40" s="84">
        <f t="shared" si="26"/>
        <v>69620</v>
      </c>
      <c r="M40" s="51">
        <f t="shared" si="16"/>
        <v>16</v>
      </c>
      <c r="N40" s="51">
        <f>IF(M1=1,IF(M14&gt;15,1,0),IF(M1=2,IF(M14&gt;15,1,0),0))</f>
        <v>1</v>
      </c>
      <c r="O40" s="51">
        <f t="shared" si="0"/>
        <v>20</v>
      </c>
      <c r="P40" s="56">
        <f t="shared" si="1"/>
        <v>49210</v>
      </c>
      <c r="Q40" s="56">
        <f t="shared" si="2"/>
        <v>49210</v>
      </c>
      <c r="R40" s="56">
        <f t="shared" si="17"/>
        <v>938770</v>
      </c>
      <c r="S40" s="56">
        <f t="shared" si="27"/>
        <v>20410</v>
      </c>
      <c r="T40" s="56">
        <f t="shared" si="28"/>
        <v>20410</v>
      </c>
      <c r="U40" s="56">
        <f t="shared" si="33"/>
        <v>49206.12777777778</v>
      </c>
      <c r="V40" s="56">
        <f t="shared" si="34"/>
        <v>49206.12777777778</v>
      </c>
      <c r="W40" s="56">
        <f t="shared" si="29"/>
        <v>51666.666666666672</v>
      </c>
      <c r="X40" s="56">
        <f t="shared" si="30"/>
        <v>51670</v>
      </c>
      <c r="Y40" s="56">
        <f t="shared" si="18"/>
        <v>938770</v>
      </c>
      <c r="Z40" s="56">
        <f t="shared" si="35"/>
        <v>49206.12777777778</v>
      </c>
      <c r="AA40" s="56">
        <f t="shared" si="19"/>
        <v>49210</v>
      </c>
      <c r="AB40" s="56">
        <f>IF(R41=0,R40*Q12,(R39*20+R40*10))</f>
        <v>28571300</v>
      </c>
      <c r="AC40" s="56">
        <f t="shared" si="3"/>
        <v>0</v>
      </c>
      <c r="AD40" s="56">
        <f t="shared" si="4"/>
        <v>0</v>
      </c>
      <c r="AE40" s="56">
        <f t="shared" si="32"/>
        <v>0</v>
      </c>
      <c r="AF40" s="56">
        <f t="shared" si="20"/>
        <v>0</v>
      </c>
      <c r="AG40" s="56">
        <f t="shared" si="31"/>
        <v>0</v>
      </c>
      <c r="AH40" s="56">
        <f t="shared" si="21"/>
        <v>0</v>
      </c>
      <c r="AI40" s="56">
        <f t="shared" si="5"/>
        <v>938770</v>
      </c>
      <c r="AJ40" s="56">
        <f>IF(N41=1,AI39*G12*20/36000+AI40*G12*10/36000,IF(N41=0,IF(N40=0,0,AI40*G12*Q12/36000+AI39*G12*20/36000+AI40*G12*10/36000)))</f>
        <v>0</v>
      </c>
      <c r="AK40" s="56">
        <f>IF(N41=1,AI39*G12*20/36000+AI40*G12*10/36000,IF(N41=0,IF(N40=0,0,AI40*G12*Q12/36000+AI39*G12*20/36000+AI40*G12*10/36000)))</f>
        <v>0</v>
      </c>
      <c r="AL40" s="57">
        <f t="shared" si="22"/>
        <v>5</v>
      </c>
      <c r="AM40" s="57">
        <f t="shared" si="6"/>
        <v>5</v>
      </c>
      <c r="AN40" s="51">
        <f t="shared" si="23"/>
        <v>2014</v>
      </c>
      <c r="AO40" s="51">
        <f t="shared" si="7"/>
        <v>2014</v>
      </c>
      <c r="AP40" s="51">
        <f t="shared" si="8"/>
        <v>0</v>
      </c>
      <c r="AQ40" s="51">
        <f t="shared" si="9"/>
        <v>30</v>
      </c>
      <c r="AR40" s="51">
        <f t="shared" si="10"/>
        <v>20</v>
      </c>
      <c r="AS40" s="51">
        <f t="shared" si="24"/>
        <v>30</v>
      </c>
      <c r="AT40" s="52"/>
      <c r="AU40" s="52"/>
      <c r="AV40" s="52"/>
      <c r="AW40" s="52"/>
      <c r="AX40" s="52"/>
      <c r="AY40" s="51">
        <f t="shared" si="25"/>
        <v>1</v>
      </c>
      <c r="AZ40" s="52"/>
      <c r="BA40" s="52"/>
      <c r="BB40" s="52"/>
      <c r="BC40" s="52"/>
      <c r="BD40" s="52"/>
      <c r="BE40" s="52"/>
      <c r="BF40" s="52"/>
      <c r="BG40" s="52"/>
      <c r="BH40" s="52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1"/>
        <v>17</v>
      </c>
      <c r="B41" s="268">
        <f t="shared" si="12"/>
        <v>41810</v>
      </c>
      <c r="C41" s="401"/>
      <c r="D41" s="443">
        <f>IF(N41=0,IF(N40=1,D25+D26+D27+D28+D29+D30+D31+D32+D33+D34+D35+D36+D37+D38+D39+D40," "),IF(N41=0," ",IF(N42=1,D37,IF(N42=0,D10-D37*(M14-13)," "))))</f>
        <v>20410</v>
      </c>
      <c r="E41" s="443"/>
      <c r="F41" s="84">
        <f>IF(N41=0,IF(N40=1,F25+F26+F27+F28+F29+F30+F31+F32+F33+F34+F36+F35+F37+F38+F39+F40," "),IF(M1=1,P41,IF(M1=2,Q41," ")))</f>
        <v>48150</v>
      </c>
      <c r="G41" s="84">
        <f>IF(N41=0,IF(N40=1,G25+G26+G27+G28+G29+G30+G31+G32+G33+G34+G36+G35+G37+G38+G39+G40," "),IF(M1=1,AC41,IF(M1=2,AD41," ")))</f>
        <v>0</v>
      </c>
      <c r="H41" s="84">
        <f t="shared" si="13"/>
        <v>68560</v>
      </c>
      <c r="I41" s="84">
        <f>IF(N41=0,IF(N40=1,SUM(D$25:E40)," "),IF(N41=0," ",IF(N42=1,D$37,IF(N42=0,D$10-D$37*(M$14-13)," "))))</f>
        <v>20410</v>
      </c>
      <c r="J41" s="84">
        <f t="shared" si="14"/>
        <v>48150</v>
      </c>
      <c r="K41" s="84">
        <f t="shared" si="15"/>
        <v>0</v>
      </c>
      <c r="L41" s="84">
        <f t="shared" si="26"/>
        <v>68560</v>
      </c>
      <c r="M41" s="51">
        <f t="shared" si="16"/>
        <v>17</v>
      </c>
      <c r="N41" s="51">
        <f>IF(M1=1,IF(M14&gt;16,1,0),IF(M1=2,IF(M14&gt;16,1,0),0))</f>
        <v>1</v>
      </c>
      <c r="O41" s="51">
        <f t="shared" si="0"/>
        <v>20</v>
      </c>
      <c r="P41" s="56">
        <f t="shared" si="1"/>
        <v>48150</v>
      </c>
      <c r="Q41" s="56">
        <f t="shared" si="2"/>
        <v>48150</v>
      </c>
      <c r="R41" s="56">
        <f t="shared" si="17"/>
        <v>918360</v>
      </c>
      <c r="S41" s="56">
        <f t="shared" si="27"/>
        <v>20410</v>
      </c>
      <c r="T41" s="56">
        <f t="shared" si="28"/>
        <v>20410</v>
      </c>
      <c r="U41" s="56">
        <f t="shared" si="33"/>
        <v>48151.611111111109</v>
      </c>
      <c r="V41" s="56">
        <f t="shared" si="34"/>
        <v>48151.611111111109</v>
      </c>
      <c r="W41" s="56">
        <f t="shared" si="29"/>
        <v>51666.666666666672</v>
      </c>
      <c r="X41" s="56">
        <f t="shared" si="30"/>
        <v>51670</v>
      </c>
      <c r="Y41" s="56">
        <f t="shared" si="18"/>
        <v>918360</v>
      </c>
      <c r="Z41" s="56">
        <f t="shared" si="35"/>
        <v>48151.611111111109</v>
      </c>
      <c r="AA41" s="56">
        <f t="shared" si="19"/>
        <v>48150</v>
      </c>
      <c r="AB41" s="56">
        <f>IF(R42=0,R41*Q12,(R40*20+R41*10))</f>
        <v>27959000</v>
      </c>
      <c r="AC41" s="56">
        <f t="shared" si="3"/>
        <v>0</v>
      </c>
      <c r="AD41" s="56">
        <f t="shared" si="4"/>
        <v>0</v>
      </c>
      <c r="AE41" s="56">
        <f t="shared" si="32"/>
        <v>0</v>
      </c>
      <c r="AF41" s="56">
        <f t="shared" si="20"/>
        <v>0</v>
      </c>
      <c r="AG41" s="56">
        <f t="shared" si="31"/>
        <v>0</v>
      </c>
      <c r="AH41" s="56">
        <f t="shared" si="21"/>
        <v>0</v>
      </c>
      <c r="AI41" s="56">
        <f t="shared" si="5"/>
        <v>918360</v>
      </c>
      <c r="AJ41" s="56">
        <f>IF(N42=1,AI40*G12*20/36000+AI41*G12*10/36000,IF(N42=0,IF(N41=0,0,AI41*G12*Q12/36000+AI40*G12*20/36000+AI41*G12*10/36000)))</f>
        <v>0</v>
      </c>
      <c r="AK41" s="56">
        <f>IF(N42=1,AI40*G12*20/36000+AI41*G12*10/36000,IF(N42=0,IF(N41=0,0,AI41*G12*Q12/36000+AI40*G12*20/36000+AI41*G12*10/36000)))</f>
        <v>0</v>
      </c>
      <c r="AL41" s="57">
        <f t="shared" si="22"/>
        <v>6</v>
      </c>
      <c r="AM41" s="57">
        <f t="shared" si="6"/>
        <v>6</v>
      </c>
      <c r="AN41" s="51">
        <f t="shared" si="23"/>
        <v>2014</v>
      </c>
      <c r="AO41" s="51">
        <f t="shared" si="7"/>
        <v>2014</v>
      </c>
      <c r="AP41" s="51">
        <f t="shared" si="8"/>
        <v>0</v>
      </c>
      <c r="AQ41" s="51">
        <f t="shared" si="9"/>
        <v>30</v>
      </c>
      <c r="AR41" s="51">
        <f t="shared" si="10"/>
        <v>20</v>
      </c>
      <c r="AS41" s="51">
        <f t="shared" si="24"/>
        <v>30</v>
      </c>
      <c r="AT41" s="52"/>
      <c r="AU41" s="52"/>
      <c r="AV41" s="52"/>
      <c r="AW41" s="52"/>
      <c r="AX41" s="52"/>
      <c r="AY41" s="51">
        <f t="shared" si="25"/>
        <v>1</v>
      </c>
      <c r="AZ41" s="52"/>
      <c r="BA41" s="52"/>
      <c r="BB41" s="52"/>
      <c r="BC41" s="52"/>
      <c r="BD41" s="52"/>
      <c r="BE41" s="52"/>
      <c r="BF41" s="52"/>
      <c r="BG41" s="52"/>
      <c r="BH41" s="52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1"/>
        <v>18</v>
      </c>
      <c r="B42" s="268">
        <f t="shared" si="12"/>
        <v>41840</v>
      </c>
      <c r="C42" s="401"/>
      <c r="D42" s="443">
        <f>IF(N42=0,IF(N41=1,D25+D26+D27+D28+D29+D30+D31+D32+D33+D34+D35+D36+D37+D38+D39+D40+D41," "),IF(N42=0," ",IF(N43=1,D37,IF(N43=0,D10-D37*(M14-13)," "))))</f>
        <v>20410</v>
      </c>
      <c r="E42" s="443"/>
      <c r="F42" s="84">
        <f>IF(N42=0,IF(N41=1,F25+F26+F27+F28+F29+F30+F31+F32+F33+F34+F35+F36+F37+F38+F39+F40+F41," "),IF(M1=1,P42,IF(M1=2,Q42," ")))</f>
        <v>47100</v>
      </c>
      <c r="G42" s="84">
        <f>IF(N42=0,IF(N41=1,G25+G26+G27+G28+G29+G30+G31+G32+G33+G34+G35+G36+G37+G38+G39+G40+G41," "),IF(M1=1,AC42,IF(M1=2,AD42," ")))</f>
        <v>0</v>
      </c>
      <c r="H42" s="84">
        <f t="shared" si="13"/>
        <v>67510</v>
      </c>
      <c r="I42" s="84">
        <f>IF(N42=0,IF(N41=1,SUM(D$25:E41)," "),IF(N42=0," ",IF(N43=1,D$37,IF(N43=0,D$10-D$37*(M$14-13)," "))))</f>
        <v>20410</v>
      </c>
      <c r="J42" s="84">
        <f t="shared" si="14"/>
        <v>47100</v>
      </c>
      <c r="K42" s="84">
        <f t="shared" si="15"/>
        <v>0</v>
      </c>
      <c r="L42" s="84">
        <f t="shared" si="26"/>
        <v>67510</v>
      </c>
      <c r="M42" s="51">
        <f t="shared" si="16"/>
        <v>18</v>
      </c>
      <c r="N42" s="51">
        <f>IF(M1=1,IF(M14&gt;17,1,0),IF(M1=2,IF(M14&gt;17,1,0),0))</f>
        <v>1</v>
      </c>
      <c r="O42" s="51">
        <f t="shared" si="0"/>
        <v>20</v>
      </c>
      <c r="P42" s="56">
        <f t="shared" si="1"/>
        <v>47100</v>
      </c>
      <c r="Q42" s="56">
        <f t="shared" si="2"/>
        <v>47100</v>
      </c>
      <c r="R42" s="56">
        <f t="shared" si="17"/>
        <v>897950</v>
      </c>
      <c r="S42" s="56">
        <f t="shared" si="27"/>
        <v>20410</v>
      </c>
      <c r="T42" s="56">
        <f t="shared" si="28"/>
        <v>20410</v>
      </c>
      <c r="U42" s="56">
        <f t="shared" si="33"/>
        <v>47097.094444444447</v>
      </c>
      <c r="V42" s="56">
        <f t="shared" si="34"/>
        <v>47097.094444444447</v>
      </c>
      <c r="W42" s="56">
        <f t="shared" si="29"/>
        <v>51666.666666666672</v>
      </c>
      <c r="X42" s="56">
        <f t="shared" si="30"/>
        <v>51670</v>
      </c>
      <c r="Y42" s="56">
        <f t="shared" si="18"/>
        <v>897950</v>
      </c>
      <c r="Z42" s="56">
        <f t="shared" si="35"/>
        <v>47097.094444444447</v>
      </c>
      <c r="AA42" s="56">
        <f t="shared" si="19"/>
        <v>47100</v>
      </c>
      <c r="AB42" s="56">
        <f>IF(R43=0,R42*Q12,(R41*20+R42*10))</f>
        <v>27346700</v>
      </c>
      <c r="AC42" s="56">
        <f t="shared" si="3"/>
        <v>0</v>
      </c>
      <c r="AD42" s="56">
        <f t="shared" si="4"/>
        <v>0</v>
      </c>
      <c r="AE42" s="56">
        <f t="shared" si="32"/>
        <v>0</v>
      </c>
      <c r="AF42" s="56">
        <f t="shared" si="20"/>
        <v>0</v>
      </c>
      <c r="AG42" s="56">
        <f t="shared" si="31"/>
        <v>0</v>
      </c>
      <c r="AH42" s="56">
        <f t="shared" si="21"/>
        <v>0</v>
      </c>
      <c r="AI42" s="56">
        <f t="shared" si="5"/>
        <v>897950</v>
      </c>
      <c r="AJ42" s="56">
        <f>IF(N43=1,AI41*G12*20/36000+AI42*G12*10/36000,IF(N43=0,IF(N42=0,0,AI42*G12*Q12/36000+AI41*G12*20/36000+AI42*G12*10/36000)))</f>
        <v>0</v>
      </c>
      <c r="AK42" s="56">
        <f>IF(N43=1,AI41*G12*20/36000+AI42*G12*10/36000,IF(N43=0,IF(N42=0,0,AI42*G12*Q12/36000+AI41*G12*20/36000+AI42*G12*10/36000)))</f>
        <v>0</v>
      </c>
      <c r="AL42" s="57">
        <f t="shared" si="22"/>
        <v>7</v>
      </c>
      <c r="AM42" s="57">
        <f t="shared" si="6"/>
        <v>7</v>
      </c>
      <c r="AN42" s="51">
        <f t="shared" si="23"/>
        <v>2014</v>
      </c>
      <c r="AO42" s="51">
        <f t="shared" si="7"/>
        <v>2014</v>
      </c>
      <c r="AP42" s="51">
        <f t="shared" si="8"/>
        <v>0</v>
      </c>
      <c r="AQ42" s="51">
        <f t="shared" si="9"/>
        <v>30</v>
      </c>
      <c r="AR42" s="51">
        <f t="shared" si="10"/>
        <v>20</v>
      </c>
      <c r="AS42" s="51">
        <f t="shared" si="24"/>
        <v>30</v>
      </c>
      <c r="AT42" s="52"/>
      <c r="AU42" s="52"/>
      <c r="AV42" s="52"/>
      <c r="AW42" s="52"/>
      <c r="AX42" s="52"/>
      <c r="AY42" s="51">
        <f t="shared" si="25"/>
        <v>1</v>
      </c>
      <c r="AZ42" s="52"/>
      <c r="BA42" s="52"/>
      <c r="BB42" s="52"/>
      <c r="BC42" s="52"/>
      <c r="BD42" s="52"/>
      <c r="BE42" s="52"/>
      <c r="BF42" s="52"/>
      <c r="BG42" s="52"/>
      <c r="BH42" s="52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1"/>
        <v>19</v>
      </c>
      <c r="B43" s="268">
        <f t="shared" si="12"/>
        <v>41871</v>
      </c>
      <c r="C43" s="401"/>
      <c r="D43" s="443">
        <f>IF(N43=0,IF(N42=1,D25+D26+D27+D28+D29+D30+D31+D32+D33+D34+D35+D36+D37+D38+D39+D40+D41+D42," "),IF(N43=0," ",IF(N44=1,D37,IF(N44=0,D10-D37*(M14-13)," "))))</f>
        <v>20410</v>
      </c>
      <c r="E43" s="443"/>
      <c r="F43" s="84">
        <f>IF(N43=0,IF(N42=1,F25+F26+F27+F28+F29+F30+F31+F32+F33+F34+F35+F36+F37+F38+F39+F40+F41+F42," "),IF(M1=1,P43,IF(M1=2,Q43," ")))</f>
        <v>46040</v>
      </c>
      <c r="G43" s="84">
        <f>IF(N43=0,IF(N42=1,G25+G26+G27+G28+G29+G30+G31+G32+G33+G34+G35+G36+G37+G38+G39+G40+G41+G42," "),IF(M1=1,AC43,IF(M1=2,AD43," ")))</f>
        <v>0</v>
      </c>
      <c r="H43" s="84">
        <f t="shared" si="13"/>
        <v>66450</v>
      </c>
      <c r="I43" s="84">
        <f>IF(N43=0,IF(N42=1,SUM(D$25:E42)," "),IF(N43=0," ",IF(N44=1,D$37,IF(N44=0,D$10-D$37*(M$14-13)," "))))</f>
        <v>20410</v>
      </c>
      <c r="J43" s="84">
        <f t="shared" si="14"/>
        <v>46040</v>
      </c>
      <c r="K43" s="84">
        <f t="shared" si="15"/>
        <v>0</v>
      </c>
      <c r="L43" s="84">
        <f t="shared" si="26"/>
        <v>66450</v>
      </c>
      <c r="M43" s="51">
        <f t="shared" si="16"/>
        <v>19</v>
      </c>
      <c r="N43" s="51">
        <f>IF(M1=1,IF(M14&gt;18,1,0),IF(M1=2,IF(M14&gt;18,1,0),0))</f>
        <v>1</v>
      </c>
      <c r="O43" s="51">
        <f t="shared" si="0"/>
        <v>20</v>
      </c>
      <c r="P43" s="56">
        <f t="shared" si="1"/>
        <v>46040</v>
      </c>
      <c r="Q43" s="56">
        <f t="shared" si="2"/>
        <v>46040</v>
      </c>
      <c r="R43" s="56">
        <f t="shared" si="17"/>
        <v>877540</v>
      </c>
      <c r="S43" s="56">
        <f t="shared" si="27"/>
        <v>20410</v>
      </c>
      <c r="T43" s="56">
        <f t="shared" si="28"/>
        <v>20410</v>
      </c>
      <c r="U43" s="56">
        <f t="shared" si="33"/>
        <v>46042.577777777784</v>
      </c>
      <c r="V43" s="56">
        <f t="shared" si="34"/>
        <v>46042.577777777784</v>
      </c>
      <c r="W43" s="56">
        <f t="shared" si="29"/>
        <v>51666.666666666672</v>
      </c>
      <c r="X43" s="56">
        <f t="shared" si="30"/>
        <v>51670</v>
      </c>
      <c r="Y43" s="56">
        <f t="shared" si="18"/>
        <v>877540</v>
      </c>
      <c r="Z43" s="56">
        <f t="shared" si="35"/>
        <v>46042.577777777784</v>
      </c>
      <c r="AA43" s="56">
        <f t="shared" si="19"/>
        <v>46040</v>
      </c>
      <c r="AB43" s="56">
        <f>IF(R44=0,R43*Q12,(R42*20+R43*10))</f>
        <v>26734400</v>
      </c>
      <c r="AC43" s="56">
        <f t="shared" si="3"/>
        <v>0</v>
      </c>
      <c r="AD43" s="56">
        <f t="shared" si="4"/>
        <v>0</v>
      </c>
      <c r="AE43" s="56">
        <f t="shared" si="32"/>
        <v>0</v>
      </c>
      <c r="AF43" s="56">
        <f t="shared" si="20"/>
        <v>0</v>
      </c>
      <c r="AG43" s="56">
        <f t="shared" si="31"/>
        <v>0</v>
      </c>
      <c r="AH43" s="56">
        <f t="shared" si="21"/>
        <v>0</v>
      </c>
      <c r="AI43" s="56">
        <f t="shared" si="5"/>
        <v>877540</v>
      </c>
      <c r="AJ43" s="56">
        <f>IF(N44=1,AI42*G$12*20/36000+AI43*G$12*10/36000,IF(N44=0,IF(N43=0,0,AI43*G$12*Q$12/36000)))</f>
        <v>0</v>
      </c>
      <c r="AK43" s="56">
        <f>IF(N44=1,AI42*G$12*20/36000+AI43*G$12*10/36000,IF(N44=0,IF(N43=0,0,AI43*G$12*Q$12/36000)))</f>
        <v>0</v>
      </c>
      <c r="AL43" s="57">
        <f t="shared" si="22"/>
        <v>8</v>
      </c>
      <c r="AM43" s="57">
        <f t="shared" si="6"/>
        <v>8</v>
      </c>
      <c r="AN43" s="51">
        <f t="shared" si="23"/>
        <v>2014</v>
      </c>
      <c r="AO43" s="51">
        <f t="shared" si="7"/>
        <v>2014</v>
      </c>
      <c r="AP43" s="51">
        <f t="shared" si="8"/>
        <v>0</v>
      </c>
      <c r="AQ43" s="51">
        <f t="shared" si="9"/>
        <v>30</v>
      </c>
      <c r="AR43" s="51">
        <f t="shared" si="10"/>
        <v>20</v>
      </c>
      <c r="AS43" s="51">
        <f t="shared" si="24"/>
        <v>30</v>
      </c>
      <c r="AT43" s="52"/>
      <c r="AU43" s="52"/>
      <c r="AV43" s="52"/>
      <c r="AW43" s="52"/>
      <c r="AX43" s="52"/>
      <c r="AY43" s="51">
        <f t="shared" si="25"/>
        <v>1</v>
      </c>
      <c r="AZ43" s="52"/>
      <c r="BA43" s="52"/>
      <c r="BB43" s="52"/>
      <c r="BC43" s="52"/>
      <c r="BD43" s="52"/>
      <c r="BE43" s="52"/>
      <c r="BF43" s="52"/>
      <c r="BG43" s="52"/>
      <c r="BH43" s="52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1"/>
        <v>20</v>
      </c>
      <c r="B44" s="268">
        <f t="shared" si="12"/>
        <v>41902</v>
      </c>
      <c r="C44" s="401"/>
      <c r="D44" s="443">
        <f>IF(N44=0,IF(N43=1,D25+D26+D27+D28+D29+D30+D31+D32+D33+D34+D35+D36+D37+D38+D39+D40+D41+D42+D43," "),IF(N44=0," ",IF(N45=1,D37,IF(N45=0,D10-D37*(M14-13)," "))))</f>
        <v>20410</v>
      </c>
      <c r="E44" s="443"/>
      <c r="F44" s="84">
        <f>IF(N44=0,IF(N43=1,F25+F26+F27+F28+F29+F30+F31+F32+F33+F34+F35+F36+F37+F38+F39+F40+F41+F42+F43," "),IF(M1=1,P44,IF(M1=2,Q44," ")))</f>
        <v>44990</v>
      </c>
      <c r="G44" s="84">
        <f>IF(N44=0,IF(N43=1,G25+G26+G27+G28+G29+G30+G31+G32+G33+G34+G35+G36+G37+G38+G39+G40+G41+G42+G43," "),IF(M1=1,AC44,IF(M1=2,AD44," ")))</f>
        <v>0</v>
      </c>
      <c r="H44" s="84">
        <f t="shared" si="13"/>
        <v>65400</v>
      </c>
      <c r="I44" s="84">
        <f>IF(N44=0,IF(N43=1,SUM(D$25:E43)," "),IF(N44=0," ",IF(N45=1,D$37,IF(N45=0,D$10-D$37*(M$14-13)," "))))</f>
        <v>20410</v>
      </c>
      <c r="J44" s="84">
        <f t="shared" si="14"/>
        <v>44990</v>
      </c>
      <c r="K44" s="84">
        <f t="shared" si="15"/>
        <v>0</v>
      </c>
      <c r="L44" s="84">
        <f t="shared" si="26"/>
        <v>65400</v>
      </c>
      <c r="M44" s="51">
        <f t="shared" si="16"/>
        <v>20</v>
      </c>
      <c r="N44" s="51">
        <f>IF(M1=1,IF(M14&gt;19,1,0),IF(M1=2,IF(M14&gt;19,1,0),0))</f>
        <v>1</v>
      </c>
      <c r="O44" s="51">
        <f t="shared" si="0"/>
        <v>20</v>
      </c>
      <c r="P44" s="56">
        <f t="shared" si="1"/>
        <v>44990</v>
      </c>
      <c r="Q44" s="56">
        <f t="shared" si="2"/>
        <v>44990</v>
      </c>
      <c r="R44" s="56">
        <f t="shared" si="17"/>
        <v>857130</v>
      </c>
      <c r="S44" s="56">
        <f t="shared" si="27"/>
        <v>20410</v>
      </c>
      <c r="T44" s="56">
        <f t="shared" si="28"/>
        <v>20410</v>
      </c>
      <c r="U44" s="56">
        <f t="shared" si="33"/>
        <v>44988.061111111114</v>
      </c>
      <c r="V44" s="56">
        <f t="shared" si="34"/>
        <v>44988.061111111114</v>
      </c>
      <c r="W44" s="56">
        <f t="shared" si="29"/>
        <v>51666.666666666672</v>
      </c>
      <c r="X44" s="56">
        <f t="shared" si="30"/>
        <v>51670</v>
      </c>
      <c r="Y44" s="56">
        <f t="shared" si="18"/>
        <v>857130</v>
      </c>
      <c r="Z44" s="56">
        <f t="shared" si="35"/>
        <v>44988.061111111114</v>
      </c>
      <c r="AA44" s="56">
        <f t="shared" si="19"/>
        <v>44990</v>
      </c>
      <c r="AB44" s="56">
        <f>IF(R45=0,R44*Q12,(R43*20+R44*10))</f>
        <v>26122100</v>
      </c>
      <c r="AC44" s="56">
        <f t="shared" si="3"/>
        <v>0</v>
      </c>
      <c r="AD44" s="56">
        <f t="shared" si="4"/>
        <v>0</v>
      </c>
      <c r="AE44" s="56">
        <f t="shared" si="32"/>
        <v>0</v>
      </c>
      <c r="AF44" s="56">
        <f t="shared" si="20"/>
        <v>0</v>
      </c>
      <c r="AG44" s="56">
        <f t="shared" si="31"/>
        <v>0</v>
      </c>
      <c r="AH44" s="56">
        <f t="shared" si="21"/>
        <v>0</v>
      </c>
      <c r="AI44" s="56">
        <f t="shared" si="5"/>
        <v>857130</v>
      </c>
      <c r="AJ44" s="56">
        <f>IF(N45=1,AI43*G12*20/36000+AI44*G12*10/36000,IF(N45=0,IF(N44=0,0,AI44*G12*Q12/36000+AI43*G12*20/36000+AI44*G12*10/36000)))</f>
        <v>0</v>
      </c>
      <c r="AK44" s="56">
        <f>IF(N45=1,AI43*G12*20/36000+AI44*G12*10/36000,IF(N45=0,IF(N44=0,0,AI44*G12*Q12/36000+AI43*G12*20/36000+AI44*G12*10/36000)))</f>
        <v>0</v>
      </c>
      <c r="AL44" s="57">
        <f t="shared" si="22"/>
        <v>9</v>
      </c>
      <c r="AM44" s="57">
        <f t="shared" si="6"/>
        <v>9</v>
      </c>
      <c r="AN44" s="51">
        <f t="shared" si="23"/>
        <v>2014</v>
      </c>
      <c r="AO44" s="51">
        <f t="shared" si="7"/>
        <v>2014</v>
      </c>
      <c r="AP44" s="51">
        <f t="shared" si="8"/>
        <v>0</v>
      </c>
      <c r="AQ44" s="51">
        <f t="shared" si="9"/>
        <v>30</v>
      </c>
      <c r="AR44" s="51">
        <f t="shared" si="10"/>
        <v>20</v>
      </c>
      <c r="AS44" s="51">
        <f t="shared" si="24"/>
        <v>30</v>
      </c>
      <c r="AT44" s="52"/>
      <c r="AU44" s="52"/>
      <c r="AV44" s="52"/>
      <c r="AW44" s="52"/>
      <c r="AX44" s="52"/>
      <c r="AY44" s="51">
        <f t="shared" si="25"/>
        <v>1</v>
      </c>
      <c r="AZ44" s="52"/>
      <c r="BA44" s="52"/>
      <c r="BB44" s="52"/>
      <c r="BC44" s="52"/>
      <c r="BD44" s="52"/>
      <c r="BE44" s="52"/>
      <c r="BF44" s="52"/>
      <c r="BG44" s="52"/>
      <c r="BH44" s="52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1"/>
        <v>21</v>
      </c>
      <c r="B45" s="268">
        <f t="shared" si="12"/>
        <v>41932</v>
      </c>
      <c r="C45" s="401"/>
      <c r="D45" s="443">
        <f>IF(N45=0,IF(N44=1,D25+D26+D27+D28+D29+D30+D31+D32+D33+D34+D35+D36+D37+D38+D39+D40+D41+D42+D43+D44," "),IF(N45=0," ",IF(N46=1,D37,IF(N46=0,D10-D37*(M14-13)," "))))</f>
        <v>20410</v>
      </c>
      <c r="E45" s="443"/>
      <c r="F45" s="84">
        <f>IF(N45=0,IF(N44=1,F25+F26+F27+F28+F29+F30+F31+F32+F33+F34+F35+F36+F37+F38+F39+F40+F41+F42+F43+F44," "),IF(M1=1,P45,IF(M1=2,Q45," ")))</f>
        <v>43930</v>
      </c>
      <c r="G45" s="84">
        <f>IF(N45=0,IF(N44=1,G25+G26+G27+G28+G29+G30+G31+G32+G33+G34+G35+G36+G37+G38+G39+G40+G41+G42+G43+G44," "),IF(M1=1,AC45,IF(M1=2,AD45," ")))</f>
        <v>0</v>
      </c>
      <c r="H45" s="84">
        <f t="shared" si="13"/>
        <v>64340</v>
      </c>
      <c r="I45" s="84">
        <f>IF(N45=0,IF(N44=1,SUM(D$25:E44)," "),IF(N45=0," ",IF(N46=1,D$37,IF(N46=0,D$10-D$37*(M$14-13)," "))))</f>
        <v>20410</v>
      </c>
      <c r="J45" s="84">
        <f t="shared" si="14"/>
        <v>43930</v>
      </c>
      <c r="K45" s="84">
        <f t="shared" si="15"/>
        <v>0</v>
      </c>
      <c r="L45" s="84">
        <f t="shared" si="26"/>
        <v>64340</v>
      </c>
      <c r="M45" s="51">
        <f t="shared" si="16"/>
        <v>21</v>
      </c>
      <c r="N45" s="51">
        <f>IF(M1=1,IF(M14&gt;20,1,0),IF(M1=2,IF(M14&gt;20,1,0),0))</f>
        <v>1</v>
      </c>
      <c r="O45" s="51">
        <f t="shared" si="0"/>
        <v>20</v>
      </c>
      <c r="P45" s="56">
        <f t="shared" si="1"/>
        <v>43930</v>
      </c>
      <c r="Q45" s="56">
        <f t="shared" si="2"/>
        <v>43930</v>
      </c>
      <c r="R45" s="56">
        <f t="shared" si="17"/>
        <v>836720</v>
      </c>
      <c r="S45" s="56">
        <f t="shared" si="27"/>
        <v>20410</v>
      </c>
      <c r="T45" s="56">
        <f t="shared" si="28"/>
        <v>20410</v>
      </c>
      <c r="U45" s="56">
        <f t="shared" si="33"/>
        <v>43933.544444444444</v>
      </c>
      <c r="V45" s="56">
        <f t="shared" si="34"/>
        <v>43933.544444444444</v>
      </c>
      <c r="W45" s="56">
        <f t="shared" si="29"/>
        <v>51666.666666666672</v>
      </c>
      <c r="X45" s="56">
        <f t="shared" si="30"/>
        <v>51670</v>
      </c>
      <c r="Y45" s="56">
        <f t="shared" si="18"/>
        <v>836720</v>
      </c>
      <c r="Z45" s="56">
        <f t="shared" si="35"/>
        <v>43933.544444444444</v>
      </c>
      <c r="AA45" s="56">
        <f t="shared" si="19"/>
        <v>43930</v>
      </c>
      <c r="AB45" s="56">
        <f>IF(R46=0,R45*Q12,(R44*20+R45*10))</f>
        <v>25509800</v>
      </c>
      <c r="AC45" s="56">
        <f t="shared" si="3"/>
        <v>0</v>
      </c>
      <c r="AD45" s="56">
        <f t="shared" si="4"/>
        <v>0</v>
      </c>
      <c r="AE45" s="56">
        <f t="shared" si="32"/>
        <v>0</v>
      </c>
      <c r="AF45" s="56">
        <f t="shared" si="20"/>
        <v>0</v>
      </c>
      <c r="AG45" s="56">
        <f t="shared" si="31"/>
        <v>0</v>
      </c>
      <c r="AH45" s="56">
        <f t="shared" si="21"/>
        <v>0</v>
      </c>
      <c r="AI45" s="56">
        <f t="shared" si="5"/>
        <v>836720</v>
      </c>
      <c r="AJ45" s="56">
        <f>IF(N46=1,AI44*G12*20/36000+AI45*G12*10/36000,IF(N46=0,IF(N45=0,0,AI45*G12*Q12/36000+AI44*G12*20/36000+AI45*G12*10/36000)))</f>
        <v>0</v>
      </c>
      <c r="AK45" s="56">
        <f>IF(N46=1,AI44*G12*20/36000+AI45*G12*10/36000,IF(N46=0,IF(N45=0,0,AI45*G12*Q12/36000+AI44*G12*20/36000+AI45*G12*10/36000)))</f>
        <v>0</v>
      </c>
      <c r="AL45" s="57">
        <f t="shared" si="22"/>
        <v>10</v>
      </c>
      <c r="AM45" s="57">
        <f t="shared" si="6"/>
        <v>10</v>
      </c>
      <c r="AN45" s="51">
        <f t="shared" si="23"/>
        <v>2014</v>
      </c>
      <c r="AO45" s="51">
        <f t="shared" si="7"/>
        <v>2014</v>
      </c>
      <c r="AP45" s="51">
        <f t="shared" si="8"/>
        <v>0</v>
      </c>
      <c r="AQ45" s="51">
        <f t="shared" si="9"/>
        <v>30</v>
      </c>
      <c r="AR45" s="51">
        <f t="shared" si="10"/>
        <v>20</v>
      </c>
      <c r="AS45" s="51">
        <f t="shared" si="24"/>
        <v>30</v>
      </c>
      <c r="AT45" s="52"/>
      <c r="AU45" s="52"/>
      <c r="AV45" s="52"/>
      <c r="AW45" s="52"/>
      <c r="AX45" s="52"/>
      <c r="AY45" s="51">
        <f t="shared" si="25"/>
        <v>1</v>
      </c>
      <c r="AZ45" s="52"/>
      <c r="BA45" s="52"/>
      <c r="BB45" s="52"/>
      <c r="BC45" s="52"/>
      <c r="BD45" s="52"/>
      <c r="BE45" s="52"/>
      <c r="BF45" s="52"/>
      <c r="BG45" s="52"/>
      <c r="BH45" s="52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1"/>
        <v>22</v>
      </c>
      <c r="B46" s="268">
        <f t="shared" si="12"/>
        <v>41963</v>
      </c>
      <c r="C46" s="401"/>
      <c r="D46" s="443">
        <f>IF(N46=0,IF(N45=1,D25+D26+D27+D28+D29+D30+D31+D32+D33+D34+D35+D36+D37+D38+D39+D40+D41+D42+D43+D44+D45," "),IF(N46=0," ",IF(N47=1,D37,IF(N47=0,D10-D37*(M14-13)," "))))</f>
        <v>20410</v>
      </c>
      <c r="E46" s="443"/>
      <c r="F46" s="84">
        <f>IF(N46=0,IF(N45=1,F25+F26+F27+F28+F29+F30+F31+F32+F33+F34+F35+F36+F37+F38+F39+F40+F41+F42+F43+F44+F45," "),IF(M1=1,P46,IF(M1=2,Q46," ")))</f>
        <v>42880</v>
      </c>
      <c r="G46" s="84">
        <f>IF(N46=0,IF(N45=1,G25+G26+G27+G28+G29+G30+G31+G32+G33+G34+G35+G36+G37+G38+G39+G40+G41+G42+G43+G44+G45," "),IF(M1=1,AC46,IF(M1=2,AD46," ")))</f>
        <v>0</v>
      </c>
      <c r="H46" s="84">
        <f t="shared" si="13"/>
        <v>63290</v>
      </c>
      <c r="I46" s="84">
        <f>IF(N46=0,IF(N45=1,SUM(D$25:E45)," "),IF(N46=0," ",IF(N47=1,D$37,IF(N47=0,D$10-D$37*(M$14-13)," "))))</f>
        <v>20410</v>
      </c>
      <c r="J46" s="84">
        <f t="shared" si="14"/>
        <v>42880</v>
      </c>
      <c r="K46" s="84">
        <f t="shared" si="15"/>
        <v>0</v>
      </c>
      <c r="L46" s="84">
        <f t="shared" si="26"/>
        <v>63290</v>
      </c>
      <c r="M46" s="51">
        <f t="shared" si="16"/>
        <v>22</v>
      </c>
      <c r="N46" s="51">
        <f>IF(M1=1,IF(M14&gt;21,1,0),IF(M1=2,IF(M14&gt;21,1,0),0))</f>
        <v>1</v>
      </c>
      <c r="O46" s="51">
        <f t="shared" si="0"/>
        <v>20</v>
      </c>
      <c r="P46" s="56">
        <f t="shared" si="1"/>
        <v>42880</v>
      </c>
      <c r="Q46" s="56">
        <f t="shared" si="2"/>
        <v>42880</v>
      </c>
      <c r="R46" s="56">
        <f t="shared" si="17"/>
        <v>816310</v>
      </c>
      <c r="S46" s="56">
        <f t="shared" si="27"/>
        <v>20410</v>
      </c>
      <c r="T46" s="56">
        <f t="shared" si="28"/>
        <v>20410</v>
      </c>
      <c r="U46" s="56">
        <f t="shared" si="33"/>
        <v>42879.027777777774</v>
      </c>
      <c r="V46" s="56">
        <f t="shared" si="34"/>
        <v>42879.027777777774</v>
      </c>
      <c r="W46" s="56">
        <f t="shared" si="29"/>
        <v>51666.666666666672</v>
      </c>
      <c r="X46" s="56">
        <f t="shared" si="30"/>
        <v>51670</v>
      </c>
      <c r="Y46" s="56">
        <f t="shared" si="18"/>
        <v>816310</v>
      </c>
      <c r="Z46" s="56">
        <f t="shared" si="35"/>
        <v>42879.027777777774</v>
      </c>
      <c r="AA46" s="56">
        <f t="shared" si="19"/>
        <v>42880</v>
      </c>
      <c r="AB46" s="56">
        <f>IF(R47=0,R46*Q12,(R45*20+R46*10))</f>
        <v>24897500</v>
      </c>
      <c r="AC46" s="56">
        <f t="shared" si="3"/>
        <v>0</v>
      </c>
      <c r="AD46" s="56">
        <f t="shared" si="4"/>
        <v>0</v>
      </c>
      <c r="AE46" s="56">
        <f t="shared" si="32"/>
        <v>0</v>
      </c>
      <c r="AF46" s="56">
        <f t="shared" si="20"/>
        <v>0</v>
      </c>
      <c r="AG46" s="56">
        <f t="shared" si="31"/>
        <v>0</v>
      </c>
      <c r="AH46" s="56">
        <f t="shared" si="21"/>
        <v>0</v>
      </c>
      <c r="AI46" s="56">
        <f t="shared" si="5"/>
        <v>816310</v>
      </c>
      <c r="AJ46" s="56">
        <f>IF(N47=1,AI45*G12*20/36000+AI46*G12*10/36000,IF(N47=0,IF(N46=0,0,AI46*G12*Q12/36000+AI45*G12*20/36000+AI46*G12*10/36000)))</f>
        <v>0</v>
      </c>
      <c r="AK46" s="56">
        <f>IF(N47=1,AI45*G12*20/36000+AI46*G12*10/36000,IF(N47=0,IF(N46=0,0,AI46*G12*Q12/36000+AI45*G12*20/36000+AI46*G12*10/36000)))</f>
        <v>0</v>
      </c>
      <c r="AL46" s="57">
        <f t="shared" si="22"/>
        <v>11</v>
      </c>
      <c r="AM46" s="57">
        <f t="shared" si="6"/>
        <v>11</v>
      </c>
      <c r="AN46" s="51">
        <f t="shared" si="23"/>
        <v>2014</v>
      </c>
      <c r="AO46" s="51">
        <f t="shared" si="7"/>
        <v>2014</v>
      </c>
      <c r="AP46" s="51">
        <f t="shared" si="8"/>
        <v>0</v>
      </c>
      <c r="AQ46" s="51">
        <f t="shared" si="9"/>
        <v>30</v>
      </c>
      <c r="AR46" s="51">
        <f t="shared" si="10"/>
        <v>20</v>
      </c>
      <c r="AS46" s="51">
        <f t="shared" si="24"/>
        <v>30</v>
      </c>
      <c r="AT46" s="52"/>
      <c r="AU46" s="52"/>
      <c r="AV46" s="52"/>
      <c r="AW46" s="52"/>
      <c r="AX46" s="52"/>
      <c r="AY46" s="51">
        <f t="shared" si="25"/>
        <v>1</v>
      </c>
      <c r="AZ46" s="52"/>
      <c r="BA46" s="52"/>
      <c r="BB46" s="52"/>
      <c r="BC46" s="52"/>
      <c r="BD46" s="52"/>
      <c r="BE46" s="52"/>
      <c r="BF46" s="52"/>
      <c r="BG46" s="52"/>
      <c r="BH46" s="52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1"/>
        <v>23</v>
      </c>
      <c r="B47" s="268">
        <f t="shared" si="12"/>
        <v>41993</v>
      </c>
      <c r="C47" s="401"/>
      <c r="D47" s="443">
        <f>IF(N47=0,IF(N46=1,D25+D26+D27+D28+D29+D30+D31+D32+D33+D34+D35+D36+D37+D38+D39+D40+D41+D42+D43+D44+D45+D46," "),IF(N47=0," ",IF(N48=1,D37,IF(N48=0,D10-D37*(M14-13)," "))))</f>
        <v>20410</v>
      </c>
      <c r="E47" s="443"/>
      <c r="F47" s="84">
        <f>IF(N47=0,IF(N46=1,F25+F26+F27+F28+F29+F30+F31+F32+F33+F34+F35+F36+F37+F38+F39+F40+F41+F42+F43+F44+F45+F46," "),IF(M1=1,P47,IF(M1=2,Q47," ")))</f>
        <v>41820</v>
      </c>
      <c r="G47" s="84">
        <f>IF(N47=0,IF(N46=1,G25+G26+G27+G28+G29+G30+G31+G32+G33+G34+G35+G36+G37+G38+G39+G40+G41+G42+G43+G44+G45+G46," "),IF(M1=1,AC47,IF(M1=2,AD47," ")))</f>
        <v>0</v>
      </c>
      <c r="H47" s="84">
        <f t="shared" si="13"/>
        <v>62230</v>
      </c>
      <c r="I47" s="84">
        <f>IF(N47=0,IF(N46=1,SUM(D$25:E46)," "),IF(N47=0," ",IF(N48=1,D$37,IF(N48=0,D$10-D$37*(M$14-13)," "))))</f>
        <v>20410</v>
      </c>
      <c r="J47" s="84">
        <f t="shared" si="14"/>
        <v>41820</v>
      </c>
      <c r="K47" s="84">
        <f t="shared" si="15"/>
        <v>0</v>
      </c>
      <c r="L47" s="84">
        <f t="shared" si="26"/>
        <v>62230</v>
      </c>
      <c r="M47" s="51">
        <f t="shared" si="16"/>
        <v>23</v>
      </c>
      <c r="N47" s="51">
        <f>IF(M1=1,IF(M14&gt;22,1,0),IF(M1=2,IF(M14&gt;22,1,0),0))</f>
        <v>1</v>
      </c>
      <c r="O47" s="51">
        <f t="shared" si="0"/>
        <v>20</v>
      </c>
      <c r="P47" s="56">
        <f t="shared" si="1"/>
        <v>41820</v>
      </c>
      <c r="Q47" s="56">
        <f t="shared" si="2"/>
        <v>41820</v>
      </c>
      <c r="R47" s="56">
        <f t="shared" si="17"/>
        <v>795900</v>
      </c>
      <c r="S47" s="56">
        <f t="shared" si="27"/>
        <v>20410</v>
      </c>
      <c r="T47" s="56">
        <f t="shared" si="28"/>
        <v>20410</v>
      </c>
      <c r="U47" s="56">
        <f t="shared" si="33"/>
        <v>41824.511111111111</v>
      </c>
      <c r="V47" s="56">
        <f t="shared" si="34"/>
        <v>41824.511111111111</v>
      </c>
      <c r="W47" s="56">
        <f t="shared" si="29"/>
        <v>51666.666666666672</v>
      </c>
      <c r="X47" s="56">
        <f t="shared" si="30"/>
        <v>51670</v>
      </c>
      <c r="Y47" s="56">
        <f t="shared" si="18"/>
        <v>795900</v>
      </c>
      <c r="Z47" s="56">
        <f t="shared" si="35"/>
        <v>41824.511111111111</v>
      </c>
      <c r="AA47" s="56">
        <f t="shared" si="19"/>
        <v>41820</v>
      </c>
      <c r="AB47" s="56">
        <f>IF(R48=0,R47*Q12,(R46*20+R47*10))</f>
        <v>24285200</v>
      </c>
      <c r="AC47" s="56">
        <f t="shared" si="3"/>
        <v>0</v>
      </c>
      <c r="AD47" s="56">
        <f t="shared" si="4"/>
        <v>0</v>
      </c>
      <c r="AE47" s="56">
        <f t="shared" si="32"/>
        <v>0</v>
      </c>
      <c r="AF47" s="56">
        <f t="shared" si="20"/>
        <v>0</v>
      </c>
      <c r="AG47" s="56">
        <f t="shared" si="31"/>
        <v>0</v>
      </c>
      <c r="AH47" s="56">
        <f t="shared" si="21"/>
        <v>0</v>
      </c>
      <c r="AI47" s="56">
        <f t="shared" si="5"/>
        <v>795900</v>
      </c>
      <c r="AJ47" s="56">
        <f>IF(N48=1,AI46*G12*20/36000+AI47*G12*10/36000,IF(N48=0,IF(N47=0,0,AI47*G12*Q12/36000+AI46*G12*20/36000+AI47*G12*10/36000)))</f>
        <v>0</v>
      </c>
      <c r="AK47" s="56">
        <f>IF(N48=1,AI46*G12*20/36000+AI47*G12*10/36000,IF(N48=0,IF(N47=0,0,AI47*G12*Q12/36000+AI46*G12*20/36000+AI47*G12*10/36000)))</f>
        <v>0</v>
      </c>
      <c r="AL47" s="57">
        <f t="shared" si="22"/>
        <v>12</v>
      </c>
      <c r="AM47" s="57">
        <f t="shared" si="6"/>
        <v>12</v>
      </c>
      <c r="AN47" s="51">
        <f t="shared" si="23"/>
        <v>2014</v>
      </c>
      <c r="AO47" s="51">
        <f t="shared" si="7"/>
        <v>2014</v>
      </c>
      <c r="AP47" s="51">
        <f t="shared" si="8"/>
        <v>0</v>
      </c>
      <c r="AQ47" s="51">
        <f t="shared" si="9"/>
        <v>30</v>
      </c>
      <c r="AR47" s="51">
        <f t="shared" si="10"/>
        <v>20</v>
      </c>
      <c r="AS47" s="51">
        <f t="shared" si="24"/>
        <v>30</v>
      </c>
      <c r="AT47" s="52"/>
      <c r="AU47" s="52"/>
      <c r="AV47" s="52"/>
      <c r="AW47" s="52"/>
      <c r="AX47" s="52"/>
      <c r="AY47" s="51">
        <f t="shared" si="25"/>
        <v>1</v>
      </c>
      <c r="AZ47" s="52"/>
      <c r="BA47" s="52"/>
      <c r="BB47" s="52"/>
      <c r="BC47" s="52"/>
      <c r="BD47" s="52"/>
      <c r="BE47" s="52"/>
      <c r="BF47" s="52"/>
      <c r="BG47" s="52"/>
      <c r="BH47" s="52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1"/>
        <v>24</v>
      </c>
      <c r="B48" s="268">
        <f t="shared" si="12"/>
        <v>42024</v>
      </c>
      <c r="C48" s="401"/>
      <c r="D48" s="443">
        <f>IF(N48=0,IF(N47=1,SUM(D$25:E47)," "),IF(N48=0," ",IF(N49=1,D$37,IF(N49=0,D$10-D$37*(M$14-13)," "))))</f>
        <v>20410</v>
      </c>
      <c r="E48" s="443"/>
      <c r="F48" s="84">
        <f>IF(N48=0,IF(N47=1,SUM(F$25:F47)," "),IF(M$1=1,P48,IF(M$1=2,Q48," ")))</f>
        <v>40770</v>
      </c>
      <c r="G48" s="84">
        <f>IF(N48=0,IF(N47=1,SUM(G$25:G47)," "),IF(M$1=1,AC48,IF(M$1=2,AD48," ")))</f>
        <v>0</v>
      </c>
      <c r="H48" s="84">
        <f t="shared" si="13"/>
        <v>61180</v>
      </c>
      <c r="I48" s="84">
        <f>IF(N48=0,IF(N47=1,SUM(D$25:E47)," "),IF(N48=0," ",IF(N49=1,D$37,IF(N49=0,D$10-D$37*(M$14-13)," "))))</f>
        <v>20410</v>
      </c>
      <c r="J48" s="84">
        <f t="shared" si="14"/>
        <v>40770</v>
      </c>
      <c r="K48" s="84">
        <f t="shared" si="15"/>
        <v>0</v>
      </c>
      <c r="L48" s="84">
        <f t="shared" si="26"/>
        <v>61180</v>
      </c>
      <c r="M48" s="51">
        <f t="shared" si="16"/>
        <v>24</v>
      </c>
      <c r="N48" s="51">
        <f t="shared" ref="N48:N85" si="36">IF(M$1=1,IF(M$14&gt;M47,1,0),IF(M$1=2,IF(M$14&gt;M47,1,0),0))</f>
        <v>1</v>
      </c>
      <c r="O48" s="51">
        <f t="shared" si="0"/>
        <v>20</v>
      </c>
      <c r="P48" s="56">
        <f t="shared" si="1"/>
        <v>40770</v>
      </c>
      <c r="Q48" s="56">
        <f t="shared" si="2"/>
        <v>40770</v>
      </c>
      <c r="R48" s="56">
        <f t="shared" si="17"/>
        <v>775490</v>
      </c>
      <c r="S48" s="56">
        <f t="shared" si="27"/>
        <v>20410</v>
      </c>
      <c r="T48" s="56">
        <f t="shared" si="28"/>
        <v>20410</v>
      </c>
      <c r="U48" s="56">
        <f t="shared" si="33"/>
        <v>40769.994444444441</v>
      </c>
      <c r="V48" s="56">
        <f t="shared" si="34"/>
        <v>40769.994444444441</v>
      </c>
      <c r="W48" s="56">
        <f t="shared" si="29"/>
        <v>51666.666666666672</v>
      </c>
      <c r="X48" s="56">
        <f t="shared" si="30"/>
        <v>51670</v>
      </c>
      <c r="Y48" s="56">
        <f t="shared" si="18"/>
        <v>775490</v>
      </c>
      <c r="Z48" s="56">
        <f t="shared" si="35"/>
        <v>40769.994444444441</v>
      </c>
      <c r="AA48" s="56">
        <f t="shared" si="19"/>
        <v>40770</v>
      </c>
      <c r="AB48" s="56">
        <f t="shared" ref="AB48:AB72" si="37">IF(R49=0,R48*Q$12,(R47*20+R48*10))</f>
        <v>23672900</v>
      </c>
      <c r="AC48" s="56">
        <f t="shared" si="3"/>
        <v>0</v>
      </c>
      <c r="AD48" s="56">
        <f t="shared" si="4"/>
        <v>0</v>
      </c>
      <c r="AE48" s="56">
        <f t="shared" si="32"/>
        <v>0</v>
      </c>
      <c r="AF48" s="56">
        <f t="shared" si="20"/>
        <v>0</v>
      </c>
      <c r="AG48" s="56">
        <f t="shared" si="31"/>
        <v>0</v>
      </c>
      <c r="AH48" s="56">
        <f t="shared" si="21"/>
        <v>0</v>
      </c>
      <c r="AI48" s="56">
        <f t="shared" si="5"/>
        <v>775490</v>
      </c>
      <c r="AJ48" s="56">
        <f>IF(N49=1,AI47*G$12*20/36000+AI48*G$12*10/36000,IF(N49=0,IF(N48=0,0,AI48*G$12*Q$12/36000+AI47*G$12*20/36000+AI48*G$12*10/36000)))</f>
        <v>0</v>
      </c>
      <c r="AK48" s="56">
        <f>IF(N49=1,AI47*G$12*20/36000+AI48*G$12*10/36000,IF(N49=0,IF(N48=0,0,AI48*G$12*Q$12/36000+AI47*G$12*20/36000+AI48*G$12*10/36000)))</f>
        <v>0</v>
      </c>
      <c r="AL48" s="57">
        <f t="shared" si="22"/>
        <v>13</v>
      </c>
      <c r="AM48" s="57">
        <f t="shared" si="6"/>
        <v>1</v>
      </c>
      <c r="AN48" s="51">
        <f t="shared" si="23"/>
        <v>2014</v>
      </c>
      <c r="AO48" s="51">
        <f t="shared" si="7"/>
        <v>2015</v>
      </c>
      <c r="AP48" s="51">
        <f t="shared" si="8"/>
        <v>0</v>
      </c>
      <c r="AQ48" s="51">
        <f t="shared" si="9"/>
        <v>30</v>
      </c>
      <c r="AR48" s="51">
        <f t="shared" si="10"/>
        <v>20</v>
      </c>
      <c r="AS48" s="51">
        <f t="shared" si="24"/>
        <v>30</v>
      </c>
      <c r="AT48" s="52"/>
      <c r="AU48" s="52"/>
      <c r="AV48" s="52"/>
      <c r="AW48" s="52"/>
      <c r="AX48" s="52"/>
      <c r="AY48" s="51">
        <f t="shared" si="25"/>
        <v>1</v>
      </c>
      <c r="AZ48" s="52"/>
      <c r="BA48" s="52"/>
      <c r="BB48" s="52"/>
      <c r="BC48" s="52"/>
      <c r="BD48" s="52"/>
      <c r="BE48" s="52"/>
      <c r="BF48" s="52"/>
      <c r="BG48" s="52"/>
      <c r="BH48" s="52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si="12"/>
        <v>42055</v>
      </c>
      <c r="C49" s="401"/>
      <c r="D49" s="443">
        <f>IF(N49=0,IF(N48=1,SUM(D$25:E48)," "),IF(N49=0," ",IF(N50=1,D$37,IF(N50=0,D$10-D$37*(M$14-13)," "))))</f>
        <v>20410</v>
      </c>
      <c r="E49" s="443"/>
      <c r="F49" s="84">
        <f>IF(N49=0,IF(N48=1,SUM(F$25:F48)," "),IF(M$1=1,P49,IF(M$1=2,Q49," ")))</f>
        <v>39710</v>
      </c>
      <c r="G49" s="84">
        <f>IF(N49=0,IF(N48=1,SUM(G$25:G48)," "),IF(M$1=1,AC49,IF(M$1=2,AD49," ")))</f>
        <v>0</v>
      </c>
      <c r="H49" s="84">
        <f t="shared" si="13"/>
        <v>60120</v>
      </c>
      <c r="I49" s="84">
        <f>IF(N49=0,IF(N48=1,SUM(D$25:E48)," "),IF(N49=0," ",IF(N50=1,D$37,IF(N50=0,D$10-D$37*(M$14-13)," "))))</f>
        <v>20410</v>
      </c>
      <c r="J49" s="84">
        <f t="shared" si="14"/>
        <v>39710</v>
      </c>
      <c r="K49" s="84">
        <f t="shared" si="15"/>
        <v>0</v>
      </c>
      <c r="L49" s="84">
        <f t="shared" si="26"/>
        <v>60120</v>
      </c>
      <c r="M49" s="51">
        <v>25</v>
      </c>
      <c r="N49" s="51">
        <f t="shared" si="36"/>
        <v>1</v>
      </c>
      <c r="O49" s="51">
        <f t="shared" si="0"/>
        <v>20</v>
      </c>
      <c r="P49" s="56">
        <f t="shared" si="1"/>
        <v>39710</v>
      </c>
      <c r="Q49" s="56">
        <f t="shared" si="2"/>
        <v>39710</v>
      </c>
      <c r="R49" s="56">
        <f t="shared" si="17"/>
        <v>755080</v>
      </c>
      <c r="S49" s="56">
        <f t="shared" si="27"/>
        <v>20410</v>
      </c>
      <c r="T49" s="56">
        <f t="shared" si="28"/>
        <v>20410</v>
      </c>
      <c r="U49" s="56">
        <f t="shared" si="33"/>
        <v>39715.477777777778</v>
      </c>
      <c r="V49" s="56">
        <f t="shared" si="34"/>
        <v>39715.477777777778</v>
      </c>
      <c r="W49" s="56">
        <f t="shared" si="29"/>
        <v>51666.666666666672</v>
      </c>
      <c r="X49" s="56">
        <f t="shared" si="30"/>
        <v>51670</v>
      </c>
      <c r="Y49" s="56">
        <f t="shared" si="18"/>
        <v>755080</v>
      </c>
      <c r="Z49" s="56">
        <f t="shared" si="35"/>
        <v>39715.477777777778</v>
      </c>
      <c r="AA49" s="56">
        <f t="shared" si="19"/>
        <v>39710</v>
      </c>
      <c r="AB49" s="56">
        <f t="shared" si="37"/>
        <v>23060600</v>
      </c>
      <c r="AC49" s="56">
        <f t="shared" si="3"/>
        <v>0</v>
      </c>
      <c r="AD49" s="56">
        <f t="shared" si="4"/>
        <v>0</v>
      </c>
      <c r="AE49" s="56">
        <f t="shared" si="32"/>
        <v>0</v>
      </c>
      <c r="AF49" s="56">
        <f t="shared" si="20"/>
        <v>0</v>
      </c>
      <c r="AG49" s="56">
        <f t="shared" si="31"/>
        <v>0</v>
      </c>
      <c r="AH49" s="56">
        <f t="shared" si="21"/>
        <v>0</v>
      </c>
      <c r="AI49" s="56">
        <f t="shared" si="5"/>
        <v>755080</v>
      </c>
      <c r="AJ49" s="56">
        <f>IF(N50=1,AI48*G$12*20/36000+AI49*G$12*10/36000,IF(N50=0,IF(N49=0,0,AI49*G$12*Q$12/36000)))</f>
        <v>0</v>
      </c>
      <c r="AK49" s="56">
        <f>IF(N50=1,AI48*G$12*20/36000+AI49*G$12*10/36000,IF(N50=0,IF(N49=0,0,AI49*G$12*Q$12/36000)))</f>
        <v>0</v>
      </c>
      <c r="AL49" s="57">
        <f t="shared" si="22"/>
        <v>2</v>
      </c>
      <c r="AM49" s="57">
        <f t="shared" si="6"/>
        <v>2</v>
      </c>
      <c r="AN49" s="51">
        <f t="shared" si="23"/>
        <v>2015</v>
      </c>
      <c r="AO49" s="51">
        <f t="shared" si="7"/>
        <v>2015</v>
      </c>
      <c r="AP49" s="51">
        <f t="shared" si="8"/>
        <v>0</v>
      </c>
      <c r="AQ49" s="51">
        <f t="shared" si="9"/>
        <v>28</v>
      </c>
      <c r="AR49" s="51">
        <f t="shared" si="10"/>
        <v>20</v>
      </c>
      <c r="AS49" s="51">
        <f t="shared" si="24"/>
        <v>30</v>
      </c>
      <c r="AT49" s="51"/>
      <c r="AU49" s="51"/>
      <c r="AV49" s="51"/>
      <c r="AW49" s="51"/>
      <c r="AX49" s="51"/>
      <c r="AY49" s="51">
        <f t="shared" si="25"/>
        <v>1</v>
      </c>
      <c r="AZ49" s="51"/>
      <c r="BA49" s="51"/>
      <c r="BB49" s="51"/>
      <c r="BC49" s="51"/>
      <c r="BD49" s="51"/>
      <c r="BE49" s="51"/>
      <c r="BF49" s="51"/>
      <c r="BG49" s="51"/>
      <c r="BH49" s="51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si="12"/>
        <v>42083</v>
      </c>
      <c r="C50" s="401"/>
      <c r="D50" s="443">
        <f>IF(N50=0,IF(N49=1,SUM(D$25:E49)," "),IF(N50=0," ",IF(N51=1,D$37,IF(N51=0,D$10-D$37*(M$14-13)," "))))</f>
        <v>20410</v>
      </c>
      <c r="E50" s="443"/>
      <c r="F50" s="84">
        <f>IF(N50=0,IF(N49=1,SUM(F$25:F49)," "),IF(M$1=1,P50,IF(M$1=2,Q50," ")))</f>
        <v>38660</v>
      </c>
      <c r="G50" s="84">
        <f>IF(N50=0,IF(N49=1,SUM(G$25:G49)," "),IF(M$1=1,AC50,IF(M$1=2,AD50," ")))</f>
        <v>0</v>
      </c>
      <c r="H50" s="84">
        <f t="shared" si="13"/>
        <v>59070</v>
      </c>
      <c r="I50" s="84">
        <f>IF(N50=0,IF(N49=1,SUM(D$25:E49)," "),IF(N50=0," ",IF(N51=1,D$37,IF(N51=0,D$10-D$37*(M$14-13)," "))))</f>
        <v>20410</v>
      </c>
      <c r="J50" s="84">
        <f t="shared" si="14"/>
        <v>38660</v>
      </c>
      <c r="K50" s="84">
        <f t="shared" si="15"/>
        <v>0</v>
      </c>
      <c r="L50" s="84">
        <f t="shared" si="26"/>
        <v>59070</v>
      </c>
      <c r="M50" s="51">
        <v>26</v>
      </c>
      <c r="N50" s="51">
        <f t="shared" si="36"/>
        <v>1</v>
      </c>
      <c r="O50" s="51">
        <f t="shared" si="0"/>
        <v>20</v>
      </c>
      <c r="P50" s="56">
        <f t="shared" si="1"/>
        <v>38660</v>
      </c>
      <c r="Q50" s="56">
        <f t="shared" si="2"/>
        <v>38660</v>
      </c>
      <c r="R50" s="56">
        <f t="shared" si="17"/>
        <v>734670</v>
      </c>
      <c r="S50" s="56">
        <f t="shared" si="27"/>
        <v>20410</v>
      </c>
      <c r="T50" s="56">
        <f t="shared" si="28"/>
        <v>20410</v>
      </c>
      <c r="U50" s="56">
        <f t="shared" si="33"/>
        <v>38660.961111111108</v>
      </c>
      <c r="V50" s="56">
        <f t="shared" si="34"/>
        <v>38660.961111111108</v>
      </c>
      <c r="W50" s="56">
        <f t="shared" si="29"/>
        <v>51666.666666666672</v>
      </c>
      <c r="X50" s="56">
        <f t="shared" si="30"/>
        <v>51670</v>
      </c>
      <c r="Y50" s="56">
        <f t="shared" si="18"/>
        <v>734670</v>
      </c>
      <c r="Z50" s="56">
        <f t="shared" si="35"/>
        <v>38660.961111111108</v>
      </c>
      <c r="AA50" s="56">
        <f t="shared" si="19"/>
        <v>38660</v>
      </c>
      <c r="AB50" s="56">
        <f t="shared" si="37"/>
        <v>22448300</v>
      </c>
      <c r="AC50" s="56">
        <f t="shared" si="3"/>
        <v>0</v>
      </c>
      <c r="AD50" s="56">
        <f t="shared" si="4"/>
        <v>0</v>
      </c>
      <c r="AE50" s="56">
        <f t="shared" si="32"/>
        <v>0</v>
      </c>
      <c r="AF50" s="56">
        <f t="shared" si="20"/>
        <v>0</v>
      </c>
      <c r="AG50" s="56">
        <f t="shared" si="31"/>
        <v>0</v>
      </c>
      <c r="AH50" s="56">
        <f t="shared" si="21"/>
        <v>0</v>
      </c>
      <c r="AI50" s="56">
        <f t="shared" si="5"/>
        <v>734670</v>
      </c>
      <c r="AJ50" s="56">
        <f t="shared" ref="AJ50:AJ60" si="38">IF(N51=1,AI49*G$12*20/36000+AI50*G$12*10/36000,IF(N51=0,IF(N50=0,0,AI50*G$12*Q$12/36000+AI49*G$12*20/36000+AI50*G$12*10/36000)))</f>
        <v>0</v>
      </c>
      <c r="AK50" s="56">
        <f t="shared" ref="AK50:AK60" si="39">IF(N51=1,AI49*G$12*20/36000+AI50*G$12*10/36000,IF(N51=0,IF(N50=0,0,AI50*G$12*Q$12/36000+AI49*G$12*20/36000+AI50*G$12*10/36000)))</f>
        <v>0</v>
      </c>
      <c r="AL50" s="57">
        <f t="shared" si="22"/>
        <v>3</v>
      </c>
      <c r="AM50" s="57">
        <f t="shared" si="6"/>
        <v>3</v>
      </c>
      <c r="AN50" s="51">
        <f t="shared" si="23"/>
        <v>2015</v>
      </c>
      <c r="AO50" s="51">
        <f t="shared" si="7"/>
        <v>2015</v>
      </c>
      <c r="AP50" s="51">
        <f t="shared" si="8"/>
        <v>0</v>
      </c>
      <c r="AQ50" s="51">
        <f t="shared" si="9"/>
        <v>30</v>
      </c>
      <c r="AR50" s="51">
        <f t="shared" si="10"/>
        <v>20</v>
      </c>
      <c r="AS50" s="51">
        <f t="shared" si="24"/>
        <v>28</v>
      </c>
      <c r="AT50" s="52"/>
      <c r="AU50" s="52"/>
      <c r="AV50" s="52"/>
      <c r="AW50" s="52"/>
      <c r="AX50" s="52"/>
      <c r="AY50" s="51">
        <f t="shared" si="25"/>
        <v>1</v>
      </c>
      <c r="AZ50" s="52"/>
      <c r="BA50" s="52"/>
      <c r="BB50" s="52"/>
      <c r="BC50" s="52"/>
      <c r="BD50" s="52"/>
      <c r="BE50" s="52"/>
      <c r="BF50" s="52"/>
      <c r="BG50" s="52"/>
      <c r="BH50" s="52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si="12"/>
        <v>42114</v>
      </c>
      <c r="C51" s="401"/>
      <c r="D51" s="443">
        <f>IF(N51=0,IF(N50=1,SUM(D$25:E50)," "),IF(N51=0," ",IF(N52=1,D$37,IF(N52=0,D$10-D$37*(M$14-13)," "))))</f>
        <v>20410</v>
      </c>
      <c r="E51" s="443"/>
      <c r="F51" s="84">
        <f>IF(N51=0,IF(N50=1,SUM(F$25:F50)," "),IF(M$1=1,P51,IF(M$1=2,Q51," ")))</f>
        <v>37610</v>
      </c>
      <c r="G51" s="84">
        <f>IF(N51=0,IF(N50=1,SUM(G$25:G50)," "),IF(M$1=1,AC51,IF(M$1=2,AD51," ")))</f>
        <v>0</v>
      </c>
      <c r="H51" s="84">
        <f t="shared" si="13"/>
        <v>58020</v>
      </c>
      <c r="I51" s="84">
        <f>IF(N51=0,IF(N50=1,SUM(D$25:E50)," "),IF(N51=0," ",IF(N52=1,D$37,IF(N52=0,D$10-D$37*(M$14-13)," "))))</f>
        <v>20410</v>
      </c>
      <c r="J51" s="84">
        <f t="shared" si="14"/>
        <v>37610</v>
      </c>
      <c r="K51" s="84">
        <f t="shared" si="15"/>
        <v>0</v>
      </c>
      <c r="L51" s="84">
        <f t="shared" si="26"/>
        <v>58020</v>
      </c>
      <c r="M51" s="51">
        <v>27</v>
      </c>
      <c r="N51" s="51">
        <f t="shared" si="36"/>
        <v>1</v>
      </c>
      <c r="O51" s="51">
        <f t="shared" si="0"/>
        <v>20</v>
      </c>
      <c r="P51" s="56">
        <f t="shared" si="1"/>
        <v>37610</v>
      </c>
      <c r="Q51" s="56">
        <f t="shared" si="2"/>
        <v>37610</v>
      </c>
      <c r="R51" s="56">
        <f t="shared" si="17"/>
        <v>714260</v>
      </c>
      <c r="S51" s="56">
        <f t="shared" si="27"/>
        <v>20410</v>
      </c>
      <c r="T51" s="56">
        <f t="shared" si="28"/>
        <v>20410</v>
      </c>
      <c r="U51" s="56">
        <f t="shared" si="33"/>
        <v>37606.444444444445</v>
      </c>
      <c r="V51" s="56">
        <f t="shared" si="34"/>
        <v>37606.444444444445</v>
      </c>
      <c r="W51" s="56">
        <f t="shared" si="29"/>
        <v>51666.666666666672</v>
      </c>
      <c r="X51" s="56">
        <f t="shared" si="30"/>
        <v>51670</v>
      </c>
      <c r="Y51" s="56">
        <f t="shared" si="18"/>
        <v>714260</v>
      </c>
      <c r="Z51" s="56">
        <f t="shared" si="35"/>
        <v>37606.444444444445</v>
      </c>
      <c r="AA51" s="56">
        <f t="shared" si="19"/>
        <v>37610</v>
      </c>
      <c r="AB51" s="56">
        <f t="shared" si="37"/>
        <v>21836000</v>
      </c>
      <c r="AC51" s="56">
        <f t="shared" si="3"/>
        <v>0</v>
      </c>
      <c r="AD51" s="56">
        <f t="shared" si="4"/>
        <v>0</v>
      </c>
      <c r="AE51" s="56">
        <f t="shared" si="32"/>
        <v>0</v>
      </c>
      <c r="AF51" s="56">
        <f t="shared" si="20"/>
        <v>0</v>
      </c>
      <c r="AG51" s="56">
        <f t="shared" si="31"/>
        <v>0</v>
      </c>
      <c r="AH51" s="56">
        <f t="shared" si="21"/>
        <v>0</v>
      </c>
      <c r="AI51" s="56">
        <f t="shared" si="5"/>
        <v>714260</v>
      </c>
      <c r="AJ51" s="56">
        <f t="shared" si="38"/>
        <v>0</v>
      </c>
      <c r="AK51" s="56">
        <f t="shared" si="39"/>
        <v>0</v>
      </c>
      <c r="AL51" s="57">
        <f t="shared" si="22"/>
        <v>4</v>
      </c>
      <c r="AM51" s="57">
        <f t="shared" si="6"/>
        <v>4</v>
      </c>
      <c r="AN51" s="51">
        <f t="shared" si="23"/>
        <v>2015</v>
      </c>
      <c r="AO51" s="51">
        <f t="shared" si="7"/>
        <v>2015</v>
      </c>
      <c r="AP51" s="51">
        <f t="shared" si="8"/>
        <v>0</v>
      </c>
      <c r="AQ51" s="51">
        <f t="shared" si="9"/>
        <v>30</v>
      </c>
      <c r="AR51" s="51">
        <f t="shared" si="10"/>
        <v>20</v>
      </c>
      <c r="AS51" s="51">
        <f t="shared" si="24"/>
        <v>30</v>
      </c>
      <c r="AT51" s="52"/>
      <c r="AU51" s="52"/>
      <c r="AV51" s="52"/>
      <c r="AW51" s="52"/>
      <c r="AX51" s="52"/>
      <c r="AY51" s="51">
        <f t="shared" si="25"/>
        <v>1</v>
      </c>
      <c r="AZ51" s="52"/>
      <c r="BA51" s="52"/>
      <c r="BB51" s="52"/>
      <c r="BC51" s="52"/>
      <c r="BD51" s="52"/>
      <c r="BE51" s="52"/>
      <c r="BF51" s="52"/>
      <c r="BG51" s="52"/>
      <c r="BH51" s="52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si="12"/>
        <v>42144</v>
      </c>
      <c r="C52" s="401"/>
      <c r="D52" s="443">
        <f>IF(N52=0,IF(N51=1,SUM(D$25:E51)," "),IF(N52=0," ",IF(N53=1,D$37,IF(N53=0,D$10-D$37*(M$14-13)," "))))</f>
        <v>20410</v>
      </c>
      <c r="E52" s="443"/>
      <c r="F52" s="84">
        <f>IF(N52=0,IF(N51=1,SUM(F$25:F51)," "),IF(M$1=1,P52,IF(M$1=2,Q52," ")))</f>
        <v>36550</v>
      </c>
      <c r="G52" s="84">
        <f>IF(N52=0,IF(N51=1,SUM(G$25:G51)," "),IF(M$1=1,AC52,IF(M$1=2,AD52," ")))</f>
        <v>0</v>
      </c>
      <c r="H52" s="84">
        <f t="shared" si="13"/>
        <v>56960</v>
      </c>
      <c r="I52" s="84">
        <f>IF(N52=0,IF(N51=1,SUM(D$25:E51)," "),IF(N52=0," ",IF(N53=1,D$37,IF(N53=0,D$10-D$37*(M$14-13)," "))))</f>
        <v>20410</v>
      </c>
      <c r="J52" s="84">
        <f t="shared" si="14"/>
        <v>36550</v>
      </c>
      <c r="K52" s="84">
        <f t="shared" si="15"/>
        <v>0</v>
      </c>
      <c r="L52" s="84">
        <f t="shared" si="26"/>
        <v>56960</v>
      </c>
      <c r="M52" s="51">
        <v>28</v>
      </c>
      <c r="N52" s="51">
        <f t="shared" si="36"/>
        <v>1</v>
      </c>
      <c r="O52" s="51">
        <f t="shared" si="0"/>
        <v>20</v>
      </c>
      <c r="P52" s="56">
        <f t="shared" si="1"/>
        <v>36550</v>
      </c>
      <c r="Q52" s="56">
        <f t="shared" si="2"/>
        <v>36550</v>
      </c>
      <c r="R52" s="56">
        <f t="shared" si="17"/>
        <v>693850</v>
      </c>
      <c r="S52" s="56">
        <f t="shared" si="27"/>
        <v>20410</v>
      </c>
      <c r="T52" s="56">
        <f t="shared" si="28"/>
        <v>20410</v>
      </c>
      <c r="U52" s="56">
        <f t="shared" si="33"/>
        <v>36551.927777777775</v>
      </c>
      <c r="V52" s="56">
        <f t="shared" si="34"/>
        <v>36551.927777777775</v>
      </c>
      <c r="W52" s="56">
        <f t="shared" si="29"/>
        <v>51666.666666666672</v>
      </c>
      <c r="X52" s="56">
        <f t="shared" si="30"/>
        <v>51670</v>
      </c>
      <c r="Y52" s="56">
        <f t="shared" si="18"/>
        <v>693850</v>
      </c>
      <c r="Z52" s="56">
        <f t="shared" si="35"/>
        <v>36551.927777777775</v>
      </c>
      <c r="AA52" s="56">
        <f t="shared" si="19"/>
        <v>36550</v>
      </c>
      <c r="AB52" s="56">
        <f t="shared" si="37"/>
        <v>21223700</v>
      </c>
      <c r="AC52" s="56">
        <f t="shared" si="3"/>
        <v>0</v>
      </c>
      <c r="AD52" s="56">
        <f t="shared" si="4"/>
        <v>0</v>
      </c>
      <c r="AE52" s="56">
        <f t="shared" si="32"/>
        <v>0</v>
      </c>
      <c r="AF52" s="56">
        <f t="shared" si="20"/>
        <v>0</v>
      </c>
      <c r="AG52" s="56">
        <f t="shared" si="31"/>
        <v>0</v>
      </c>
      <c r="AH52" s="56">
        <f t="shared" si="21"/>
        <v>0</v>
      </c>
      <c r="AI52" s="56">
        <f t="shared" si="5"/>
        <v>693850</v>
      </c>
      <c r="AJ52" s="56">
        <f t="shared" si="38"/>
        <v>0</v>
      </c>
      <c r="AK52" s="56">
        <f t="shared" si="39"/>
        <v>0</v>
      </c>
      <c r="AL52" s="57">
        <f t="shared" si="22"/>
        <v>5</v>
      </c>
      <c r="AM52" s="57">
        <f t="shared" si="6"/>
        <v>5</v>
      </c>
      <c r="AN52" s="51">
        <f t="shared" si="23"/>
        <v>2015</v>
      </c>
      <c r="AO52" s="51">
        <f t="shared" si="7"/>
        <v>2015</v>
      </c>
      <c r="AP52" s="51">
        <f t="shared" si="8"/>
        <v>0</v>
      </c>
      <c r="AQ52" s="51">
        <f t="shared" si="9"/>
        <v>30</v>
      </c>
      <c r="AR52" s="51">
        <f t="shared" si="10"/>
        <v>20</v>
      </c>
      <c r="AS52" s="51">
        <f t="shared" si="24"/>
        <v>30</v>
      </c>
      <c r="AT52" s="52"/>
      <c r="AU52" s="52"/>
      <c r="AV52" s="52"/>
      <c r="AW52" s="52"/>
      <c r="AX52" s="52"/>
      <c r="AY52" s="51">
        <f t="shared" si="25"/>
        <v>1</v>
      </c>
      <c r="AZ52" s="52"/>
      <c r="BA52" s="52"/>
      <c r="BB52" s="52"/>
      <c r="BC52" s="52"/>
      <c r="BD52" s="52"/>
      <c r="BE52" s="52"/>
      <c r="BF52" s="52"/>
      <c r="BG52" s="52"/>
      <c r="BH52" s="52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si="12"/>
        <v>42175</v>
      </c>
      <c r="C53" s="401"/>
      <c r="D53" s="443">
        <f>IF(N53=0,IF(N52=1,SUM(D$25:E52)," "),IF(N53=0," ",IF(N54=1,D$37,IF(N54=0,D$10-D$37*(M$14-13)," "))))</f>
        <v>20410</v>
      </c>
      <c r="E53" s="443"/>
      <c r="F53" s="84">
        <f>IF(N53=0,IF(N52=1,SUM(F$25:F52)," "),IF(M$1=1,P53,IF(M$1=2,Q53," ")))</f>
        <v>35500</v>
      </c>
      <c r="G53" s="84">
        <f>IF(N53=0,IF(N52=1,SUM(G$25:G52)," "),IF(M$1=1,AC53,IF(M$1=2,AD53," ")))</f>
        <v>0</v>
      </c>
      <c r="H53" s="84">
        <f t="shared" si="13"/>
        <v>55910</v>
      </c>
      <c r="I53" s="84">
        <f>IF(N53=0,IF(N52=1,SUM(D$25:E52)," "),IF(N53=0," ",IF(N54=1,D$37,IF(N54=0,D$10-D$37*(M$14-13)," "))))</f>
        <v>20410</v>
      </c>
      <c r="J53" s="84">
        <f t="shared" si="14"/>
        <v>35500</v>
      </c>
      <c r="K53" s="84">
        <f t="shared" si="15"/>
        <v>0</v>
      </c>
      <c r="L53" s="84">
        <f t="shared" si="26"/>
        <v>55910</v>
      </c>
      <c r="M53" s="51">
        <v>29</v>
      </c>
      <c r="N53" s="51">
        <f t="shared" si="36"/>
        <v>1</v>
      </c>
      <c r="O53" s="51">
        <f t="shared" si="0"/>
        <v>20</v>
      </c>
      <c r="P53" s="56">
        <f t="shared" si="1"/>
        <v>35500</v>
      </c>
      <c r="Q53" s="56">
        <f t="shared" si="2"/>
        <v>35500</v>
      </c>
      <c r="R53" s="56">
        <f t="shared" si="17"/>
        <v>673440</v>
      </c>
      <c r="S53" s="56">
        <f t="shared" si="27"/>
        <v>20410</v>
      </c>
      <c r="T53" s="56">
        <f t="shared" si="28"/>
        <v>20410</v>
      </c>
      <c r="U53" s="56">
        <f t="shared" si="33"/>
        <v>35497.411111111112</v>
      </c>
      <c r="V53" s="56">
        <f t="shared" si="34"/>
        <v>35497.411111111112</v>
      </c>
      <c r="W53" s="56">
        <f t="shared" si="29"/>
        <v>51666.666666666672</v>
      </c>
      <c r="X53" s="56">
        <f t="shared" si="30"/>
        <v>51670</v>
      </c>
      <c r="Y53" s="56">
        <f t="shared" si="18"/>
        <v>673440</v>
      </c>
      <c r="Z53" s="56">
        <f t="shared" si="35"/>
        <v>35497.411111111112</v>
      </c>
      <c r="AA53" s="56">
        <f t="shared" si="19"/>
        <v>35500</v>
      </c>
      <c r="AB53" s="56">
        <f t="shared" si="37"/>
        <v>20611400</v>
      </c>
      <c r="AC53" s="56">
        <f t="shared" si="3"/>
        <v>0</v>
      </c>
      <c r="AD53" s="56">
        <f t="shared" si="4"/>
        <v>0</v>
      </c>
      <c r="AE53" s="56">
        <f t="shared" si="32"/>
        <v>0</v>
      </c>
      <c r="AF53" s="56">
        <f t="shared" si="20"/>
        <v>0</v>
      </c>
      <c r="AG53" s="56">
        <f t="shared" si="31"/>
        <v>0</v>
      </c>
      <c r="AH53" s="56">
        <f t="shared" si="21"/>
        <v>0</v>
      </c>
      <c r="AI53" s="56">
        <f t="shared" si="5"/>
        <v>673440</v>
      </c>
      <c r="AJ53" s="56">
        <f t="shared" si="38"/>
        <v>0</v>
      </c>
      <c r="AK53" s="56">
        <f t="shared" si="39"/>
        <v>0</v>
      </c>
      <c r="AL53" s="57">
        <f t="shared" si="22"/>
        <v>6</v>
      </c>
      <c r="AM53" s="57">
        <f t="shared" si="6"/>
        <v>6</v>
      </c>
      <c r="AN53" s="51">
        <f t="shared" si="23"/>
        <v>2015</v>
      </c>
      <c r="AO53" s="51">
        <f t="shared" si="7"/>
        <v>2015</v>
      </c>
      <c r="AP53" s="51">
        <f t="shared" si="8"/>
        <v>0</v>
      </c>
      <c r="AQ53" s="51">
        <f t="shared" si="9"/>
        <v>30</v>
      </c>
      <c r="AR53" s="51">
        <f t="shared" si="10"/>
        <v>20</v>
      </c>
      <c r="AS53" s="51">
        <f t="shared" si="24"/>
        <v>30</v>
      </c>
      <c r="AT53" s="52"/>
      <c r="AU53" s="52"/>
      <c r="AV53" s="52"/>
      <c r="AW53" s="52"/>
      <c r="AX53" s="52"/>
      <c r="AY53" s="51">
        <f t="shared" si="25"/>
        <v>1</v>
      </c>
      <c r="AZ53" s="52"/>
      <c r="BA53" s="52"/>
      <c r="BB53" s="52"/>
      <c r="BC53" s="52"/>
      <c r="BD53" s="52"/>
      <c r="BE53" s="52"/>
      <c r="BF53" s="52"/>
      <c r="BG53" s="52"/>
      <c r="BH53" s="52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si="12"/>
        <v>42205</v>
      </c>
      <c r="C54" s="401"/>
      <c r="D54" s="443">
        <f>IF(N54=0,IF(N53=1,SUM(D$25:E53)," "),IF(N54=0," ",IF(N55=1,D$37,IF(N55=0,D$10-D$37*(M$14-13)," "))))</f>
        <v>20410</v>
      </c>
      <c r="E54" s="443"/>
      <c r="F54" s="84">
        <f>IF(N54=0,IF(N53=1,SUM(F$25:F53)," "),IF(M$1=1,P54,IF(M$1=2,Q54," ")))</f>
        <v>34440</v>
      </c>
      <c r="G54" s="84">
        <f>IF(N54=0,IF(N53=1,SUM(G$25:G53)," "),IF(M$1=1,AC54,IF(M$1=2,AD54," ")))</f>
        <v>0</v>
      </c>
      <c r="H54" s="84">
        <f t="shared" si="13"/>
        <v>54850</v>
      </c>
      <c r="I54" s="84">
        <f>IF(N54=0,IF(N53=1,SUM(D$25:E53)," "),IF(N54=0," ",IF(N55=1,D$37,IF(N55=0,D$10-D$37*(M$14-13)," "))))</f>
        <v>20410</v>
      </c>
      <c r="J54" s="84">
        <f t="shared" si="14"/>
        <v>34440</v>
      </c>
      <c r="K54" s="84">
        <f t="shared" si="15"/>
        <v>0</v>
      </c>
      <c r="L54" s="84">
        <f t="shared" si="26"/>
        <v>54850</v>
      </c>
      <c r="M54" s="51">
        <v>30</v>
      </c>
      <c r="N54" s="51">
        <f t="shared" si="36"/>
        <v>1</v>
      </c>
      <c r="O54" s="51">
        <f t="shared" si="0"/>
        <v>20</v>
      </c>
      <c r="P54" s="56">
        <f t="shared" si="1"/>
        <v>34440</v>
      </c>
      <c r="Q54" s="56">
        <f t="shared" si="2"/>
        <v>34440</v>
      </c>
      <c r="R54" s="56">
        <f t="shared" si="17"/>
        <v>653030</v>
      </c>
      <c r="S54" s="56">
        <f t="shared" si="27"/>
        <v>20410</v>
      </c>
      <c r="T54" s="56">
        <f t="shared" si="28"/>
        <v>20410</v>
      </c>
      <c r="U54" s="56">
        <f t="shared" si="33"/>
        <v>34442.894444444442</v>
      </c>
      <c r="V54" s="56">
        <f t="shared" si="34"/>
        <v>34442.894444444442</v>
      </c>
      <c r="W54" s="56">
        <f t="shared" si="29"/>
        <v>51666.666666666672</v>
      </c>
      <c r="X54" s="56">
        <f t="shared" si="30"/>
        <v>51670</v>
      </c>
      <c r="Y54" s="56">
        <f t="shared" si="18"/>
        <v>653030</v>
      </c>
      <c r="Z54" s="56">
        <f t="shared" si="35"/>
        <v>34442.894444444442</v>
      </c>
      <c r="AA54" s="56">
        <f t="shared" si="19"/>
        <v>34440</v>
      </c>
      <c r="AB54" s="56">
        <f t="shared" si="37"/>
        <v>19999100</v>
      </c>
      <c r="AC54" s="56">
        <f t="shared" si="3"/>
        <v>0</v>
      </c>
      <c r="AD54" s="56">
        <f t="shared" si="4"/>
        <v>0</v>
      </c>
      <c r="AE54" s="56">
        <f t="shared" si="32"/>
        <v>0</v>
      </c>
      <c r="AF54" s="56">
        <f t="shared" si="20"/>
        <v>0</v>
      </c>
      <c r="AG54" s="56">
        <f t="shared" si="31"/>
        <v>0</v>
      </c>
      <c r="AH54" s="56">
        <f t="shared" si="21"/>
        <v>0</v>
      </c>
      <c r="AI54" s="56">
        <f t="shared" si="5"/>
        <v>653030</v>
      </c>
      <c r="AJ54" s="56">
        <f t="shared" si="38"/>
        <v>0</v>
      </c>
      <c r="AK54" s="56">
        <f t="shared" si="39"/>
        <v>0</v>
      </c>
      <c r="AL54" s="57">
        <f t="shared" si="22"/>
        <v>7</v>
      </c>
      <c r="AM54" s="57">
        <f t="shared" si="6"/>
        <v>7</v>
      </c>
      <c r="AN54" s="51">
        <f t="shared" si="23"/>
        <v>2015</v>
      </c>
      <c r="AO54" s="51">
        <f t="shared" si="7"/>
        <v>2015</v>
      </c>
      <c r="AP54" s="51">
        <f t="shared" si="8"/>
        <v>0</v>
      </c>
      <c r="AQ54" s="51">
        <f t="shared" si="9"/>
        <v>30</v>
      </c>
      <c r="AR54" s="51">
        <f t="shared" si="10"/>
        <v>20</v>
      </c>
      <c r="AS54" s="51">
        <f t="shared" si="24"/>
        <v>30</v>
      </c>
      <c r="AT54" s="52"/>
      <c r="AU54" s="52"/>
      <c r="AV54" s="52"/>
      <c r="AW54" s="52"/>
      <c r="AX54" s="52"/>
      <c r="AY54" s="51">
        <f t="shared" si="25"/>
        <v>1</v>
      </c>
      <c r="AZ54" s="52"/>
      <c r="BA54" s="52"/>
      <c r="BB54" s="52"/>
      <c r="BC54" s="52"/>
      <c r="BD54" s="52"/>
      <c r="BE54" s="52"/>
      <c r="BF54" s="52"/>
      <c r="BG54" s="52"/>
      <c r="BH54" s="52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si="12"/>
        <v>42236</v>
      </c>
      <c r="C55" s="401"/>
      <c r="D55" s="443">
        <f>IF(N55=0,IF(N54=1,SUM(D$25:E54)," "),IF(N55=0," ",IF(N56=1,D$37,IF(N56=0,D$10-D$37*(M$14-13)," "))))</f>
        <v>20410</v>
      </c>
      <c r="E55" s="443"/>
      <c r="F55" s="84">
        <f>IF(N55=0,IF(N54=1,SUM(F$25:F54)," "),IF(M$1=1,P55,IF(M$1=2,Q55," ")))</f>
        <v>33390</v>
      </c>
      <c r="G55" s="84">
        <f>IF(N55=0,IF(N54=1,SUM(G$25:G54)," "),IF(M$1=1,AC55,IF(M$1=2,AD55," ")))</f>
        <v>0</v>
      </c>
      <c r="H55" s="84">
        <f t="shared" si="13"/>
        <v>53800</v>
      </c>
      <c r="I55" s="84">
        <f>IF(N55=0,IF(N54=1,SUM(D$25:E54)," "),IF(N55=0," ",IF(N56=1,D$37,IF(N56=0,D$10-D$37*(M$14-13)," "))))</f>
        <v>20410</v>
      </c>
      <c r="J55" s="84">
        <f t="shared" si="14"/>
        <v>33390</v>
      </c>
      <c r="K55" s="84">
        <f t="shared" si="15"/>
        <v>0</v>
      </c>
      <c r="L55" s="84">
        <f t="shared" si="26"/>
        <v>53800</v>
      </c>
      <c r="M55" s="51">
        <v>31</v>
      </c>
      <c r="N55" s="51">
        <f t="shared" si="36"/>
        <v>1</v>
      </c>
      <c r="O55" s="51">
        <f t="shared" si="0"/>
        <v>20</v>
      </c>
      <c r="P55" s="56">
        <f t="shared" si="1"/>
        <v>33390</v>
      </c>
      <c r="Q55" s="56">
        <f t="shared" si="2"/>
        <v>33390</v>
      </c>
      <c r="R55" s="56">
        <f t="shared" si="17"/>
        <v>632620</v>
      </c>
      <c r="S55" s="56">
        <f t="shared" si="27"/>
        <v>20410</v>
      </c>
      <c r="T55" s="56">
        <f t="shared" si="28"/>
        <v>20410</v>
      </c>
      <c r="U55" s="56">
        <f t="shared" si="33"/>
        <v>33388.37777777778</v>
      </c>
      <c r="V55" s="56">
        <f t="shared" si="34"/>
        <v>33388.37777777778</v>
      </c>
      <c r="W55" s="56">
        <f t="shared" si="29"/>
        <v>51666.666666666672</v>
      </c>
      <c r="X55" s="56">
        <f t="shared" si="30"/>
        <v>51670</v>
      </c>
      <c r="Y55" s="56">
        <f t="shared" si="18"/>
        <v>632620</v>
      </c>
      <c r="Z55" s="56">
        <f t="shared" si="35"/>
        <v>33388.37777777778</v>
      </c>
      <c r="AA55" s="56">
        <f t="shared" si="19"/>
        <v>33390</v>
      </c>
      <c r="AB55" s="56">
        <f t="shared" si="37"/>
        <v>19386800</v>
      </c>
      <c r="AC55" s="56">
        <f t="shared" si="3"/>
        <v>0</v>
      </c>
      <c r="AD55" s="56">
        <f t="shared" si="4"/>
        <v>0</v>
      </c>
      <c r="AE55" s="56">
        <f t="shared" si="32"/>
        <v>0</v>
      </c>
      <c r="AF55" s="56">
        <f t="shared" si="20"/>
        <v>0</v>
      </c>
      <c r="AG55" s="56">
        <f t="shared" si="31"/>
        <v>0</v>
      </c>
      <c r="AH55" s="56">
        <f t="shared" si="21"/>
        <v>0</v>
      </c>
      <c r="AI55" s="56">
        <f t="shared" si="5"/>
        <v>632620</v>
      </c>
      <c r="AJ55" s="56">
        <f t="shared" si="38"/>
        <v>0</v>
      </c>
      <c r="AK55" s="56">
        <f t="shared" si="39"/>
        <v>0</v>
      </c>
      <c r="AL55" s="57">
        <f t="shared" si="22"/>
        <v>8</v>
      </c>
      <c r="AM55" s="57">
        <f t="shared" si="6"/>
        <v>8</v>
      </c>
      <c r="AN55" s="51">
        <f t="shared" si="23"/>
        <v>2015</v>
      </c>
      <c r="AO55" s="51">
        <f t="shared" si="7"/>
        <v>2015</v>
      </c>
      <c r="AP55" s="51">
        <f t="shared" si="8"/>
        <v>0</v>
      </c>
      <c r="AQ55" s="51">
        <f t="shared" si="9"/>
        <v>30</v>
      </c>
      <c r="AR55" s="51">
        <f t="shared" si="10"/>
        <v>20</v>
      </c>
      <c r="AS55" s="51">
        <f t="shared" si="24"/>
        <v>30</v>
      </c>
      <c r="AT55" s="52"/>
      <c r="AU55" s="52"/>
      <c r="AV55" s="52"/>
      <c r="AW55" s="52"/>
      <c r="AX55" s="52"/>
      <c r="AY55" s="51">
        <f t="shared" si="25"/>
        <v>1</v>
      </c>
      <c r="AZ55" s="52"/>
      <c r="BA55" s="52"/>
      <c r="BB55" s="52"/>
      <c r="BC55" s="52"/>
      <c r="BD55" s="52"/>
      <c r="BE55" s="52"/>
      <c r="BF55" s="52"/>
      <c r="BG55" s="52"/>
      <c r="BH55" s="52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si="12"/>
        <v>42267</v>
      </c>
      <c r="C56" s="401"/>
      <c r="D56" s="443">
        <f>IF(N56=0,IF(N55=1,SUM(D$25:E55)," "),IF(N56=0," ",IF(N57=1,D$37,IF(N57=0,D$10-D$37*(M$14-13)," "))))</f>
        <v>20410</v>
      </c>
      <c r="E56" s="443"/>
      <c r="F56" s="84">
        <f>IF(N56=0,IF(N55=1,SUM(F$25:F55)," "),IF(M$1=1,P56,IF(M$1=2,Q56," ")))</f>
        <v>32330</v>
      </c>
      <c r="G56" s="84">
        <f>IF(N56=0,IF(N55=1,SUM(G$25:G55)," "),IF(M$1=1,AC56,IF(M$1=2,AD56," ")))</f>
        <v>0</v>
      </c>
      <c r="H56" s="84">
        <f t="shared" si="13"/>
        <v>52740</v>
      </c>
      <c r="I56" s="84">
        <f>IF(N56=0,IF(N55=1,SUM(D$25:E55)," "),IF(N56=0," ",IF(N57=1,D$37,IF(N57=0,D$10-D$37*(M$14-13)," "))))</f>
        <v>20410</v>
      </c>
      <c r="J56" s="84">
        <f t="shared" si="14"/>
        <v>32330</v>
      </c>
      <c r="K56" s="84">
        <f t="shared" si="15"/>
        <v>0</v>
      </c>
      <c r="L56" s="84">
        <f t="shared" si="26"/>
        <v>52740</v>
      </c>
      <c r="M56" s="51">
        <v>32</v>
      </c>
      <c r="N56" s="51">
        <f t="shared" si="36"/>
        <v>1</v>
      </c>
      <c r="O56" s="51">
        <f t="shared" si="0"/>
        <v>20</v>
      </c>
      <c r="P56" s="56">
        <f t="shared" si="1"/>
        <v>32330</v>
      </c>
      <c r="Q56" s="56">
        <f t="shared" si="2"/>
        <v>32330</v>
      </c>
      <c r="R56" s="56">
        <f t="shared" si="17"/>
        <v>612210</v>
      </c>
      <c r="S56" s="56">
        <f t="shared" si="27"/>
        <v>20410</v>
      </c>
      <c r="T56" s="56">
        <f t="shared" si="28"/>
        <v>20410</v>
      </c>
      <c r="U56" s="56">
        <f t="shared" si="33"/>
        <v>32333.861111111109</v>
      </c>
      <c r="V56" s="56">
        <f t="shared" si="34"/>
        <v>32333.861111111109</v>
      </c>
      <c r="W56" s="56">
        <f t="shared" si="29"/>
        <v>51666.666666666672</v>
      </c>
      <c r="X56" s="56">
        <f t="shared" si="30"/>
        <v>51670</v>
      </c>
      <c r="Y56" s="56">
        <f t="shared" si="18"/>
        <v>612210</v>
      </c>
      <c r="Z56" s="56">
        <f t="shared" si="35"/>
        <v>32333.861111111109</v>
      </c>
      <c r="AA56" s="56">
        <f t="shared" si="19"/>
        <v>32330</v>
      </c>
      <c r="AB56" s="56">
        <f t="shared" si="37"/>
        <v>18774500</v>
      </c>
      <c r="AC56" s="56">
        <f t="shared" si="3"/>
        <v>0</v>
      </c>
      <c r="AD56" s="56">
        <f t="shared" si="4"/>
        <v>0</v>
      </c>
      <c r="AE56" s="56">
        <f t="shared" si="32"/>
        <v>0</v>
      </c>
      <c r="AF56" s="56">
        <f t="shared" si="20"/>
        <v>0</v>
      </c>
      <c r="AG56" s="56">
        <f t="shared" si="31"/>
        <v>0</v>
      </c>
      <c r="AH56" s="56">
        <f t="shared" si="21"/>
        <v>0</v>
      </c>
      <c r="AI56" s="56">
        <f t="shared" si="5"/>
        <v>612210</v>
      </c>
      <c r="AJ56" s="56">
        <f t="shared" si="38"/>
        <v>0</v>
      </c>
      <c r="AK56" s="56">
        <f t="shared" si="39"/>
        <v>0</v>
      </c>
      <c r="AL56" s="57">
        <f t="shared" si="22"/>
        <v>9</v>
      </c>
      <c r="AM56" s="57">
        <f t="shared" si="6"/>
        <v>9</v>
      </c>
      <c r="AN56" s="51">
        <f t="shared" si="23"/>
        <v>2015</v>
      </c>
      <c r="AO56" s="51">
        <f t="shared" si="7"/>
        <v>2015</v>
      </c>
      <c r="AP56" s="51">
        <f t="shared" si="8"/>
        <v>0</v>
      </c>
      <c r="AQ56" s="51">
        <f t="shared" si="9"/>
        <v>30</v>
      </c>
      <c r="AR56" s="51">
        <f t="shared" si="10"/>
        <v>20</v>
      </c>
      <c r="AS56" s="51">
        <f t="shared" si="24"/>
        <v>30</v>
      </c>
      <c r="AT56" s="52"/>
      <c r="AU56" s="52"/>
      <c r="AV56" s="52"/>
      <c r="AW56" s="52"/>
      <c r="AX56" s="52"/>
      <c r="AY56" s="51">
        <f t="shared" si="25"/>
        <v>1</v>
      </c>
      <c r="AZ56" s="52"/>
      <c r="BA56" s="52"/>
      <c r="BB56" s="52"/>
      <c r="BC56" s="52"/>
      <c r="BD56" s="52"/>
      <c r="BE56" s="52"/>
      <c r="BF56" s="52"/>
      <c r="BG56" s="52"/>
      <c r="BH56" s="52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si="12"/>
        <v>42297</v>
      </c>
      <c r="C57" s="401"/>
      <c r="D57" s="443">
        <f>IF(N57=0,IF(N56=1,SUM(D$25:E56)," "),IF(N57=0," ",IF(N58=1,D$37,IF(N58=0,D$10-D$37*(M$14-13)," "))))</f>
        <v>20410</v>
      </c>
      <c r="E57" s="443"/>
      <c r="F57" s="84">
        <f>IF(N57=0,IF(N56=1,SUM(F$25:F56)," "),IF(M$1=1,P57,IF(M$1=2,Q57," ")))</f>
        <v>31280</v>
      </c>
      <c r="G57" s="84">
        <f>IF(N57=0,IF(N56=1,SUM(G$25:G56)," "),IF(M$1=1,AC57,IF(M$1=2,AD57," ")))</f>
        <v>0</v>
      </c>
      <c r="H57" s="84">
        <f t="shared" si="13"/>
        <v>51690</v>
      </c>
      <c r="I57" s="84">
        <f>IF(N57=0,IF(N56=1,SUM(D$25:E56)," "),IF(N57=0," ",IF(N58=1,D$37,IF(N58=0,D$10-D$37*(M$14-13)," "))))</f>
        <v>20410</v>
      </c>
      <c r="J57" s="84">
        <f t="shared" si="14"/>
        <v>31280</v>
      </c>
      <c r="K57" s="84">
        <f t="shared" si="15"/>
        <v>0</v>
      </c>
      <c r="L57" s="84">
        <f t="shared" si="26"/>
        <v>51690</v>
      </c>
      <c r="M57" s="51">
        <v>33</v>
      </c>
      <c r="N57" s="51">
        <f t="shared" si="36"/>
        <v>1</v>
      </c>
      <c r="O57" s="51">
        <f t="shared" ref="O57:O85" si="40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56">
        <f t="shared" ref="P57:P85" si="41">IF(U57&lt;&gt;0,IF(VALUE(RIGHT(ROUND(U57,0)))&lt;=5,ROUND(U57,0)-VALUE(RIGHT(ROUND(U57,0))),ROUND(U57,0)+10-VALUE(RIGHT(ROUND(U57,0)))),0)</f>
        <v>31280</v>
      </c>
      <c r="Q57" s="56">
        <f t="shared" ref="Q57:Q85" si="42">IF(V57&lt;&gt;0,IF(VALUE(RIGHT(ROUND(V57,0)))&lt;=5,ROUND(V57,0)-VALUE(RIGHT(ROUND(V57,0))),ROUND(V57,0)+10-VALUE(RIGHT(ROUND(V57,0)))),0)</f>
        <v>31280</v>
      </c>
      <c r="R57" s="56">
        <f t="shared" si="17"/>
        <v>591800</v>
      </c>
      <c r="S57" s="56">
        <f t="shared" si="27"/>
        <v>20410</v>
      </c>
      <c r="T57" s="56">
        <f t="shared" si="28"/>
        <v>20410</v>
      </c>
      <c r="U57" s="56">
        <f t="shared" si="33"/>
        <v>31279.344444444447</v>
      </c>
      <c r="V57" s="56">
        <f t="shared" si="34"/>
        <v>31279.344444444447</v>
      </c>
      <c r="W57" s="56">
        <f t="shared" si="29"/>
        <v>51666.666666666672</v>
      </c>
      <c r="X57" s="56">
        <f t="shared" si="30"/>
        <v>51670</v>
      </c>
      <c r="Y57" s="56">
        <f t="shared" si="18"/>
        <v>591800</v>
      </c>
      <c r="Z57" s="56">
        <f t="shared" si="35"/>
        <v>31279.344444444447</v>
      </c>
      <c r="AA57" s="56">
        <f t="shared" si="19"/>
        <v>31280</v>
      </c>
      <c r="AB57" s="56">
        <f t="shared" si="37"/>
        <v>18162200</v>
      </c>
      <c r="AC57" s="56">
        <f t="shared" ref="AC57:AC85" si="43">IF(AJ57&lt;&gt;0,IF(VALUE(RIGHT(ROUND(AJ57,0)))&lt;=5,ROUND(AJ57,0)-VALUE(RIGHT(ROUND(AJ57,0))),ROUND(AJ57,0)+10-VALUE(RIGHT(ROUND(AJ57,0)))),0)</f>
        <v>0</v>
      </c>
      <c r="AD57" s="56">
        <f t="shared" ref="AD57:AD85" si="44">IF(AK57&lt;&gt;0,IF(VALUE(RIGHT(ROUND(AK57,0)))&lt;=5,ROUND(AK57,0)-VALUE(RIGHT(ROUND(AK57,0))),ROUND(AK57,0)+10-VALUE(RIGHT(ROUND(AK57,0)))),0)</f>
        <v>0</v>
      </c>
      <c r="AE57" s="56">
        <f t="shared" si="32"/>
        <v>0</v>
      </c>
      <c r="AF57" s="56">
        <f t="shared" si="20"/>
        <v>0</v>
      </c>
      <c r="AG57" s="56">
        <f t="shared" si="31"/>
        <v>0</v>
      </c>
      <c r="AH57" s="56">
        <f t="shared" si="21"/>
        <v>0</v>
      </c>
      <c r="AI57" s="56">
        <f t="shared" ref="AI57:AI85" si="45">R57</f>
        <v>591800</v>
      </c>
      <c r="AJ57" s="56">
        <f t="shared" si="38"/>
        <v>0</v>
      </c>
      <c r="AK57" s="56">
        <f t="shared" si="39"/>
        <v>0</v>
      </c>
      <c r="AL57" s="57">
        <f t="shared" si="22"/>
        <v>10</v>
      </c>
      <c r="AM57" s="57">
        <f t="shared" ref="AM57:AM85" si="46">IF(AL57=13,1,AL57)</f>
        <v>10</v>
      </c>
      <c r="AN57" s="51">
        <f t="shared" si="23"/>
        <v>2015</v>
      </c>
      <c r="AO57" s="51">
        <f t="shared" ref="AO57:AO85" si="47">IF(AM57=1,AN57+1,AN57)</f>
        <v>2015</v>
      </c>
      <c r="AP57" s="51">
        <f t="shared" ref="AP57:AP85" si="48">IF((AN57/2012)=1,1,IF((AN57/2016)=1,1,IF((AN57/2020)=1,1,IF((AN57/2024)=1,1,IF((AN57/2028)=1,1,IF((AN57/2032)=1,1,0))))))</f>
        <v>0</v>
      </c>
      <c r="AQ57" s="51">
        <f t="shared" ref="AQ57:AQ85" si="49">IF(AM57=2,IF(AP57=1,29,28),30)</f>
        <v>30</v>
      </c>
      <c r="AR57" s="51">
        <f t="shared" ref="AR57:AR85" si="50">IF(C$24=30,AQ57,20)</f>
        <v>20</v>
      </c>
      <c r="AS57" s="51">
        <f t="shared" si="24"/>
        <v>30</v>
      </c>
      <c r="AT57" s="52"/>
      <c r="AU57" s="52"/>
      <c r="AV57" s="52"/>
      <c r="AW57" s="52"/>
      <c r="AX57" s="52"/>
      <c r="AY57" s="51">
        <f t="shared" si="25"/>
        <v>1</v>
      </c>
      <c r="AZ57" s="52"/>
      <c r="BA57" s="52"/>
      <c r="BB57" s="52"/>
      <c r="BC57" s="52"/>
      <c r="BD57" s="52"/>
      <c r="BE57" s="52"/>
      <c r="BF57" s="52"/>
      <c r="BG57" s="52"/>
      <c r="BH57" s="52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si="51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42328</v>
      </c>
      <c r="C58" s="401"/>
      <c r="D58" s="443">
        <f>IF(N58=0,IF(N57=1,SUM(D$25:E57)," "),IF(N58=0," ",IF(N59=1,D$37,IF(N59=0,D$10-D$37*(M$14-13)," "))))</f>
        <v>20410</v>
      </c>
      <c r="E58" s="443"/>
      <c r="F58" s="84">
        <f>IF(N58=0,IF(N57=1,SUM(F$25:F57)," "),IF(M$1=1,P58,IF(M$1=2,Q58," ")))</f>
        <v>30220</v>
      </c>
      <c r="G58" s="84">
        <f>IF(N58=0,IF(N57=1,SUM(G$25:G57)," "),IF(M$1=1,AC58,IF(M$1=2,AD58," ")))</f>
        <v>0</v>
      </c>
      <c r="H58" s="84">
        <f t="shared" ref="H58:H86" si="52">IF(SUM(D58:G58)=0," ",SUM(D58:G58))</f>
        <v>50630</v>
      </c>
      <c r="I58" s="84">
        <f>IF(N58=0,IF(N57=1,SUM(D$25:E57)," "),IF(N58=0," ",IF(N59=1,D$37,IF(N59=0,D$10-D$37*(M$14-13)," "))))</f>
        <v>20410</v>
      </c>
      <c r="J58" s="84">
        <f t="shared" si="14"/>
        <v>30220</v>
      </c>
      <c r="K58" s="84">
        <f t="shared" si="15"/>
        <v>0</v>
      </c>
      <c r="L58" s="84">
        <f t="shared" si="26"/>
        <v>50630</v>
      </c>
      <c r="M58" s="51">
        <v>34</v>
      </c>
      <c r="N58" s="51">
        <f t="shared" si="36"/>
        <v>1</v>
      </c>
      <c r="O58" s="51">
        <f t="shared" si="40"/>
        <v>20</v>
      </c>
      <c r="P58" s="56">
        <f t="shared" si="41"/>
        <v>30220</v>
      </c>
      <c r="Q58" s="56">
        <f t="shared" si="42"/>
        <v>30220</v>
      </c>
      <c r="R58" s="56">
        <f t="shared" ref="R58:R85" si="53">IF(N58=0,0,R57-D57)</f>
        <v>571390</v>
      </c>
      <c r="S58" s="56">
        <f t="shared" si="27"/>
        <v>20410</v>
      </c>
      <c r="T58" s="56">
        <f t="shared" si="28"/>
        <v>20410</v>
      </c>
      <c r="U58" s="56">
        <f t="shared" si="33"/>
        <v>30224.827777777777</v>
      </c>
      <c r="V58" s="56">
        <f t="shared" si="34"/>
        <v>30224.827777777777</v>
      </c>
      <c r="W58" s="56">
        <f t="shared" si="29"/>
        <v>51666.666666666672</v>
      </c>
      <c r="X58" s="56">
        <f t="shared" si="30"/>
        <v>51670</v>
      </c>
      <c r="Y58" s="56">
        <f t="shared" si="18"/>
        <v>571390</v>
      </c>
      <c r="Z58" s="56">
        <f t="shared" si="35"/>
        <v>30224.827777777777</v>
      </c>
      <c r="AA58" s="56">
        <f t="shared" si="19"/>
        <v>30220</v>
      </c>
      <c r="AB58" s="56">
        <f t="shared" si="37"/>
        <v>17549900</v>
      </c>
      <c r="AC58" s="56">
        <f t="shared" si="43"/>
        <v>0</v>
      </c>
      <c r="AD58" s="56">
        <f t="shared" si="44"/>
        <v>0</v>
      </c>
      <c r="AE58" s="56">
        <f t="shared" si="32"/>
        <v>0</v>
      </c>
      <c r="AF58" s="56">
        <f t="shared" si="20"/>
        <v>0</v>
      </c>
      <c r="AG58" s="56">
        <f t="shared" si="31"/>
        <v>0</v>
      </c>
      <c r="AH58" s="56">
        <f t="shared" si="21"/>
        <v>0</v>
      </c>
      <c r="AI58" s="56">
        <f t="shared" si="45"/>
        <v>571390</v>
      </c>
      <c r="AJ58" s="56">
        <f t="shared" si="38"/>
        <v>0</v>
      </c>
      <c r="AK58" s="56">
        <f t="shared" si="39"/>
        <v>0</v>
      </c>
      <c r="AL58" s="57">
        <f t="shared" ref="AL58:AL85" si="54">IF(N58=0,0,MONTH(B57)+1)</f>
        <v>11</v>
      </c>
      <c r="AM58" s="57">
        <f t="shared" si="46"/>
        <v>11</v>
      </c>
      <c r="AN58" s="51">
        <f t="shared" ref="AN58:AN85" si="55">IF(N58=0,0,YEAR(B57))</f>
        <v>2015</v>
      </c>
      <c r="AO58" s="51">
        <f t="shared" si="47"/>
        <v>2015</v>
      </c>
      <c r="AP58" s="51">
        <f t="shared" si="48"/>
        <v>0</v>
      </c>
      <c r="AQ58" s="51">
        <f t="shared" si="49"/>
        <v>30</v>
      </c>
      <c r="AR58" s="51">
        <f t="shared" si="50"/>
        <v>20</v>
      </c>
      <c r="AS58" s="51">
        <f t="shared" ref="AS58:AS85" si="56">AQ57</f>
        <v>30</v>
      </c>
      <c r="AT58" s="52"/>
      <c r="AU58" s="52"/>
      <c r="AV58" s="52"/>
      <c r="AW58" s="52"/>
      <c r="AX58" s="52"/>
      <c r="AY58" s="51">
        <f t="shared" si="25"/>
        <v>1</v>
      </c>
      <c r="AZ58" s="52"/>
      <c r="BA58" s="52"/>
      <c r="BB58" s="52"/>
      <c r="BC58" s="52"/>
      <c r="BD58" s="52"/>
      <c r="BE58" s="52"/>
      <c r="BF58" s="52"/>
      <c r="BG58" s="52"/>
      <c r="BH58" s="52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si="51"/>
        <v>42358</v>
      </c>
      <c r="C59" s="401"/>
      <c r="D59" s="443">
        <f>IF(N59=0,IF(N58=1,SUM(D$25:E58)," "),IF(N59=0," ",IF(N60=1,D$37,IF(N60=0,D$10-D$37*(M$14-13)," "))))</f>
        <v>20410</v>
      </c>
      <c r="E59" s="443"/>
      <c r="F59" s="84">
        <f>IF(N59=0,IF(N58=1,SUM(F$25:F58)," "),IF(M$1=1,P59,IF(M$1=2,Q59," ")))</f>
        <v>29170</v>
      </c>
      <c r="G59" s="84">
        <f>IF(N59=0,IF(N58=1,SUM(G$25:G58)," "),IF(M$1=1,AC59,IF(M$1=2,AD59," ")))</f>
        <v>0</v>
      </c>
      <c r="H59" s="84">
        <f t="shared" si="52"/>
        <v>49580</v>
      </c>
      <c r="I59" s="84">
        <f>IF(N59=0,IF(N58=1,SUM(D$25:E58)," "),IF(N59=0," ",IF(N60=1,D$37,IF(N60=0,D$10-D$37*(M$14-13)," "))))</f>
        <v>20410</v>
      </c>
      <c r="J59" s="84">
        <f t="shared" si="14"/>
        <v>29170</v>
      </c>
      <c r="K59" s="84">
        <f t="shared" si="15"/>
        <v>0</v>
      </c>
      <c r="L59" s="84">
        <f t="shared" si="26"/>
        <v>49580</v>
      </c>
      <c r="M59" s="51">
        <v>35</v>
      </c>
      <c r="N59" s="51">
        <f t="shared" si="36"/>
        <v>1</v>
      </c>
      <c r="O59" s="51">
        <f t="shared" si="40"/>
        <v>20</v>
      </c>
      <c r="P59" s="56">
        <f t="shared" si="41"/>
        <v>29170</v>
      </c>
      <c r="Q59" s="56">
        <f t="shared" si="42"/>
        <v>29170</v>
      </c>
      <c r="R59" s="56">
        <f t="shared" si="53"/>
        <v>550980</v>
      </c>
      <c r="S59" s="56">
        <f t="shared" si="27"/>
        <v>20410</v>
      </c>
      <c r="T59" s="56">
        <f t="shared" si="28"/>
        <v>20410</v>
      </c>
      <c r="U59" s="56">
        <f t="shared" si="33"/>
        <v>29170.311111111114</v>
      </c>
      <c r="V59" s="56">
        <f t="shared" si="34"/>
        <v>29170.311111111114</v>
      </c>
      <c r="W59" s="56">
        <f t="shared" si="29"/>
        <v>51666.666666666672</v>
      </c>
      <c r="X59" s="56">
        <f t="shared" si="30"/>
        <v>51670</v>
      </c>
      <c r="Y59" s="56">
        <f t="shared" si="18"/>
        <v>550980</v>
      </c>
      <c r="Z59" s="56">
        <f t="shared" si="35"/>
        <v>29170.311111111114</v>
      </c>
      <c r="AA59" s="56">
        <f t="shared" si="19"/>
        <v>29170</v>
      </c>
      <c r="AB59" s="56">
        <f t="shared" si="37"/>
        <v>16937600</v>
      </c>
      <c r="AC59" s="56">
        <f t="shared" si="43"/>
        <v>0</v>
      </c>
      <c r="AD59" s="56">
        <f t="shared" si="44"/>
        <v>0</v>
      </c>
      <c r="AE59" s="56">
        <f t="shared" si="32"/>
        <v>0</v>
      </c>
      <c r="AF59" s="56">
        <f t="shared" si="20"/>
        <v>0</v>
      </c>
      <c r="AG59" s="56">
        <f t="shared" si="31"/>
        <v>0</v>
      </c>
      <c r="AH59" s="56">
        <f t="shared" si="21"/>
        <v>0</v>
      </c>
      <c r="AI59" s="56">
        <f t="shared" si="45"/>
        <v>550980</v>
      </c>
      <c r="AJ59" s="56">
        <f t="shared" si="38"/>
        <v>0</v>
      </c>
      <c r="AK59" s="56">
        <f t="shared" si="39"/>
        <v>0</v>
      </c>
      <c r="AL59" s="57">
        <f t="shared" si="54"/>
        <v>12</v>
      </c>
      <c r="AM59" s="57">
        <f t="shared" si="46"/>
        <v>12</v>
      </c>
      <c r="AN59" s="51">
        <f t="shared" si="55"/>
        <v>2015</v>
      </c>
      <c r="AO59" s="51">
        <f t="shared" si="47"/>
        <v>2015</v>
      </c>
      <c r="AP59" s="51">
        <f t="shared" si="48"/>
        <v>0</v>
      </c>
      <c r="AQ59" s="51">
        <f t="shared" si="49"/>
        <v>30</v>
      </c>
      <c r="AR59" s="51">
        <f t="shared" si="50"/>
        <v>20</v>
      </c>
      <c r="AS59" s="51">
        <f t="shared" si="56"/>
        <v>30</v>
      </c>
      <c r="AT59" s="52"/>
      <c r="AU59" s="52"/>
      <c r="AV59" s="52"/>
      <c r="AW59" s="52"/>
      <c r="AX59" s="52"/>
      <c r="AY59" s="51">
        <f t="shared" si="25"/>
        <v>1</v>
      </c>
      <c r="AZ59" s="52"/>
      <c r="BA59" s="52"/>
      <c r="BB59" s="52"/>
      <c r="BC59" s="52"/>
      <c r="BD59" s="52"/>
      <c r="BE59" s="52"/>
      <c r="BF59" s="52"/>
      <c r="BG59" s="52"/>
      <c r="BH59" s="52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si="51"/>
        <v>42389</v>
      </c>
      <c r="C60" s="401"/>
      <c r="D60" s="443">
        <f>IF(N60=0,IF(N59=1,SUM(D$25:E59)," "),IF(N60=0," ",IF(N61=1,D$37,IF(N61=0,D$10-D$37*(M$14-13)," "))))</f>
        <v>20410</v>
      </c>
      <c r="E60" s="443"/>
      <c r="F60" s="84">
        <f>IF(N60=0,IF(N59=1,SUM(F$25:F59)," "),IF(M$1=1,P60,IF(M$1=2,Q60," ")))</f>
        <v>28120</v>
      </c>
      <c r="G60" s="84">
        <f>IF(N60=0,IF(N59=1,SUM(G$25:G59)," "),IF(M$1=1,AC60,IF(M$1=2,AD60," ")))</f>
        <v>0</v>
      </c>
      <c r="H60" s="84">
        <f t="shared" si="52"/>
        <v>48530</v>
      </c>
      <c r="I60" s="84">
        <f>IF(N60=0,IF(N59=1,SUM(D$25:E59)," "),IF(N60=0," ",IF(N61=1,D$37,IF(N61=0,D$10-D$37*(M$14-13)," "))))</f>
        <v>20410</v>
      </c>
      <c r="J60" s="84">
        <f t="shared" si="14"/>
        <v>28120</v>
      </c>
      <c r="K60" s="84">
        <f t="shared" si="15"/>
        <v>0</v>
      </c>
      <c r="L60" s="84">
        <f t="shared" si="26"/>
        <v>48530</v>
      </c>
      <c r="M60" s="51">
        <v>36</v>
      </c>
      <c r="N60" s="51">
        <f t="shared" si="36"/>
        <v>1</v>
      </c>
      <c r="O60" s="51">
        <f t="shared" si="40"/>
        <v>20</v>
      </c>
      <c r="P60" s="56">
        <f t="shared" si="41"/>
        <v>28120</v>
      </c>
      <c r="Q60" s="56">
        <f t="shared" si="42"/>
        <v>28120</v>
      </c>
      <c r="R60" s="56">
        <f t="shared" si="53"/>
        <v>530570</v>
      </c>
      <c r="S60" s="56">
        <f t="shared" si="27"/>
        <v>20410</v>
      </c>
      <c r="T60" s="56">
        <f t="shared" si="28"/>
        <v>20410</v>
      </c>
      <c r="U60" s="56">
        <f t="shared" si="33"/>
        <v>28115.794444444444</v>
      </c>
      <c r="V60" s="56">
        <f t="shared" si="34"/>
        <v>28115.794444444444</v>
      </c>
      <c r="W60" s="56">
        <f t="shared" si="29"/>
        <v>51666.666666666672</v>
      </c>
      <c r="X60" s="56">
        <f t="shared" si="30"/>
        <v>51670</v>
      </c>
      <c r="Y60" s="56">
        <f t="shared" si="18"/>
        <v>530570</v>
      </c>
      <c r="Z60" s="56">
        <f t="shared" si="35"/>
        <v>28115.794444444444</v>
      </c>
      <c r="AA60" s="56">
        <f t="shared" si="19"/>
        <v>28120</v>
      </c>
      <c r="AB60" s="56">
        <f t="shared" si="37"/>
        <v>16325300</v>
      </c>
      <c r="AC60" s="56">
        <f t="shared" si="43"/>
        <v>0</v>
      </c>
      <c r="AD60" s="56">
        <f t="shared" si="44"/>
        <v>0</v>
      </c>
      <c r="AE60" s="56">
        <f t="shared" si="32"/>
        <v>0</v>
      </c>
      <c r="AF60" s="56">
        <f t="shared" si="20"/>
        <v>0</v>
      </c>
      <c r="AG60" s="56">
        <f t="shared" si="31"/>
        <v>0</v>
      </c>
      <c r="AH60" s="56">
        <f t="shared" si="21"/>
        <v>0</v>
      </c>
      <c r="AI60" s="56">
        <f t="shared" si="45"/>
        <v>530570</v>
      </c>
      <c r="AJ60" s="56">
        <f t="shared" si="38"/>
        <v>0</v>
      </c>
      <c r="AK60" s="56">
        <f t="shared" si="39"/>
        <v>0</v>
      </c>
      <c r="AL60" s="57">
        <f t="shared" si="54"/>
        <v>13</v>
      </c>
      <c r="AM60" s="57">
        <f t="shared" si="46"/>
        <v>1</v>
      </c>
      <c r="AN60" s="51">
        <f t="shared" si="55"/>
        <v>2015</v>
      </c>
      <c r="AO60" s="51">
        <f t="shared" si="47"/>
        <v>2016</v>
      </c>
      <c r="AP60" s="51">
        <f t="shared" si="48"/>
        <v>0</v>
      </c>
      <c r="AQ60" s="51">
        <f t="shared" si="49"/>
        <v>30</v>
      </c>
      <c r="AR60" s="51">
        <f t="shared" si="50"/>
        <v>20</v>
      </c>
      <c r="AS60" s="51">
        <f t="shared" si="56"/>
        <v>30</v>
      </c>
      <c r="AT60" s="52"/>
      <c r="AU60" s="52"/>
      <c r="AV60" s="52"/>
      <c r="AW60" s="52"/>
      <c r="AX60" s="52"/>
      <c r="AY60" s="51">
        <f t="shared" si="25"/>
        <v>1</v>
      </c>
      <c r="AZ60" s="52"/>
      <c r="BA60" s="52"/>
      <c r="BB60" s="52"/>
      <c r="BC60" s="52"/>
      <c r="BD60" s="52"/>
      <c r="BE60" s="52"/>
      <c r="BF60" s="52"/>
      <c r="BG60" s="52"/>
      <c r="BH60" s="52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si="51"/>
        <v>42420</v>
      </c>
      <c r="C61" s="401"/>
      <c r="D61" s="443">
        <f>IF(N61=0,IF(N60=1,SUM(D$25:E60)," "),IF(N61=0," ",IF(N62=1,D$37,IF(N62=0,D$10-D$37*(M$14-13)," "))))</f>
        <v>20410</v>
      </c>
      <c r="E61" s="443"/>
      <c r="F61" s="84">
        <f>IF(N61=0,IF(N60=1,SUM(F$25:F60)," "),IF(M$1=1,P61,IF(M$1=2,Q61," ")))</f>
        <v>27060</v>
      </c>
      <c r="G61" s="84">
        <f>IF(N61=0,IF(N60=1,SUM(G$25:G60)," "),IF(M$1=1,AC61,IF(M$1=2,AD61," ")))</f>
        <v>0</v>
      </c>
      <c r="H61" s="84">
        <f t="shared" si="52"/>
        <v>47470</v>
      </c>
      <c r="I61" s="84">
        <f>IF(N61=0,IF(N60=1,SUM(D$25:E60)," "),IF(N61=0," ",IF(N62=1,D$37,IF(N62=0,D$10-D$37*(M$14-13)," "))))</f>
        <v>20410</v>
      </c>
      <c r="J61" s="84">
        <f t="shared" si="14"/>
        <v>27060</v>
      </c>
      <c r="K61" s="84">
        <f t="shared" si="15"/>
        <v>0</v>
      </c>
      <c r="L61" s="84">
        <f t="shared" si="26"/>
        <v>47470</v>
      </c>
      <c r="M61" s="51">
        <v>37</v>
      </c>
      <c r="N61" s="51">
        <f t="shared" si="36"/>
        <v>1</v>
      </c>
      <c r="O61" s="51">
        <f t="shared" si="40"/>
        <v>20</v>
      </c>
      <c r="P61" s="56">
        <f t="shared" si="41"/>
        <v>27060</v>
      </c>
      <c r="Q61" s="56">
        <f t="shared" si="42"/>
        <v>27060</v>
      </c>
      <c r="R61" s="56">
        <f t="shared" si="53"/>
        <v>510160</v>
      </c>
      <c r="S61" s="56">
        <f t="shared" si="27"/>
        <v>20410</v>
      </c>
      <c r="T61" s="56">
        <f t="shared" si="28"/>
        <v>20410</v>
      </c>
      <c r="U61" s="56">
        <f t="shared" si="33"/>
        <v>27061.277777777781</v>
      </c>
      <c r="V61" s="56">
        <f t="shared" si="34"/>
        <v>27061.277777777781</v>
      </c>
      <c r="W61" s="56">
        <f t="shared" si="29"/>
        <v>51666.666666666672</v>
      </c>
      <c r="X61" s="56">
        <f t="shared" si="30"/>
        <v>51670</v>
      </c>
      <c r="Y61" s="56">
        <f t="shared" si="18"/>
        <v>510160</v>
      </c>
      <c r="Z61" s="56">
        <f t="shared" si="35"/>
        <v>27061.277777777781</v>
      </c>
      <c r="AA61" s="56">
        <f t="shared" si="19"/>
        <v>27060</v>
      </c>
      <c r="AB61" s="56">
        <f t="shared" si="37"/>
        <v>15713000</v>
      </c>
      <c r="AC61" s="56">
        <f t="shared" si="43"/>
        <v>0</v>
      </c>
      <c r="AD61" s="56">
        <f t="shared" si="44"/>
        <v>0</v>
      </c>
      <c r="AE61" s="56">
        <f t="shared" si="32"/>
        <v>0</v>
      </c>
      <c r="AF61" s="56">
        <f t="shared" si="20"/>
        <v>0</v>
      </c>
      <c r="AG61" s="56">
        <f t="shared" si="31"/>
        <v>0</v>
      </c>
      <c r="AH61" s="56">
        <f t="shared" si="21"/>
        <v>0</v>
      </c>
      <c r="AI61" s="56">
        <f t="shared" si="45"/>
        <v>510160</v>
      </c>
      <c r="AJ61" s="56">
        <f>IF(N62=1,AI60*G$12*20/36000+AI61*G$12*10/36000,IF(N62=0,IF(N61=0,0,AI61*G$12*Q$12/36000)))</f>
        <v>0</v>
      </c>
      <c r="AK61" s="56">
        <f>IF(N62=1,AI60*G$12*20/36000+AI61*G$12*10/36000,IF(N62=0,IF(N61=0,0,AI61*G$12*Q$12/36000)))</f>
        <v>0</v>
      </c>
      <c r="AL61" s="57">
        <f t="shared" si="54"/>
        <v>2</v>
      </c>
      <c r="AM61" s="57">
        <f t="shared" si="46"/>
        <v>2</v>
      </c>
      <c r="AN61" s="51">
        <f t="shared" si="55"/>
        <v>2016</v>
      </c>
      <c r="AO61" s="51">
        <f t="shared" si="47"/>
        <v>2016</v>
      </c>
      <c r="AP61" s="51">
        <f t="shared" si="48"/>
        <v>1</v>
      </c>
      <c r="AQ61" s="51">
        <f t="shared" si="49"/>
        <v>29</v>
      </c>
      <c r="AR61" s="51">
        <f t="shared" si="50"/>
        <v>20</v>
      </c>
      <c r="AS61" s="51">
        <f t="shared" si="56"/>
        <v>30</v>
      </c>
      <c r="AT61" s="52"/>
      <c r="AU61" s="52"/>
      <c r="AV61" s="52"/>
      <c r="AW61" s="52"/>
      <c r="AX61" s="52"/>
      <c r="AY61" s="51">
        <f t="shared" si="25"/>
        <v>1</v>
      </c>
      <c r="AZ61" s="52"/>
      <c r="BA61" s="52"/>
      <c r="BB61" s="52"/>
      <c r="BC61" s="52"/>
      <c r="BD61" s="52"/>
      <c r="BE61" s="52"/>
      <c r="BF61" s="52"/>
      <c r="BG61" s="52"/>
      <c r="BH61" s="52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si="51"/>
        <v>42449</v>
      </c>
      <c r="C62" s="401"/>
      <c r="D62" s="443">
        <f>IF(N62=0,IF(N61=1,SUM(D$25:E61)," "),IF(N62=0," ",IF(N63=1,D$37,IF(N63=0,D$10-D$37*(M$14-13)," "))))</f>
        <v>20410</v>
      </c>
      <c r="E62" s="443"/>
      <c r="F62" s="84">
        <f>IF(N62=0,IF(N61=1,SUM(F$25:F61)," "),IF(M$1=1,P62,IF(M$1=2,Q62," ")))</f>
        <v>26010</v>
      </c>
      <c r="G62" s="84">
        <f>IF(N62=0,IF(N61=1,SUM(G$25:G61)," "),IF(M$1=1,AC62,IF(M$1=2,AD62," ")))</f>
        <v>0</v>
      </c>
      <c r="H62" s="84">
        <f t="shared" si="52"/>
        <v>46420</v>
      </c>
      <c r="I62" s="84">
        <f>IF(N62=0,IF(N61=1,SUM(D$25:E61)," "),IF(N62=0," ",IF(N63=1,D$37,IF(N63=0,D$10-D$37*(M$14-13)," "))))</f>
        <v>20410</v>
      </c>
      <c r="J62" s="84">
        <f t="shared" si="14"/>
        <v>26010</v>
      </c>
      <c r="K62" s="84">
        <f t="shared" si="15"/>
        <v>0</v>
      </c>
      <c r="L62" s="84">
        <f t="shared" si="26"/>
        <v>46420</v>
      </c>
      <c r="M62" s="51">
        <v>38</v>
      </c>
      <c r="N62" s="51">
        <f t="shared" si="36"/>
        <v>1</v>
      </c>
      <c r="O62" s="51">
        <f t="shared" si="40"/>
        <v>20</v>
      </c>
      <c r="P62" s="56">
        <f t="shared" si="41"/>
        <v>26010</v>
      </c>
      <c r="Q62" s="56">
        <f t="shared" si="42"/>
        <v>26010</v>
      </c>
      <c r="R62" s="56">
        <f t="shared" si="53"/>
        <v>489750</v>
      </c>
      <c r="S62" s="56">
        <f t="shared" si="27"/>
        <v>20410</v>
      </c>
      <c r="T62" s="56">
        <f t="shared" si="28"/>
        <v>20410</v>
      </c>
      <c r="U62" s="56">
        <f t="shared" si="33"/>
        <v>26006.761111111111</v>
      </c>
      <c r="V62" s="56">
        <f t="shared" si="34"/>
        <v>26006.761111111111</v>
      </c>
      <c r="W62" s="56">
        <f t="shared" si="29"/>
        <v>51666.666666666672</v>
      </c>
      <c r="X62" s="56">
        <f t="shared" si="30"/>
        <v>51670</v>
      </c>
      <c r="Y62" s="56">
        <f t="shared" si="18"/>
        <v>489750</v>
      </c>
      <c r="Z62" s="56">
        <f t="shared" si="35"/>
        <v>26006.761111111111</v>
      </c>
      <c r="AA62" s="56">
        <f t="shared" si="19"/>
        <v>26010</v>
      </c>
      <c r="AB62" s="56">
        <f t="shared" si="37"/>
        <v>15100700</v>
      </c>
      <c r="AC62" s="56">
        <f t="shared" si="43"/>
        <v>0</v>
      </c>
      <c r="AD62" s="56">
        <f t="shared" si="44"/>
        <v>0</v>
      </c>
      <c r="AE62" s="56">
        <f t="shared" si="32"/>
        <v>0</v>
      </c>
      <c r="AF62" s="56">
        <f t="shared" si="20"/>
        <v>0</v>
      </c>
      <c r="AG62" s="56">
        <f t="shared" si="31"/>
        <v>0</v>
      </c>
      <c r="AH62" s="56">
        <f t="shared" si="21"/>
        <v>0</v>
      </c>
      <c r="AI62" s="56">
        <f t="shared" si="45"/>
        <v>489750</v>
      </c>
      <c r="AJ62" s="56">
        <f t="shared" ref="AJ62:AJ72" si="57">IF(N63=1,AI61*G$12*20/36000+AI62*G$12*10/36000,IF(N63=0,IF(N62=0,0,AI62*G$12*Q$12/36000+AI61*G$12*20/36000+AI62*G$12*10/36000)))</f>
        <v>0</v>
      </c>
      <c r="AK62" s="56">
        <f t="shared" ref="AK62:AK72" si="58">IF(N63=1,AI61*G$12*20/36000+AI62*G$12*10/36000,IF(N63=0,IF(N62=0,0,AI62*G$12*Q$12/36000+AI61*G$12*20/36000+AI62*G$12*10/36000)))</f>
        <v>0</v>
      </c>
      <c r="AL62" s="57">
        <f t="shared" si="54"/>
        <v>3</v>
      </c>
      <c r="AM62" s="57">
        <f t="shared" si="46"/>
        <v>3</v>
      </c>
      <c r="AN62" s="51">
        <f t="shared" si="55"/>
        <v>2016</v>
      </c>
      <c r="AO62" s="51">
        <f t="shared" si="47"/>
        <v>2016</v>
      </c>
      <c r="AP62" s="51">
        <f t="shared" si="48"/>
        <v>1</v>
      </c>
      <c r="AQ62" s="51">
        <f t="shared" si="49"/>
        <v>30</v>
      </c>
      <c r="AR62" s="51">
        <f t="shared" si="50"/>
        <v>20</v>
      </c>
      <c r="AS62" s="51">
        <f t="shared" si="56"/>
        <v>29</v>
      </c>
      <c r="AT62" s="52"/>
      <c r="AU62" s="52"/>
      <c r="AV62" s="52"/>
      <c r="AW62" s="52"/>
      <c r="AX62" s="52"/>
      <c r="AY62" s="51">
        <f t="shared" si="25"/>
        <v>1</v>
      </c>
      <c r="AZ62" s="52"/>
      <c r="BA62" s="52"/>
      <c r="BB62" s="52"/>
      <c r="BC62" s="52"/>
      <c r="BD62" s="52"/>
      <c r="BE62" s="52"/>
      <c r="BF62" s="52"/>
      <c r="BG62" s="52"/>
      <c r="BH62" s="52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si="51"/>
        <v>42480</v>
      </c>
      <c r="C63" s="401"/>
      <c r="D63" s="443">
        <f>IF(N63=0,IF(N62=1,SUM(D$25:E62)," "),IF(N63=0," ",IF(N64=1,D$37,IF(N64=0,D$10-D$37*(M$14-13)," "))))</f>
        <v>20410</v>
      </c>
      <c r="E63" s="443"/>
      <c r="F63" s="84">
        <f>IF(N63=0,IF(N62=1,SUM(F$25:F62)," "),IF(M$1=1,P63,IF(M$1=2,Q63," ")))</f>
        <v>24950</v>
      </c>
      <c r="G63" s="84">
        <f>IF(N63=0,IF(N62=1,SUM(G$25:G62)," "),IF(M$1=1,AC63,IF(M$1=2,AD63," ")))</f>
        <v>0</v>
      </c>
      <c r="H63" s="84">
        <f t="shared" si="52"/>
        <v>45360</v>
      </c>
      <c r="I63" s="84">
        <f>IF(N63=0,IF(N62=1,SUM(D$25:E62)," "),IF(N63=0," ",IF(N64=1,D$37,IF(N64=0,D$10-D$37*(M$14-13)," "))))</f>
        <v>20410</v>
      </c>
      <c r="J63" s="84">
        <f t="shared" si="14"/>
        <v>24950</v>
      </c>
      <c r="K63" s="84">
        <f t="shared" si="15"/>
        <v>0</v>
      </c>
      <c r="L63" s="84">
        <f t="shared" si="26"/>
        <v>45360</v>
      </c>
      <c r="M63" s="51">
        <v>39</v>
      </c>
      <c r="N63" s="51">
        <f t="shared" si="36"/>
        <v>1</v>
      </c>
      <c r="O63" s="51">
        <f t="shared" si="40"/>
        <v>20</v>
      </c>
      <c r="P63" s="56">
        <f t="shared" si="41"/>
        <v>24950</v>
      </c>
      <c r="Q63" s="56">
        <f t="shared" si="42"/>
        <v>24950</v>
      </c>
      <c r="R63" s="56">
        <f t="shared" si="53"/>
        <v>469340</v>
      </c>
      <c r="S63" s="56">
        <f t="shared" si="27"/>
        <v>20410</v>
      </c>
      <c r="T63" s="56">
        <f t="shared" si="28"/>
        <v>20410</v>
      </c>
      <c r="U63" s="56">
        <f t="shared" si="33"/>
        <v>24952.244444444445</v>
      </c>
      <c r="V63" s="56">
        <f t="shared" si="34"/>
        <v>24952.244444444445</v>
      </c>
      <c r="W63" s="56">
        <f t="shared" si="29"/>
        <v>51666.666666666672</v>
      </c>
      <c r="X63" s="56">
        <f t="shared" si="30"/>
        <v>51670</v>
      </c>
      <c r="Y63" s="56">
        <f t="shared" si="18"/>
        <v>469340</v>
      </c>
      <c r="Z63" s="56">
        <f t="shared" si="35"/>
        <v>24952.244444444445</v>
      </c>
      <c r="AA63" s="56">
        <f t="shared" si="19"/>
        <v>24950</v>
      </c>
      <c r="AB63" s="56">
        <f t="shared" si="37"/>
        <v>14488400</v>
      </c>
      <c r="AC63" s="56">
        <f t="shared" si="43"/>
        <v>0</v>
      </c>
      <c r="AD63" s="56">
        <f t="shared" si="44"/>
        <v>0</v>
      </c>
      <c r="AE63" s="56">
        <f t="shared" si="32"/>
        <v>0</v>
      </c>
      <c r="AF63" s="56">
        <f t="shared" si="20"/>
        <v>0</v>
      </c>
      <c r="AG63" s="56">
        <f t="shared" si="31"/>
        <v>0</v>
      </c>
      <c r="AH63" s="56">
        <f t="shared" si="21"/>
        <v>0</v>
      </c>
      <c r="AI63" s="56">
        <f t="shared" si="45"/>
        <v>469340</v>
      </c>
      <c r="AJ63" s="56">
        <f t="shared" si="57"/>
        <v>0</v>
      </c>
      <c r="AK63" s="56">
        <f t="shared" si="58"/>
        <v>0</v>
      </c>
      <c r="AL63" s="57">
        <f t="shared" si="54"/>
        <v>4</v>
      </c>
      <c r="AM63" s="57">
        <f t="shared" si="46"/>
        <v>4</v>
      </c>
      <c r="AN63" s="51">
        <f t="shared" si="55"/>
        <v>2016</v>
      </c>
      <c r="AO63" s="51">
        <f t="shared" si="47"/>
        <v>2016</v>
      </c>
      <c r="AP63" s="51">
        <f t="shared" si="48"/>
        <v>1</v>
      </c>
      <c r="AQ63" s="51">
        <f t="shared" si="49"/>
        <v>30</v>
      </c>
      <c r="AR63" s="51">
        <f t="shared" si="50"/>
        <v>20</v>
      </c>
      <c r="AS63" s="51">
        <f t="shared" si="56"/>
        <v>30</v>
      </c>
      <c r="AT63" s="52"/>
      <c r="AU63" s="52"/>
      <c r="AV63" s="52"/>
      <c r="AW63" s="52"/>
      <c r="AX63" s="52"/>
      <c r="AY63" s="51">
        <f t="shared" si="25"/>
        <v>1</v>
      </c>
      <c r="AZ63" s="52"/>
      <c r="BA63" s="52"/>
      <c r="BB63" s="52"/>
      <c r="BC63" s="52"/>
      <c r="BD63" s="52"/>
      <c r="BE63" s="52"/>
      <c r="BF63" s="52"/>
      <c r="BG63" s="52"/>
      <c r="BH63" s="52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si="51"/>
        <v>42510</v>
      </c>
      <c r="C64" s="401"/>
      <c r="D64" s="443">
        <f>IF(N64=0,IF(N63=1,SUM(D$25:E63)," "),IF(N64=0," ",IF(N65=1,D$37,IF(N65=0,D$10-D$37*(M$14-13)," "))))</f>
        <v>20410</v>
      </c>
      <c r="E64" s="443"/>
      <c r="F64" s="84">
        <f>IF(N64=0,IF(N63=1,SUM(F$25:F63)," "),IF(M$1=1,P64,IF(M$1=2,Q64," ")))</f>
        <v>23900</v>
      </c>
      <c r="G64" s="84">
        <f>IF(N64=0,IF(N63=1,SUM(G$25:G63)," "),IF(M$1=1,AC64,IF(M$1=2,AD64," ")))</f>
        <v>0</v>
      </c>
      <c r="H64" s="84">
        <f t="shared" si="52"/>
        <v>44310</v>
      </c>
      <c r="I64" s="84">
        <f>IF(N64=0,IF(N63=1,SUM(D$25:E63)," "),IF(N64=0," ",IF(N65=1,D$37,IF(N65=0,D$10-D$37*(M$14-13)," "))))</f>
        <v>20410</v>
      </c>
      <c r="J64" s="84">
        <f t="shared" si="14"/>
        <v>23900</v>
      </c>
      <c r="K64" s="84">
        <f t="shared" si="15"/>
        <v>0</v>
      </c>
      <c r="L64" s="84">
        <f t="shared" si="26"/>
        <v>44310</v>
      </c>
      <c r="M64" s="51">
        <v>40</v>
      </c>
      <c r="N64" s="51">
        <f t="shared" si="36"/>
        <v>1</v>
      </c>
      <c r="O64" s="51">
        <f t="shared" si="40"/>
        <v>20</v>
      </c>
      <c r="P64" s="56">
        <f t="shared" si="41"/>
        <v>23900</v>
      </c>
      <c r="Q64" s="56">
        <f t="shared" si="42"/>
        <v>23900</v>
      </c>
      <c r="R64" s="56">
        <f t="shared" si="53"/>
        <v>448930</v>
      </c>
      <c r="S64" s="56">
        <f t="shared" si="27"/>
        <v>20410</v>
      </c>
      <c r="T64" s="56">
        <f t="shared" si="28"/>
        <v>20410</v>
      </c>
      <c r="U64" s="56">
        <f t="shared" si="33"/>
        <v>23897.727777777778</v>
      </c>
      <c r="V64" s="56">
        <f t="shared" si="34"/>
        <v>23897.727777777778</v>
      </c>
      <c r="W64" s="56">
        <f t="shared" si="29"/>
        <v>51666.666666666672</v>
      </c>
      <c r="X64" s="56">
        <f t="shared" si="30"/>
        <v>51670</v>
      </c>
      <c r="Y64" s="56">
        <f t="shared" si="18"/>
        <v>448930</v>
      </c>
      <c r="Z64" s="56">
        <f t="shared" si="35"/>
        <v>23897.727777777778</v>
      </c>
      <c r="AA64" s="56">
        <f t="shared" si="19"/>
        <v>23900</v>
      </c>
      <c r="AB64" s="56">
        <f t="shared" si="37"/>
        <v>13876100</v>
      </c>
      <c r="AC64" s="56">
        <f t="shared" si="43"/>
        <v>0</v>
      </c>
      <c r="AD64" s="56">
        <f t="shared" si="44"/>
        <v>0</v>
      </c>
      <c r="AE64" s="56">
        <f t="shared" si="32"/>
        <v>0</v>
      </c>
      <c r="AF64" s="56">
        <f t="shared" si="20"/>
        <v>0</v>
      </c>
      <c r="AG64" s="56">
        <f t="shared" si="31"/>
        <v>0</v>
      </c>
      <c r="AH64" s="56">
        <f t="shared" si="21"/>
        <v>0</v>
      </c>
      <c r="AI64" s="56">
        <f t="shared" si="45"/>
        <v>448930</v>
      </c>
      <c r="AJ64" s="56">
        <f t="shared" si="57"/>
        <v>0</v>
      </c>
      <c r="AK64" s="56">
        <f t="shared" si="58"/>
        <v>0</v>
      </c>
      <c r="AL64" s="57">
        <f t="shared" si="54"/>
        <v>5</v>
      </c>
      <c r="AM64" s="57">
        <f t="shared" si="46"/>
        <v>5</v>
      </c>
      <c r="AN64" s="51">
        <f t="shared" si="55"/>
        <v>2016</v>
      </c>
      <c r="AO64" s="51">
        <f t="shared" si="47"/>
        <v>2016</v>
      </c>
      <c r="AP64" s="51">
        <f t="shared" si="48"/>
        <v>1</v>
      </c>
      <c r="AQ64" s="51">
        <f t="shared" si="49"/>
        <v>30</v>
      </c>
      <c r="AR64" s="51">
        <f t="shared" si="50"/>
        <v>20</v>
      </c>
      <c r="AS64" s="51">
        <f t="shared" si="56"/>
        <v>30</v>
      </c>
      <c r="AT64" s="52"/>
      <c r="AU64" s="52"/>
      <c r="AV64" s="52"/>
      <c r="AW64" s="52"/>
      <c r="AX64" s="52"/>
      <c r="AY64" s="51">
        <f t="shared" si="25"/>
        <v>1</v>
      </c>
      <c r="AZ64" s="52"/>
      <c r="BA64" s="52"/>
      <c r="BB64" s="52"/>
      <c r="BC64" s="52"/>
      <c r="BD64" s="52"/>
      <c r="BE64" s="52"/>
      <c r="BF64" s="52"/>
      <c r="BG64" s="52"/>
      <c r="BH64" s="52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si="51"/>
        <v>42541</v>
      </c>
      <c r="C65" s="401"/>
      <c r="D65" s="443">
        <f>IF(N65=0,IF(N64=1,SUM(D$25:E64)," "),IF(N65=0," ",IF(N66=1,D$37,IF(N66=0,D$10-D$37*(M$14-13)," "))))</f>
        <v>20410</v>
      </c>
      <c r="E65" s="443"/>
      <c r="F65" s="84">
        <f>IF(N65=0,IF(N64=1,SUM(F$25:F64)," "),IF(M$1=1,P65,IF(M$1=2,Q65," ")))</f>
        <v>22840</v>
      </c>
      <c r="G65" s="84">
        <f>IF(N65=0,IF(N64=1,SUM(G$25:G64)," "),IF(M$1=1,AC65,IF(M$1=2,AD65," ")))</f>
        <v>0</v>
      </c>
      <c r="H65" s="84">
        <f t="shared" si="52"/>
        <v>43250</v>
      </c>
      <c r="I65" s="84">
        <f>IF(N65=0,IF(N64=1,SUM(D$25:E64)," "),IF(N65=0," ",IF(N66=1,D$37,IF(N66=0,D$10-D$37*(M$14-13)," "))))</f>
        <v>20410</v>
      </c>
      <c r="J65" s="84">
        <f t="shared" si="14"/>
        <v>22840</v>
      </c>
      <c r="K65" s="84">
        <f t="shared" si="15"/>
        <v>0</v>
      </c>
      <c r="L65" s="84">
        <f t="shared" si="26"/>
        <v>43250</v>
      </c>
      <c r="M65" s="51">
        <v>41</v>
      </c>
      <c r="N65" s="51">
        <f t="shared" si="36"/>
        <v>1</v>
      </c>
      <c r="O65" s="51">
        <f t="shared" si="40"/>
        <v>20</v>
      </c>
      <c r="P65" s="56">
        <f t="shared" si="41"/>
        <v>22840</v>
      </c>
      <c r="Q65" s="56">
        <f t="shared" si="42"/>
        <v>22840</v>
      </c>
      <c r="R65" s="56">
        <f t="shared" si="53"/>
        <v>428520</v>
      </c>
      <c r="S65" s="56">
        <f t="shared" si="27"/>
        <v>20410</v>
      </c>
      <c r="T65" s="56">
        <f t="shared" si="28"/>
        <v>20410</v>
      </c>
      <c r="U65" s="56">
        <f t="shared" si="33"/>
        <v>22843.211111111112</v>
      </c>
      <c r="V65" s="56">
        <f t="shared" si="34"/>
        <v>22843.211111111112</v>
      </c>
      <c r="W65" s="56">
        <f t="shared" si="29"/>
        <v>51666.666666666672</v>
      </c>
      <c r="X65" s="56">
        <f t="shared" si="30"/>
        <v>51670</v>
      </c>
      <c r="Y65" s="56">
        <f t="shared" si="18"/>
        <v>428520</v>
      </c>
      <c r="Z65" s="56">
        <f t="shared" si="35"/>
        <v>22843.211111111112</v>
      </c>
      <c r="AA65" s="56">
        <f t="shared" si="19"/>
        <v>22840</v>
      </c>
      <c r="AB65" s="56">
        <f t="shared" si="37"/>
        <v>13263800</v>
      </c>
      <c r="AC65" s="56">
        <f t="shared" si="43"/>
        <v>0</v>
      </c>
      <c r="AD65" s="56">
        <f t="shared" si="44"/>
        <v>0</v>
      </c>
      <c r="AE65" s="56">
        <f t="shared" si="32"/>
        <v>0</v>
      </c>
      <c r="AF65" s="56">
        <f t="shared" si="20"/>
        <v>0</v>
      </c>
      <c r="AG65" s="56">
        <f t="shared" si="31"/>
        <v>0</v>
      </c>
      <c r="AH65" s="56">
        <f t="shared" si="21"/>
        <v>0</v>
      </c>
      <c r="AI65" s="56">
        <f t="shared" si="45"/>
        <v>428520</v>
      </c>
      <c r="AJ65" s="56">
        <f t="shared" si="57"/>
        <v>0</v>
      </c>
      <c r="AK65" s="56">
        <f t="shared" si="58"/>
        <v>0</v>
      </c>
      <c r="AL65" s="57">
        <f t="shared" si="54"/>
        <v>6</v>
      </c>
      <c r="AM65" s="57">
        <f t="shared" si="46"/>
        <v>6</v>
      </c>
      <c r="AN65" s="51">
        <f t="shared" si="55"/>
        <v>2016</v>
      </c>
      <c r="AO65" s="51">
        <f t="shared" si="47"/>
        <v>2016</v>
      </c>
      <c r="AP65" s="51">
        <f t="shared" si="48"/>
        <v>1</v>
      </c>
      <c r="AQ65" s="51">
        <f t="shared" si="49"/>
        <v>30</v>
      </c>
      <c r="AR65" s="51">
        <f t="shared" si="50"/>
        <v>20</v>
      </c>
      <c r="AS65" s="51">
        <f t="shared" si="56"/>
        <v>30</v>
      </c>
      <c r="AT65" s="52"/>
      <c r="AU65" s="52"/>
      <c r="AV65" s="52"/>
      <c r="AW65" s="52"/>
      <c r="AX65" s="52"/>
      <c r="AY65" s="51">
        <f t="shared" si="25"/>
        <v>1</v>
      </c>
      <c r="AZ65" s="52"/>
      <c r="BA65" s="52"/>
      <c r="BB65" s="52"/>
      <c r="BC65" s="52"/>
      <c r="BD65" s="52"/>
      <c r="BE65" s="52"/>
      <c r="BF65" s="52"/>
      <c r="BG65" s="52"/>
      <c r="BH65" s="52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si="51"/>
        <v>42571</v>
      </c>
      <c r="C66" s="401"/>
      <c r="D66" s="443">
        <f>IF(N66=0,IF(N65=1,SUM(D$25:E65)," "),IF(N66=0," ",IF(N67=1,D$37,IF(N67=0,D$10-D$37*(M$14-13)," "))))</f>
        <v>20410</v>
      </c>
      <c r="E66" s="443"/>
      <c r="F66" s="84">
        <f>IF(N66=0,IF(N65=1,SUM(F$25:F65)," "),IF(M$1=1,P66,IF(M$1=2,Q66," ")))</f>
        <v>21790</v>
      </c>
      <c r="G66" s="84">
        <f>IF(N66=0,IF(N65=1,SUM(G$25:G65)," "),IF(M$1=1,AC66,IF(M$1=2,AD66," ")))</f>
        <v>0</v>
      </c>
      <c r="H66" s="84">
        <f t="shared" si="52"/>
        <v>42200</v>
      </c>
      <c r="I66" s="84">
        <f>IF(N66=0,IF(N65=1,SUM(D$25:E65)," "),IF(N66=0," ",IF(N67=1,D$37,IF(N67=0,D$10-D$37*(M$14-13)," "))))</f>
        <v>20410</v>
      </c>
      <c r="J66" s="84">
        <f t="shared" si="14"/>
        <v>21790</v>
      </c>
      <c r="K66" s="84">
        <f t="shared" si="15"/>
        <v>0</v>
      </c>
      <c r="L66" s="84">
        <f t="shared" si="26"/>
        <v>42200</v>
      </c>
      <c r="M66" s="51">
        <v>42</v>
      </c>
      <c r="N66" s="51">
        <f t="shared" si="36"/>
        <v>1</v>
      </c>
      <c r="O66" s="51">
        <f t="shared" si="40"/>
        <v>20</v>
      </c>
      <c r="P66" s="56">
        <f t="shared" si="41"/>
        <v>21790</v>
      </c>
      <c r="Q66" s="56">
        <f t="shared" si="42"/>
        <v>21790</v>
      </c>
      <c r="R66" s="56">
        <f t="shared" si="53"/>
        <v>408110</v>
      </c>
      <c r="S66" s="56">
        <f t="shared" si="27"/>
        <v>20410</v>
      </c>
      <c r="T66" s="56">
        <f t="shared" si="28"/>
        <v>20410</v>
      </c>
      <c r="U66" s="56">
        <f t="shared" si="33"/>
        <v>21788.694444444445</v>
      </c>
      <c r="V66" s="56">
        <f t="shared" si="34"/>
        <v>21788.694444444445</v>
      </c>
      <c r="W66" s="56">
        <f t="shared" si="29"/>
        <v>51666.666666666672</v>
      </c>
      <c r="X66" s="56">
        <f t="shared" si="30"/>
        <v>51670</v>
      </c>
      <c r="Y66" s="56">
        <f t="shared" si="18"/>
        <v>408110</v>
      </c>
      <c r="Z66" s="56">
        <f t="shared" si="35"/>
        <v>21788.694444444445</v>
      </c>
      <c r="AA66" s="56">
        <f t="shared" si="19"/>
        <v>21790</v>
      </c>
      <c r="AB66" s="56">
        <f t="shared" si="37"/>
        <v>12651500</v>
      </c>
      <c r="AC66" s="56">
        <f t="shared" si="43"/>
        <v>0</v>
      </c>
      <c r="AD66" s="56">
        <f t="shared" si="44"/>
        <v>0</v>
      </c>
      <c r="AE66" s="56">
        <f t="shared" si="32"/>
        <v>0</v>
      </c>
      <c r="AF66" s="56">
        <f t="shared" si="20"/>
        <v>0</v>
      </c>
      <c r="AG66" s="56">
        <f t="shared" si="31"/>
        <v>0</v>
      </c>
      <c r="AH66" s="56">
        <f t="shared" si="21"/>
        <v>0</v>
      </c>
      <c r="AI66" s="56">
        <f t="shared" si="45"/>
        <v>408110</v>
      </c>
      <c r="AJ66" s="56">
        <f t="shared" si="57"/>
        <v>0</v>
      </c>
      <c r="AK66" s="56">
        <f t="shared" si="58"/>
        <v>0</v>
      </c>
      <c r="AL66" s="57">
        <f t="shared" si="54"/>
        <v>7</v>
      </c>
      <c r="AM66" s="57">
        <f t="shared" si="46"/>
        <v>7</v>
      </c>
      <c r="AN66" s="51">
        <f t="shared" si="55"/>
        <v>2016</v>
      </c>
      <c r="AO66" s="51">
        <f t="shared" si="47"/>
        <v>2016</v>
      </c>
      <c r="AP66" s="51">
        <f t="shared" si="48"/>
        <v>1</v>
      </c>
      <c r="AQ66" s="51">
        <f t="shared" si="49"/>
        <v>30</v>
      </c>
      <c r="AR66" s="51">
        <f t="shared" si="50"/>
        <v>20</v>
      </c>
      <c r="AS66" s="51">
        <f t="shared" si="56"/>
        <v>30</v>
      </c>
      <c r="AT66" s="52"/>
      <c r="AU66" s="52"/>
      <c r="AV66" s="52"/>
      <c r="AW66" s="52"/>
      <c r="AX66" s="52"/>
      <c r="AY66" s="51">
        <f t="shared" si="25"/>
        <v>1</v>
      </c>
      <c r="AZ66" s="52"/>
      <c r="BA66" s="52"/>
      <c r="BB66" s="52"/>
      <c r="BC66" s="52"/>
      <c r="BD66" s="52"/>
      <c r="BE66" s="52"/>
      <c r="BF66" s="52"/>
      <c r="BG66" s="52"/>
      <c r="BH66" s="52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si="51"/>
        <v>42602</v>
      </c>
      <c r="C67" s="401"/>
      <c r="D67" s="443">
        <f>IF(N67=0,IF(N66=1,SUM(D$25:E66)," "),IF(N67=0," ",IF(N68=1,D$37,IF(N68=0,D$10-D$37*(M$14-13)," "))))</f>
        <v>20410</v>
      </c>
      <c r="E67" s="443"/>
      <c r="F67" s="84">
        <f>IF(N67=0,IF(N66=1,SUM(F$25:F66)," "),IF(M$1=1,P67,IF(M$1=2,Q67," ")))</f>
        <v>20730</v>
      </c>
      <c r="G67" s="84">
        <f>IF(N67=0,IF(N66=1,SUM(G$25:G66)," "),IF(M$1=1,AC67,IF(M$1=2,AD67," ")))</f>
        <v>0</v>
      </c>
      <c r="H67" s="84">
        <f t="shared" si="52"/>
        <v>41140</v>
      </c>
      <c r="I67" s="84">
        <f>IF(N67=0,IF(N66=1,SUM(D$25:E66)," "),IF(N67=0," ",IF(N68=1,D$37,IF(N68=0,D$10-D$37*(M$14-13)," "))))</f>
        <v>20410</v>
      </c>
      <c r="J67" s="84">
        <f t="shared" si="14"/>
        <v>20730</v>
      </c>
      <c r="K67" s="84">
        <f t="shared" si="15"/>
        <v>0</v>
      </c>
      <c r="L67" s="84">
        <f t="shared" si="26"/>
        <v>41140</v>
      </c>
      <c r="M67" s="51">
        <v>43</v>
      </c>
      <c r="N67" s="51">
        <f t="shared" si="36"/>
        <v>1</v>
      </c>
      <c r="O67" s="51">
        <f t="shared" si="40"/>
        <v>20</v>
      </c>
      <c r="P67" s="56">
        <f t="shared" si="41"/>
        <v>20730</v>
      </c>
      <c r="Q67" s="56">
        <f t="shared" si="42"/>
        <v>20730</v>
      </c>
      <c r="R67" s="56">
        <f t="shared" si="53"/>
        <v>387700</v>
      </c>
      <c r="S67" s="56">
        <f t="shared" si="27"/>
        <v>20410</v>
      </c>
      <c r="T67" s="56">
        <f t="shared" si="28"/>
        <v>20410</v>
      </c>
      <c r="U67" s="56">
        <f t="shared" si="33"/>
        <v>20734.177777777779</v>
      </c>
      <c r="V67" s="56">
        <f t="shared" si="34"/>
        <v>20734.177777777779</v>
      </c>
      <c r="W67" s="56">
        <f t="shared" si="29"/>
        <v>51666.666666666672</v>
      </c>
      <c r="X67" s="56">
        <f t="shared" si="30"/>
        <v>51670</v>
      </c>
      <c r="Y67" s="56">
        <f t="shared" si="18"/>
        <v>387700</v>
      </c>
      <c r="Z67" s="56">
        <f t="shared" si="35"/>
        <v>20734.177777777779</v>
      </c>
      <c r="AA67" s="56">
        <f t="shared" si="19"/>
        <v>20730</v>
      </c>
      <c r="AB67" s="56">
        <f t="shared" si="37"/>
        <v>12039200</v>
      </c>
      <c r="AC67" s="56">
        <f t="shared" si="43"/>
        <v>0</v>
      </c>
      <c r="AD67" s="56">
        <f t="shared" si="44"/>
        <v>0</v>
      </c>
      <c r="AE67" s="56">
        <f t="shared" si="32"/>
        <v>0</v>
      </c>
      <c r="AF67" s="56">
        <f t="shared" si="20"/>
        <v>0</v>
      </c>
      <c r="AG67" s="56">
        <f t="shared" si="31"/>
        <v>0</v>
      </c>
      <c r="AH67" s="56">
        <f t="shared" si="21"/>
        <v>0</v>
      </c>
      <c r="AI67" s="56">
        <f t="shared" si="45"/>
        <v>387700</v>
      </c>
      <c r="AJ67" s="56">
        <f t="shared" si="57"/>
        <v>0</v>
      </c>
      <c r="AK67" s="56">
        <f t="shared" si="58"/>
        <v>0</v>
      </c>
      <c r="AL67" s="57">
        <f t="shared" si="54"/>
        <v>8</v>
      </c>
      <c r="AM67" s="57">
        <f t="shared" si="46"/>
        <v>8</v>
      </c>
      <c r="AN67" s="51">
        <f t="shared" si="55"/>
        <v>2016</v>
      </c>
      <c r="AO67" s="51">
        <f t="shared" si="47"/>
        <v>2016</v>
      </c>
      <c r="AP67" s="51">
        <f t="shared" si="48"/>
        <v>1</v>
      </c>
      <c r="AQ67" s="51">
        <f t="shared" si="49"/>
        <v>30</v>
      </c>
      <c r="AR67" s="51">
        <f t="shared" si="50"/>
        <v>20</v>
      </c>
      <c r="AS67" s="51">
        <f t="shared" si="56"/>
        <v>30</v>
      </c>
      <c r="AT67" s="52"/>
      <c r="AU67" s="52"/>
      <c r="AV67" s="52"/>
      <c r="AW67" s="52"/>
      <c r="AX67" s="52"/>
      <c r="AY67" s="51">
        <f t="shared" si="25"/>
        <v>1</v>
      </c>
      <c r="AZ67" s="52"/>
      <c r="BA67" s="52"/>
      <c r="BB67" s="52"/>
      <c r="BC67" s="52"/>
      <c r="BD67" s="52"/>
      <c r="BE67" s="52"/>
      <c r="BF67" s="52"/>
      <c r="BG67" s="52"/>
      <c r="BH67" s="52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si="51"/>
        <v>42633</v>
      </c>
      <c r="C68" s="401"/>
      <c r="D68" s="443">
        <f>IF(N68=0,IF(N67=1,SUM(D$25:E67)," "),IF(N68=0," ",IF(N69=1,D$37,IF(N69=0,D$10-D$37*(M$14-13)," "))))</f>
        <v>20410</v>
      </c>
      <c r="E68" s="443"/>
      <c r="F68" s="84">
        <f>IF(N68=0,IF(N67=1,SUM(F$25:F67)," "),IF(M$1=1,P68,IF(M$1=2,Q68," ")))</f>
        <v>19680</v>
      </c>
      <c r="G68" s="84">
        <f>IF(N68=0,IF(N67=1,SUM(G$25:G67)," "),IF(M$1=1,AC68,IF(M$1=2,AD68," ")))</f>
        <v>0</v>
      </c>
      <c r="H68" s="84">
        <f t="shared" si="52"/>
        <v>40090</v>
      </c>
      <c r="I68" s="84">
        <f>IF(N68=0,IF(N67=1,SUM(D$25:E67)," "),IF(N68=0," ",IF(N69=1,D$37,IF(N69=0,D$10-D$37*(M$14-13)," "))))</f>
        <v>20410</v>
      </c>
      <c r="J68" s="84">
        <f t="shared" si="14"/>
        <v>19680</v>
      </c>
      <c r="K68" s="84">
        <f t="shared" si="15"/>
        <v>0</v>
      </c>
      <c r="L68" s="84">
        <f t="shared" si="26"/>
        <v>40090</v>
      </c>
      <c r="M68" s="51">
        <v>44</v>
      </c>
      <c r="N68" s="51">
        <f t="shared" si="36"/>
        <v>1</v>
      </c>
      <c r="O68" s="51">
        <f t="shared" si="40"/>
        <v>20</v>
      </c>
      <c r="P68" s="56">
        <f t="shared" si="41"/>
        <v>19680</v>
      </c>
      <c r="Q68" s="56">
        <f t="shared" si="42"/>
        <v>19680</v>
      </c>
      <c r="R68" s="56">
        <f t="shared" si="53"/>
        <v>367290</v>
      </c>
      <c r="S68" s="56">
        <f t="shared" si="27"/>
        <v>20410</v>
      </c>
      <c r="T68" s="56">
        <f t="shared" si="28"/>
        <v>20410</v>
      </c>
      <c r="U68" s="56">
        <f t="shared" si="33"/>
        <v>19679.661111111112</v>
      </c>
      <c r="V68" s="56">
        <f t="shared" si="34"/>
        <v>19679.661111111112</v>
      </c>
      <c r="W68" s="56">
        <f t="shared" si="29"/>
        <v>51666.666666666672</v>
      </c>
      <c r="X68" s="56">
        <f t="shared" si="30"/>
        <v>51670</v>
      </c>
      <c r="Y68" s="56">
        <f t="shared" si="18"/>
        <v>367290</v>
      </c>
      <c r="Z68" s="56">
        <f t="shared" si="35"/>
        <v>19679.661111111112</v>
      </c>
      <c r="AA68" s="56">
        <f t="shared" si="19"/>
        <v>19680</v>
      </c>
      <c r="AB68" s="56">
        <f t="shared" si="37"/>
        <v>11426900</v>
      </c>
      <c r="AC68" s="56">
        <f t="shared" si="43"/>
        <v>0</v>
      </c>
      <c r="AD68" s="56">
        <f t="shared" si="44"/>
        <v>0</v>
      </c>
      <c r="AE68" s="56">
        <f t="shared" si="32"/>
        <v>0</v>
      </c>
      <c r="AF68" s="56">
        <f t="shared" si="20"/>
        <v>0</v>
      </c>
      <c r="AG68" s="56">
        <f t="shared" si="31"/>
        <v>0</v>
      </c>
      <c r="AH68" s="56">
        <f t="shared" si="21"/>
        <v>0</v>
      </c>
      <c r="AI68" s="56">
        <f t="shared" si="45"/>
        <v>367290</v>
      </c>
      <c r="AJ68" s="56">
        <f t="shared" si="57"/>
        <v>0</v>
      </c>
      <c r="AK68" s="56">
        <f t="shared" si="58"/>
        <v>0</v>
      </c>
      <c r="AL68" s="57">
        <f t="shared" si="54"/>
        <v>9</v>
      </c>
      <c r="AM68" s="57">
        <f t="shared" si="46"/>
        <v>9</v>
      </c>
      <c r="AN68" s="51">
        <f t="shared" si="55"/>
        <v>2016</v>
      </c>
      <c r="AO68" s="51">
        <f t="shared" si="47"/>
        <v>2016</v>
      </c>
      <c r="AP68" s="51">
        <f t="shared" si="48"/>
        <v>1</v>
      </c>
      <c r="AQ68" s="51">
        <f t="shared" si="49"/>
        <v>30</v>
      </c>
      <c r="AR68" s="51">
        <f t="shared" si="50"/>
        <v>20</v>
      </c>
      <c r="AS68" s="51">
        <f t="shared" si="56"/>
        <v>30</v>
      </c>
      <c r="AT68" s="52"/>
      <c r="AU68" s="52"/>
      <c r="AV68" s="52"/>
      <c r="AW68" s="52"/>
      <c r="AX68" s="52"/>
      <c r="AY68" s="51">
        <f t="shared" si="25"/>
        <v>1</v>
      </c>
      <c r="AZ68" s="52"/>
      <c r="BA68" s="52"/>
      <c r="BB68" s="52"/>
      <c r="BC68" s="52"/>
      <c r="BD68" s="52"/>
      <c r="BE68" s="52"/>
      <c r="BF68" s="52"/>
      <c r="BG68" s="52"/>
      <c r="BH68" s="52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si="51"/>
        <v>42663</v>
      </c>
      <c r="C69" s="401"/>
      <c r="D69" s="443">
        <f>IF(N69=0,IF(N68=1,SUM(D$25:E68)," "),IF(N69=0," ",IF(N70=1,D$37,IF(N70=0,D$10-D$37*(M$14-13)," "))))</f>
        <v>20410</v>
      </c>
      <c r="E69" s="443"/>
      <c r="F69" s="84">
        <f>IF(N69=0,IF(N68=1,SUM(F$25:F68)," "),IF(M$1=1,P69,IF(M$1=2,Q69," ")))</f>
        <v>18620</v>
      </c>
      <c r="G69" s="84">
        <f>IF(N69=0,IF(N68=1,SUM(G$25:G68)," "),IF(M$1=1,AC69,IF(M$1=2,AD69," ")))</f>
        <v>0</v>
      </c>
      <c r="H69" s="84">
        <f t="shared" si="52"/>
        <v>39030</v>
      </c>
      <c r="I69" s="84">
        <f>IF(N69=0,IF(N68=1,SUM(D$25:E68)," "),IF(N69=0," ",IF(N70=1,D$37,IF(N70=0,D$10-D$37*(M$14-13)," "))))</f>
        <v>20410</v>
      </c>
      <c r="J69" s="84">
        <f t="shared" si="14"/>
        <v>18620</v>
      </c>
      <c r="K69" s="84">
        <f t="shared" si="15"/>
        <v>0</v>
      </c>
      <c r="L69" s="84">
        <f t="shared" si="26"/>
        <v>39030</v>
      </c>
      <c r="M69" s="51">
        <v>45</v>
      </c>
      <c r="N69" s="51">
        <f t="shared" si="36"/>
        <v>1</v>
      </c>
      <c r="O69" s="51">
        <f t="shared" si="40"/>
        <v>20</v>
      </c>
      <c r="P69" s="56">
        <f t="shared" si="41"/>
        <v>18620</v>
      </c>
      <c r="Q69" s="56">
        <f t="shared" si="42"/>
        <v>18620</v>
      </c>
      <c r="R69" s="56">
        <f t="shared" si="53"/>
        <v>346880</v>
      </c>
      <c r="S69" s="56">
        <f t="shared" si="27"/>
        <v>20410</v>
      </c>
      <c r="T69" s="56">
        <f t="shared" si="28"/>
        <v>20410</v>
      </c>
      <c r="U69" s="56">
        <f t="shared" si="33"/>
        <v>18625.144444444446</v>
      </c>
      <c r="V69" s="56">
        <f t="shared" si="34"/>
        <v>18625.144444444446</v>
      </c>
      <c r="W69" s="56">
        <f t="shared" si="29"/>
        <v>51666.666666666672</v>
      </c>
      <c r="X69" s="56">
        <f t="shared" si="30"/>
        <v>51670</v>
      </c>
      <c r="Y69" s="56">
        <f t="shared" si="18"/>
        <v>346880</v>
      </c>
      <c r="Z69" s="56">
        <f t="shared" si="35"/>
        <v>18625.144444444446</v>
      </c>
      <c r="AA69" s="56">
        <f t="shared" si="19"/>
        <v>18620</v>
      </c>
      <c r="AB69" s="56">
        <f t="shared" si="37"/>
        <v>10814600</v>
      </c>
      <c r="AC69" s="56">
        <f t="shared" si="43"/>
        <v>0</v>
      </c>
      <c r="AD69" s="56">
        <f t="shared" si="44"/>
        <v>0</v>
      </c>
      <c r="AE69" s="56">
        <f t="shared" si="32"/>
        <v>0</v>
      </c>
      <c r="AF69" s="56">
        <f t="shared" si="20"/>
        <v>0</v>
      </c>
      <c r="AG69" s="56">
        <f t="shared" si="31"/>
        <v>0</v>
      </c>
      <c r="AH69" s="56">
        <f t="shared" si="21"/>
        <v>0</v>
      </c>
      <c r="AI69" s="56">
        <f t="shared" si="45"/>
        <v>346880</v>
      </c>
      <c r="AJ69" s="56">
        <f t="shared" si="57"/>
        <v>0</v>
      </c>
      <c r="AK69" s="56">
        <f t="shared" si="58"/>
        <v>0</v>
      </c>
      <c r="AL69" s="57">
        <f t="shared" si="54"/>
        <v>10</v>
      </c>
      <c r="AM69" s="57">
        <f t="shared" si="46"/>
        <v>10</v>
      </c>
      <c r="AN69" s="51">
        <f t="shared" si="55"/>
        <v>2016</v>
      </c>
      <c r="AO69" s="51">
        <f t="shared" si="47"/>
        <v>2016</v>
      </c>
      <c r="AP69" s="51">
        <f t="shared" si="48"/>
        <v>1</v>
      </c>
      <c r="AQ69" s="51">
        <f t="shared" si="49"/>
        <v>30</v>
      </c>
      <c r="AR69" s="51">
        <f t="shared" si="50"/>
        <v>20</v>
      </c>
      <c r="AS69" s="51">
        <f t="shared" si="56"/>
        <v>30</v>
      </c>
      <c r="AT69" s="52"/>
      <c r="AU69" s="52"/>
      <c r="AV69" s="52"/>
      <c r="AW69" s="52"/>
      <c r="AX69" s="52"/>
      <c r="AY69" s="51">
        <f t="shared" si="25"/>
        <v>1</v>
      </c>
      <c r="AZ69" s="52"/>
      <c r="BA69" s="52"/>
      <c r="BB69" s="52"/>
      <c r="BC69" s="52"/>
      <c r="BD69" s="52"/>
      <c r="BE69" s="52"/>
      <c r="BF69" s="52"/>
      <c r="BG69" s="52"/>
      <c r="BH69" s="52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si="51"/>
        <v>42694</v>
      </c>
      <c r="C70" s="401"/>
      <c r="D70" s="443">
        <f>IF(N70=0,IF(N69=1,SUM(D$25:E69)," "),IF(N70=0," ",IF(N71=1,D$37,IF(N71=0,D$10-D$37*(M$14-13)," "))))</f>
        <v>20410</v>
      </c>
      <c r="E70" s="443"/>
      <c r="F70" s="84">
        <f>IF(N70=0,IF(N69=1,SUM(F$25:F69)," "),IF(M$1=1,P70,IF(M$1=2,Q70," ")))</f>
        <v>17570</v>
      </c>
      <c r="G70" s="84">
        <f>IF(N70=0,IF(N69=1,SUM(G$25:G69)," "),IF(M$1=1,AC70,IF(M$1=2,AD70," ")))</f>
        <v>0</v>
      </c>
      <c r="H70" s="84">
        <f t="shared" si="52"/>
        <v>37980</v>
      </c>
      <c r="I70" s="84">
        <f>IF(N70=0,IF(N69=1,SUM(D$25:E69)," "),IF(N70=0," ",IF(N71=1,D$37,IF(N71=0,D$10-D$37*(M$14-13)," "))))</f>
        <v>20410</v>
      </c>
      <c r="J70" s="84">
        <f t="shared" si="14"/>
        <v>17570</v>
      </c>
      <c r="K70" s="84">
        <f t="shared" si="15"/>
        <v>0</v>
      </c>
      <c r="L70" s="84">
        <f t="shared" si="26"/>
        <v>37980</v>
      </c>
      <c r="M70" s="51">
        <v>46</v>
      </c>
      <c r="N70" s="51">
        <f t="shared" si="36"/>
        <v>1</v>
      </c>
      <c r="O70" s="51">
        <f t="shared" si="40"/>
        <v>20</v>
      </c>
      <c r="P70" s="56">
        <f t="shared" si="41"/>
        <v>17570</v>
      </c>
      <c r="Q70" s="56">
        <f t="shared" si="42"/>
        <v>17570</v>
      </c>
      <c r="R70" s="56">
        <f t="shared" si="53"/>
        <v>326470</v>
      </c>
      <c r="S70" s="56">
        <f t="shared" si="27"/>
        <v>20410</v>
      </c>
      <c r="T70" s="56">
        <f t="shared" si="28"/>
        <v>20410</v>
      </c>
      <c r="U70" s="56">
        <f t="shared" si="33"/>
        <v>17570.62777777778</v>
      </c>
      <c r="V70" s="56">
        <f t="shared" si="34"/>
        <v>17570.62777777778</v>
      </c>
      <c r="W70" s="56">
        <f t="shared" si="29"/>
        <v>51666.666666666672</v>
      </c>
      <c r="X70" s="56">
        <f t="shared" si="30"/>
        <v>51670</v>
      </c>
      <c r="Y70" s="56">
        <f t="shared" si="18"/>
        <v>326470</v>
      </c>
      <c r="Z70" s="56">
        <f t="shared" si="35"/>
        <v>17570.62777777778</v>
      </c>
      <c r="AA70" s="56">
        <f t="shared" si="19"/>
        <v>17570</v>
      </c>
      <c r="AB70" s="56">
        <f t="shared" si="37"/>
        <v>10202300</v>
      </c>
      <c r="AC70" s="56">
        <f t="shared" si="43"/>
        <v>0</v>
      </c>
      <c r="AD70" s="56">
        <f t="shared" si="44"/>
        <v>0</v>
      </c>
      <c r="AE70" s="56">
        <f t="shared" si="32"/>
        <v>0</v>
      </c>
      <c r="AF70" s="56">
        <f t="shared" si="20"/>
        <v>0</v>
      </c>
      <c r="AG70" s="56">
        <f t="shared" si="31"/>
        <v>0</v>
      </c>
      <c r="AH70" s="56">
        <f t="shared" si="21"/>
        <v>0</v>
      </c>
      <c r="AI70" s="56">
        <f t="shared" si="45"/>
        <v>326470</v>
      </c>
      <c r="AJ70" s="56">
        <f t="shared" si="57"/>
        <v>0</v>
      </c>
      <c r="AK70" s="56">
        <f t="shared" si="58"/>
        <v>0</v>
      </c>
      <c r="AL70" s="57">
        <f t="shared" si="54"/>
        <v>11</v>
      </c>
      <c r="AM70" s="57">
        <f t="shared" si="46"/>
        <v>11</v>
      </c>
      <c r="AN70" s="51">
        <f t="shared" si="55"/>
        <v>2016</v>
      </c>
      <c r="AO70" s="51">
        <f t="shared" si="47"/>
        <v>2016</v>
      </c>
      <c r="AP70" s="51">
        <f t="shared" si="48"/>
        <v>1</v>
      </c>
      <c r="AQ70" s="51">
        <f t="shared" si="49"/>
        <v>30</v>
      </c>
      <c r="AR70" s="51">
        <f t="shared" si="50"/>
        <v>20</v>
      </c>
      <c r="AS70" s="51">
        <f t="shared" si="56"/>
        <v>30</v>
      </c>
      <c r="AT70" s="52"/>
      <c r="AU70" s="52"/>
      <c r="AV70" s="52"/>
      <c r="AW70" s="52"/>
      <c r="AX70" s="52"/>
      <c r="AY70" s="51">
        <f t="shared" si="25"/>
        <v>1</v>
      </c>
      <c r="AZ70" s="52"/>
      <c r="BA70" s="52"/>
      <c r="BB70" s="52"/>
      <c r="BC70" s="52"/>
      <c r="BD70" s="52"/>
      <c r="BE70" s="52"/>
      <c r="BF70" s="52"/>
      <c r="BG70" s="52"/>
      <c r="BH70" s="52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si="51"/>
        <v>42724</v>
      </c>
      <c r="C71" s="401"/>
      <c r="D71" s="443">
        <f>IF(N71=0,IF(N70=1,SUM(D$25:E70)," "),IF(N71=0," ",IF(N72=1,D$37,IF(N72=0,D$10-D$37*(M$14-13)," "))))</f>
        <v>20410</v>
      </c>
      <c r="E71" s="443"/>
      <c r="F71" s="84">
        <f>IF(N71=0,IF(N70=1,SUM(F$25:F70)," "),IF(M$1=1,P71,IF(M$1=2,Q71," ")))</f>
        <v>16520</v>
      </c>
      <c r="G71" s="84">
        <f>IF(N71=0,IF(N70=1,SUM(G$25:G70)," "),IF(M$1=1,AC71,IF(M$1=2,AD71," ")))</f>
        <v>0</v>
      </c>
      <c r="H71" s="84">
        <f t="shared" si="52"/>
        <v>36930</v>
      </c>
      <c r="I71" s="84">
        <f>IF(N71=0,IF(N70=1,SUM(D$25:E70)," "),IF(N71=0," ",IF(N72=1,D$37,IF(N72=0,D$10-D$37*(M$14-13)," "))))</f>
        <v>20410</v>
      </c>
      <c r="J71" s="84">
        <f t="shared" si="14"/>
        <v>16520</v>
      </c>
      <c r="K71" s="84">
        <f t="shared" si="15"/>
        <v>0</v>
      </c>
      <c r="L71" s="84">
        <f t="shared" si="26"/>
        <v>36930</v>
      </c>
      <c r="M71" s="51">
        <v>47</v>
      </c>
      <c r="N71" s="51">
        <f t="shared" si="36"/>
        <v>1</v>
      </c>
      <c r="O71" s="51">
        <f t="shared" si="40"/>
        <v>20</v>
      </c>
      <c r="P71" s="56">
        <f t="shared" si="41"/>
        <v>16520</v>
      </c>
      <c r="Q71" s="56">
        <f t="shared" si="42"/>
        <v>16520</v>
      </c>
      <c r="R71" s="56">
        <f t="shared" si="53"/>
        <v>306060</v>
      </c>
      <c r="S71" s="56">
        <f t="shared" si="27"/>
        <v>20410</v>
      </c>
      <c r="T71" s="56">
        <f t="shared" si="28"/>
        <v>20410</v>
      </c>
      <c r="U71" s="56">
        <f t="shared" si="33"/>
        <v>16516.111111111113</v>
      </c>
      <c r="V71" s="56">
        <f t="shared" si="34"/>
        <v>16516.111111111113</v>
      </c>
      <c r="W71" s="56">
        <f t="shared" si="29"/>
        <v>51666.666666666672</v>
      </c>
      <c r="X71" s="56">
        <f t="shared" si="30"/>
        <v>51670</v>
      </c>
      <c r="Y71" s="56">
        <f t="shared" si="18"/>
        <v>306060</v>
      </c>
      <c r="Z71" s="56">
        <f t="shared" si="35"/>
        <v>16516.111111111113</v>
      </c>
      <c r="AA71" s="56">
        <f t="shared" si="19"/>
        <v>16520</v>
      </c>
      <c r="AB71" s="56">
        <f t="shared" si="37"/>
        <v>9590000</v>
      </c>
      <c r="AC71" s="56">
        <f t="shared" si="43"/>
        <v>0</v>
      </c>
      <c r="AD71" s="56">
        <f t="shared" si="44"/>
        <v>0</v>
      </c>
      <c r="AE71" s="56">
        <f t="shared" si="32"/>
        <v>0</v>
      </c>
      <c r="AF71" s="56">
        <f t="shared" si="20"/>
        <v>0</v>
      </c>
      <c r="AG71" s="56">
        <f t="shared" si="31"/>
        <v>0</v>
      </c>
      <c r="AH71" s="56">
        <f t="shared" si="21"/>
        <v>0</v>
      </c>
      <c r="AI71" s="56">
        <f t="shared" si="45"/>
        <v>306060</v>
      </c>
      <c r="AJ71" s="56">
        <f t="shared" si="57"/>
        <v>0</v>
      </c>
      <c r="AK71" s="56">
        <f t="shared" si="58"/>
        <v>0</v>
      </c>
      <c r="AL71" s="57">
        <f t="shared" si="54"/>
        <v>12</v>
      </c>
      <c r="AM71" s="57">
        <f t="shared" si="46"/>
        <v>12</v>
      </c>
      <c r="AN71" s="51">
        <f t="shared" si="55"/>
        <v>2016</v>
      </c>
      <c r="AO71" s="51">
        <f t="shared" si="47"/>
        <v>2016</v>
      </c>
      <c r="AP71" s="51">
        <f t="shared" si="48"/>
        <v>1</v>
      </c>
      <c r="AQ71" s="51">
        <f t="shared" si="49"/>
        <v>30</v>
      </c>
      <c r="AR71" s="51">
        <f t="shared" si="50"/>
        <v>20</v>
      </c>
      <c r="AS71" s="51">
        <f t="shared" si="56"/>
        <v>30</v>
      </c>
      <c r="AT71" s="52"/>
      <c r="AU71" s="52"/>
      <c r="AV71" s="52"/>
      <c r="AW71" s="52"/>
      <c r="AX71" s="52"/>
      <c r="AY71" s="51">
        <f t="shared" si="25"/>
        <v>1</v>
      </c>
      <c r="AZ71" s="52"/>
      <c r="BA71" s="52"/>
      <c r="BB71" s="52"/>
      <c r="BC71" s="52"/>
      <c r="BD71" s="52"/>
      <c r="BE71" s="52"/>
      <c r="BF71" s="52"/>
      <c r="BG71" s="52"/>
      <c r="BH71" s="52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si="51"/>
        <v>42755</v>
      </c>
      <c r="C72" s="401"/>
      <c r="D72" s="443">
        <f>IF(N72=0,IF(N71=1,SUM(D$25:E71)," "),IF(N72=0," ",IF(N73=1,D$37,IF(N73=0,D$10-D$37*(M$14-13)," "))))</f>
        <v>20410</v>
      </c>
      <c r="E72" s="443"/>
      <c r="F72" s="84">
        <f>IF(N72=0,IF(N71=1,SUM(F$25:F71)," "),IF(M$1=1,P72,IF(M$1=2,Q72," ")))</f>
        <v>15460</v>
      </c>
      <c r="G72" s="84">
        <f>IF(N72=0,IF(N71=1,SUM(G$25:G71)," "),IF(M$1=1,AC72,IF(M$1=2,AD72," ")))</f>
        <v>0</v>
      </c>
      <c r="H72" s="84">
        <f t="shared" si="52"/>
        <v>35870</v>
      </c>
      <c r="I72" s="84">
        <f>IF(N72=0,IF(N71=1,SUM(D$25:E71)," "),IF(N72=0," ",IF(N73=1,D$37,IF(N73=0,D$10-D$37*(M$14-13)," "))))</f>
        <v>20410</v>
      </c>
      <c r="J72" s="84">
        <f t="shared" si="14"/>
        <v>15460</v>
      </c>
      <c r="K72" s="84">
        <f t="shared" si="15"/>
        <v>0</v>
      </c>
      <c r="L72" s="84">
        <f t="shared" si="26"/>
        <v>35870</v>
      </c>
      <c r="M72" s="51">
        <v>48</v>
      </c>
      <c r="N72" s="51">
        <f t="shared" si="36"/>
        <v>1</v>
      </c>
      <c r="O72" s="51">
        <f t="shared" si="40"/>
        <v>20</v>
      </c>
      <c r="P72" s="56">
        <f t="shared" si="41"/>
        <v>15460</v>
      </c>
      <c r="Q72" s="56">
        <f t="shared" si="42"/>
        <v>15460</v>
      </c>
      <c r="R72" s="56">
        <f t="shared" si="53"/>
        <v>285650</v>
      </c>
      <c r="S72" s="56">
        <f t="shared" si="27"/>
        <v>20410</v>
      </c>
      <c r="T72" s="56">
        <f t="shared" si="28"/>
        <v>20410</v>
      </c>
      <c r="U72" s="56">
        <f t="shared" si="33"/>
        <v>15461.594444444445</v>
      </c>
      <c r="V72" s="56">
        <f t="shared" si="34"/>
        <v>15461.594444444445</v>
      </c>
      <c r="W72" s="56">
        <f t="shared" si="29"/>
        <v>51666.666666666672</v>
      </c>
      <c r="X72" s="56">
        <f t="shared" si="30"/>
        <v>51670</v>
      </c>
      <c r="Y72" s="56">
        <f t="shared" si="18"/>
        <v>285650</v>
      </c>
      <c r="Z72" s="56">
        <f t="shared" si="35"/>
        <v>15461.594444444445</v>
      </c>
      <c r="AA72" s="56">
        <f t="shared" si="19"/>
        <v>15460</v>
      </c>
      <c r="AB72" s="56">
        <f t="shared" si="37"/>
        <v>8977700</v>
      </c>
      <c r="AC72" s="56">
        <f t="shared" si="43"/>
        <v>0</v>
      </c>
      <c r="AD72" s="56">
        <f t="shared" si="44"/>
        <v>0</v>
      </c>
      <c r="AE72" s="56">
        <f t="shared" si="32"/>
        <v>0</v>
      </c>
      <c r="AF72" s="56">
        <f t="shared" si="20"/>
        <v>0</v>
      </c>
      <c r="AG72" s="56">
        <f t="shared" si="31"/>
        <v>0</v>
      </c>
      <c r="AH72" s="56">
        <f t="shared" si="21"/>
        <v>0</v>
      </c>
      <c r="AI72" s="56">
        <f t="shared" si="45"/>
        <v>285650</v>
      </c>
      <c r="AJ72" s="56">
        <f t="shared" si="57"/>
        <v>0</v>
      </c>
      <c r="AK72" s="56">
        <f t="shared" si="58"/>
        <v>0</v>
      </c>
      <c r="AL72" s="57">
        <f t="shared" si="54"/>
        <v>13</v>
      </c>
      <c r="AM72" s="57">
        <f t="shared" si="46"/>
        <v>1</v>
      </c>
      <c r="AN72" s="51">
        <f t="shared" si="55"/>
        <v>2016</v>
      </c>
      <c r="AO72" s="51">
        <f t="shared" si="47"/>
        <v>2017</v>
      </c>
      <c r="AP72" s="51">
        <f t="shared" si="48"/>
        <v>1</v>
      </c>
      <c r="AQ72" s="51">
        <f t="shared" si="49"/>
        <v>30</v>
      </c>
      <c r="AR72" s="51">
        <f t="shared" si="50"/>
        <v>20</v>
      </c>
      <c r="AS72" s="51">
        <f t="shared" si="56"/>
        <v>30</v>
      </c>
      <c r="AT72" s="52"/>
      <c r="AU72" s="52"/>
      <c r="AV72" s="52"/>
      <c r="AW72" s="52"/>
      <c r="AX72" s="52"/>
      <c r="AY72" s="51">
        <f t="shared" si="25"/>
        <v>1</v>
      </c>
      <c r="AZ72" s="52"/>
      <c r="BA72" s="52"/>
      <c r="BB72" s="52"/>
      <c r="BC72" s="52"/>
      <c r="BD72" s="52"/>
      <c r="BE72" s="52"/>
      <c r="BF72" s="52"/>
      <c r="BG72" s="52"/>
      <c r="BH72" s="52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>
        <f t="shared" si="51"/>
        <v>42786</v>
      </c>
      <c r="C73" s="401"/>
      <c r="D73" s="443">
        <f>IF(N73=0,IF(N72=1,SUM(D$25:E72)," "),IF(N73=0," ",IF(N74=1,D$37,IF(N74=0,D$10-D$37*(M$14-13)," "))))</f>
        <v>20410</v>
      </c>
      <c r="E73" s="443"/>
      <c r="F73" s="84">
        <f>IF(N73=0,IF(N72=1,SUM(F$25:F72)," "),IF(M$1=1,P73,IF(M$1=2,Q73," ")))</f>
        <v>14410</v>
      </c>
      <c r="G73" s="84">
        <f>IF(N73=0,IF(N72=1,SUM(G$25:G72)," "),IF(M$1=1,AC73,IF(M$1=2,AD73," ")))</f>
        <v>0</v>
      </c>
      <c r="H73" s="84">
        <f t="shared" si="52"/>
        <v>34820</v>
      </c>
      <c r="I73" s="84">
        <f>IF(N73=0,IF(N72=1,SUM(D$25:E72)," "),IF(N73=0," ",IF(N74=1,D$37,IF(N74=0,D$10-D$37*(M$14-13)," "))))</f>
        <v>20410</v>
      </c>
      <c r="J73" s="84">
        <f t="shared" si="14"/>
        <v>14410</v>
      </c>
      <c r="K73" s="84">
        <f t="shared" si="15"/>
        <v>0</v>
      </c>
      <c r="L73" s="84">
        <f t="shared" si="26"/>
        <v>34820</v>
      </c>
      <c r="M73" s="51">
        <v>49</v>
      </c>
      <c r="N73" s="51">
        <f t="shared" si="36"/>
        <v>1</v>
      </c>
      <c r="O73" s="51">
        <f t="shared" si="40"/>
        <v>20</v>
      </c>
      <c r="P73" s="56">
        <f t="shared" si="41"/>
        <v>14410</v>
      </c>
      <c r="Q73" s="56">
        <f t="shared" si="42"/>
        <v>14410</v>
      </c>
      <c r="R73" s="56">
        <f t="shared" si="53"/>
        <v>265240</v>
      </c>
      <c r="S73" s="56">
        <f t="shared" si="27"/>
        <v>20410</v>
      </c>
      <c r="T73" s="56">
        <f t="shared" si="28"/>
        <v>20410</v>
      </c>
      <c r="U73" s="56">
        <f t="shared" si="33"/>
        <v>14407.077777777777</v>
      </c>
      <c r="V73" s="56">
        <f t="shared" si="34"/>
        <v>14407.077777777777</v>
      </c>
      <c r="W73" s="56">
        <f t="shared" si="29"/>
        <v>51666.666666666672</v>
      </c>
      <c r="X73" s="56">
        <f t="shared" si="30"/>
        <v>51670</v>
      </c>
      <c r="Y73" s="56">
        <f t="shared" si="18"/>
        <v>265240</v>
      </c>
      <c r="Z73" s="56">
        <f t="shared" si="35"/>
        <v>14407.077777777777</v>
      </c>
      <c r="AA73" s="56">
        <f t="shared" si="19"/>
        <v>14410</v>
      </c>
      <c r="AB73" s="56">
        <f>IF(R74=0,R73*Q$12,(R72*20+R73*10))</f>
        <v>8365400</v>
      </c>
      <c r="AC73" s="56">
        <f t="shared" si="43"/>
        <v>0</v>
      </c>
      <c r="AD73" s="56">
        <f t="shared" si="44"/>
        <v>0</v>
      </c>
      <c r="AE73" s="56">
        <f t="shared" si="32"/>
        <v>0</v>
      </c>
      <c r="AF73" s="56">
        <f t="shared" si="20"/>
        <v>0</v>
      </c>
      <c r="AG73" s="56">
        <f t="shared" si="31"/>
        <v>0</v>
      </c>
      <c r="AH73" s="56">
        <f t="shared" si="21"/>
        <v>0</v>
      </c>
      <c r="AI73" s="56">
        <f t="shared" si="45"/>
        <v>265240</v>
      </c>
      <c r="AJ73" s="56">
        <f>IF(N74=1,AI72*G$12*20/36000+AI73*G$12*10/36000,IF(N74=0,IF(N73=0,0,AI73*G$12*Q$12/36000)))</f>
        <v>0</v>
      </c>
      <c r="AK73" s="56">
        <f>IF(N74=1,AI72*G$12*20/36000+AI73*G$12*10/36000,IF(N74=0,IF(N73=0,0,AI73*G$12*Q$12/36000)))</f>
        <v>0</v>
      </c>
      <c r="AL73" s="57">
        <f t="shared" si="54"/>
        <v>2</v>
      </c>
      <c r="AM73" s="57">
        <f t="shared" si="46"/>
        <v>2</v>
      </c>
      <c r="AN73" s="51">
        <f t="shared" si="55"/>
        <v>2017</v>
      </c>
      <c r="AO73" s="51">
        <f t="shared" si="47"/>
        <v>2017</v>
      </c>
      <c r="AP73" s="51">
        <f t="shared" si="48"/>
        <v>0</v>
      </c>
      <c r="AQ73" s="51">
        <f t="shared" si="49"/>
        <v>28</v>
      </c>
      <c r="AR73" s="51">
        <f t="shared" si="50"/>
        <v>20</v>
      </c>
      <c r="AS73" s="51">
        <f t="shared" si="56"/>
        <v>30</v>
      </c>
      <c r="AT73" s="52"/>
      <c r="AU73" s="52"/>
      <c r="AV73" s="52"/>
      <c r="AW73" s="52"/>
      <c r="AX73" s="52"/>
      <c r="AY73" s="51">
        <f t="shared" si="25"/>
        <v>1</v>
      </c>
      <c r="AZ73" s="52"/>
      <c r="BA73" s="52"/>
      <c r="BB73" s="52"/>
      <c r="BC73" s="52"/>
      <c r="BD73" s="52"/>
      <c r="BE73" s="52"/>
      <c r="BF73" s="52"/>
      <c r="BG73" s="52"/>
      <c r="BH73" s="52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>
        <f t="shared" si="51"/>
        <v>42814</v>
      </c>
      <c r="C74" s="401"/>
      <c r="D74" s="443">
        <f>IF(N74=0,IF(N73=1,SUM(D$25:E73)," "),IF(N74=0," ",IF(N75=1,D$37,IF(N75=0,D$10-D$37*(M$14-13)," "))))</f>
        <v>20410</v>
      </c>
      <c r="E74" s="443"/>
      <c r="F74" s="84">
        <f>IF(N74=0,IF(N73=1,SUM(F$25:F73)," "),IF(M$1=1,P74,IF(M$1=2,Q74," ")))</f>
        <v>13350</v>
      </c>
      <c r="G74" s="84">
        <f>IF(N74=0,IF(N73=1,SUM(G$25:G73)," "),IF(M$1=1,AC74,IF(M$1=2,AD74," ")))</f>
        <v>0</v>
      </c>
      <c r="H74" s="84">
        <f t="shared" si="52"/>
        <v>33760</v>
      </c>
      <c r="I74" s="84">
        <f>IF(N74=0,IF(N73=1,SUM(D$25:E73)," "),IF(N74=0," ",IF(N75=1,D$37,IF(N75=0,D$10-D$37*(M$14-13)," "))))</f>
        <v>20410</v>
      </c>
      <c r="J74" s="84">
        <f t="shared" si="14"/>
        <v>13350</v>
      </c>
      <c r="K74" s="84">
        <f t="shared" si="15"/>
        <v>0</v>
      </c>
      <c r="L74" s="84">
        <f t="shared" si="26"/>
        <v>33760</v>
      </c>
      <c r="M74" s="51">
        <v>50</v>
      </c>
      <c r="N74" s="51">
        <f t="shared" si="36"/>
        <v>1</v>
      </c>
      <c r="O74" s="51">
        <f t="shared" si="40"/>
        <v>20</v>
      </c>
      <c r="P74" s="56">
        <f t="shared" si="41"/>
        <v>13350</v>
      </c>
      <c r="Q74" s="56">
        <f t="shared" si="42"/>
        <v>13350</v>
      </c>
      <c r="R74" s="56">
        <f t="shared" si="53"/>
        <v>244830</v>
      </c>
      <c r="S74" s="56">
        <f t="shared" si="27"/>
        <v>20410</v>
      </c>
      <c r="T74" s="56">
        <f t="shared" si="28"/>
        <v>20410</v>
      </c>
      <c r="U74" s="56">
        <f t="shared" si="33"/>
        <v>13352.56111111111</v>
      </c>
      <c r="V74" s="56">
        <f t="shared" si="34"/>
        <v>13352.56111111111</v>
      </c>
      <c r="W74" s="56">
        <f t="shared" si="29"/>
        <v>51666.666666666672</v>
      </c>
      <c r="X74" s="56">
        <f t="shared" si="30"/>
        <v>51670</v>
      </c>
      <c r="Y74" s="56">
        <f t="shared" si="18"/>
        <v>244830</v>
      </c>
      <c r="Z74" s="56">
        <f t="shared" si="35"/>
        <v>13352.56111111111</v>
      </c>
      <c r="AA74" s="56">
        <f t="shared" si="19"/>
        <v>13350</v>
      </c>
      <c r="AB74" s="56">
        <f t="shared" ref="AB74:AB84" si="59">IF(R75=0,R74*Q$12,(R73*20+R74*10))</f>
        <v>7753100</v>
      </c>
      <c r="AC74" s="56">
        <f t="shared" si="43"/>
        <v>0</v>
      </c>
      <c r="AD74" s="56">
        <f t="shared" si="44"/>
        <v>0</v>
      </c>
      <c r="AE74" s="56">
        <f t="shared" si="32"/>
        <v>0</v>
      </c>
      <c r="AF74" s="56">
        <f t="shared" si="20"/>
        <v>0</v>
      </c>
      <c r="AG74" s="56">
        <f t="shared" si="31"/>
        <v>0</v>
      </c>
      <c r="AH74" s="56">
        <f t="shared" si="21"/>
        <v>0</v>
      </c>
      <c r="AI74" s="56">
        <f t="shared" si="45"/>
        <v>244830</v>
      </c>
      <c r="AJ74" s="56">
        <f t="shared" ref="AJ74:AJ84" si="60">IF(N75=1,AI73*G$12*20/36000+AI74*G$12*10/36000,IF(N75=0,IF(N74=0,0,AI74*G$12*Q$12/36000+AI73*G$12*20/36000+AI74*G$12*10/36000)))</f>
        <v>0</v>
      </c>
      <c r="AK74" s="56">
        <f t="shared" ref="AK74:AK84" si="61">IF(N75=1,AI73*G$12*20/36000+AI74*G$12*10/36000,IF(N75=0,IF(N74=0,0,AI74*G$12*Q$12/36000+AI73*G$12*20/36000+AI74*G$12*10/36000)))</f>
        <v>0</v>
      </c>
      <c r="AL74" s="57">
        <f t="shared" si="54"/>
        <v>3</v>
      </c>
      <c r="AM74" s="57">
        <f t="shared" si="46"/>
        <v>3</v>
      </c>
      <c r="AN74" s="51">
        <f t="shared" si="55"/>
        <v>2017</v>
      </c>
      <c r="AO74" s="51">
        <f t="shared" si="47"/>
        <v>2017</v>
      </c>
      <c r="AP74" s="51">
        <f t="shared" si="48"/>
        <v>0</v>
      </c>
      <c r="AQ74" s="51">
        <f t="shared" si="49"/>
        <v>30</v>
      </c>
      <c r="AR74" s="51">
        <f t="shared" si="50"/>
        <v>20</v>
      </c>
      <c r="AS74" s="51">
        <f t="shared" si="56"/>
        <v>28</v>
      </c>
      <c r="AT74" s="52"/>
      <c r="AU74" s="52"/>
      <c r="AV74" s="52"/>
      <c r="AW74" s="52"/>
      <c r="AX74" s="52"/>
      <c r="AY74" s="51">
        <f t="shared" si="25"/>
        <v>1</v>
      </c>
      <c r="AZ74" s="52"/>
      <c r="BA74" s="52"/>
      <c r="BB74" s="52"/>
      <c r="BC74" s="52"/>
      <c r="BD74" s="52"/>
      <c r="BE74" s="52"/>
      <c r="BF74" s="52"/>
      <c r="BG74" s="52"/>
      <c r="BH74" s="52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>
        <f t="shared" si="51"/>
        <v>42845</v>
      </c>
      <c r="C75" s="401"/>
      <c r="D75" s="443">
        <f>IF(N75=0,IF(N74=1,SUM(D$25:E74)," "),IF(N75=0," ",IF(N76=1,D$37,IF(N76=0,D$10-D$37*(M$14-13)," "))))</f>
        <v>20410</v>
      </c>
      <c r="E75" s="443"/>
      <c r="F75" s="84">
        <f>IF(N75=0,IF(N74=1,SUM(F$25:F74)," "),IF(M$1=1,P75,IF(M$1=2,Q75," ")))</f>
        <v>12300</v>
      </c>
      <c r="G75" s="84">
        <f>IF(N75=0,IF(N74=1,SUM(G$25:G74)," "),IF(M$1=1,AC75,IF(M$1=2,AD75," ")))</f>
        <v>0</v>
      </c>
      <c r="H75" s="84">
        <f t="shared" si="52"/>
        <v>32710</v>
      </c>
      <c r="I75" s="84">
        <f>IF(N75=0,IF(N74=1,SUM(D$25:E74)," "),IF(N75=0," ",IF(N76=1,D$37,IF(N76=0,D$10-D$37*(M$14-13)," "))))</f>
        <v>20410</v>
      </c>
      <c r="J75" s="84">
        <f t="shared" si="14"/>
        <v>12300</v>
      </c>
      <c r="K75" s="84">
        <f t="shared" si="15"/>
        <v>0</v>
      </c>
      <c r="L75" s="84">
        <f t="shared" si="26"/>
        <v>32710</v>
      </c>
      <c r="M75" s="51">
        <v>51</v>
      </c>
      <c r="N75" s="51">
        <f t="shared" si="36"/>
        <v>1</v>
      </c>
      <c r="O75" s="51">
        <f t="shared" si="40"/>
        <v>20</v>
      </c>
      <c r="P75" s="56">
        <f t="shared" si="41"/>
        <v>12300</v>
      </c>
      <c r="Q75" s="56">
        <f t="shared" si="42"/>
        <v>12300</v>
      </c>
      <c r="R75" s="56">
        <f t="shared" si="53"/>
        <v>224420</v>
      </c>
      <c r="S75" s="56">
        <f t="shared" si="27"/>
        <v>20410</v>
      </c>
      <c r="T75" s="56">
        <f t="shared" si="28"/>
        <v>20410</v>
      </c>
      <c r="U75" s="56">
        <f t="shared" si="33"/>
        <v>12298.044444444444</v>
      </c>
      <c r="V75" s="56">
        <f t="shared" si="34"/>
        <v>12298.044444444444</v>
      </c>
      <c r="W75" s="56">
        <f t="shared" si="29"/>
        <v>51666.666666666672</v>
      </c>
      <c r="X75" s="56">
        <f t="shared" si="30"/>
        <v>51670</v>
      </c>
      <c r="Y75" s="56">
        <f t="shared" si="18"/>
        <v>224420</v>
      </c>
      <c r="Z75" s="56">
        <f t="shared" si="35"/>
        <v>12298.044444444444</v>
      </c>
      <c r="AA75" s="56">
        <f t="shared" si="19"/>
        <v>12300</v>
      </c>
      <c r="AB75" s="56">
        <f t="shared" si="59"/>
        <v>7140800</v>
      </c>
      <c r="AC75" s="56">
        <f t="shared" si="43"/>
        <v>0</v>
      </c>
      <c r="AD75" s="56">
        <f t="shared" si="44"/>
        <v>0</v>
      </c>
      <c r="AE75" s="56">
        <f t="shared" si="32"/>
        <v>0</v>
      </c>
      <c r="AF75" s="56">
        <f t="shared" si="20"/>
        <v>0</v>
      </c>
      <c r="AG75" s="56">
        <f t="shared" si="31"/>
        <v>0</v>
      </c>
      <c r="AH75" s="56">
        <f t="shared" si="21"/>
        <v>0</v>
      </c>
      <c r="AI75" s="56">
        <f t="shared" si="45"/>
        <v>224420</v>
      </c>
      <c r="AJ75" s="56">
        <f t="shared" si="60"/>
        <v>0</v>
      </c>
      <c r="AK75" s="56">
        <f t="shared" si="61"/>
        <v>0</v>
      </c>
      <c r="AL75" s="57">
        <f t="shared" si="54"/>
        <v>4</v>
      </c>
      <c r="AM75" s="57">
        <f t="shared" si="46"/>
        <v>4</v>
      </c>
      <c r="AN75" s="51">
        <f t="shared" si="55"/>
        <v>2017</v>
      </c>
      <c r="AO75" s="51">
        <f t="shared" si="47"/>
        <v>2017</v>
      </c>
      <c r="AP75" s="51">
        <f t="shared" si="48"/>
        <v>0</v>
      </c>
      <c r="AQ75" s="51">
        <f t="shared" si="49"/>
        <v>30</v>
      </c>
      <c r="AR75" s="51">
        <f t="shared" si="50"/>
        <v>20</v>
      </c>
      <c r="AS75" s="51">
        <f t="shared" si="56"/>
        <v>30</v>
      </c>
      <c r="AT75" s="52"/>
      <c r="AU75" s="52"/>
      <c r="AV75" s="52"/>
      <c r="AW75" s="52"/>
      <c r="AX75" s="52"/>
      <c r="AY75" s="51">
        <f t="shared" si="25"/>
        <v>1</v>
      </c>
      <c r="AZ75" s="52"/>
      <c r="BA75" s="52"/>
      <c r="BB75" s="52"/>
      <c r="BC75" s="52"/>
      <c r="BD75" s="52"/>
      <c r="BE75" s="52"/>
      <c r="BF75" s="52"/>
      <c r="BG75" s="52"/>
      <c r="BH75" s="52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>
        <f t="shared" si="51"/>
        <v>42875</v>
      </c>
      <c r="C76" s="401"/>
      <c r="D76" s="443">
        <f>IF(N76=0,IF(N75=1,SUM(D$25:E75)," "),IF(N76=0," ",IF(N77=1,D$37,IF(N77=0,D$10-D$37*(M$14-13)," "))))</f>
        <v>20410</v>
      </c>
      <c r="E76" s="443"/>
      <c r="F76" s="84">
        <f>IF(N76=0,IF(N75=1,SUM(F$25:F75)," "),IF(M$1=1,P76,IF(M$1=2,Q76," ")))</f>
        <v>11240</v>
      </c>
      <c r="G76" s="84">
        <f>IF(N76=0,IF(N75=1,SUM(G$25:G75)," "),IF(M$1=1,AC76,IF(M$1=2,AD76," ")))</f>
        <v>0</v>
      </c>
      <c r="H76" s="84">
        <f t="shared" si="52"/>
        <v>31650</v>
      </c>
      <c r="I76" s="84">
        <f>IF(N76=0,IF(N75=1,SUM(D$25:E75)," "),IF(N76=0," ",IF(N77=1,D$37,IF(N77=0,D$10-D$37*(M$14-13)," "))))</f>
        <v>20410</v>
      </c>
      <c r="J76" s="84">
        <f t="shared" si="14"/>
        <v>11240</v>
      </c>
      <c r="K76" s="84">
        <f t="shared" si="15"/>
        <v>0</v>
      </c>
      <c r="L76" s="84">
        <f t="shared" si="26"/>
        <v>31650</v>
      </c>
      <c r="M76" s="51">
        <v>52</v>
      </c>
      <c r="N76" s="51">
        <f t="shared" si="36"/>
        <v>1</v>
      </c>
      <c r="O76" s="51">
        <f t="shared" si="40"/>
        <v>20</v>
      </c>
      <c r="P76" s="56">
        <f t="shared" si="41"/>
        <v>11240</v>
      </c>
      <c r="Q76" s="56">
        <f t="shared" si="42"/>
        <v>11240</v>
      </c>
      <c r="R76" s="56">
        <f t="shared" si="53"/>
        <v>204010</v>
      </c>
      <c r="S76" s="56">
        <f t="shared" si="27"/>
        <v>20410</v>
      </c>
      <c r="T76" s="56">
        <f t="shared" si="28"/>
        <v>20410</v>
      </c>
      <c r="U76" s="56">
        <f t="shared" si="33"/>
        <v>11243.527777777777</v>
      </c>
      <c r="V76" s="56">
        <f t="shared" si="34"/>
        <v>11243.527777777777</v>
      </c>
      <c r="W76" s="56">
        <f t="shared" si="29"/>
        <v>51666.666666666672</v>
      </c>
      <c r="X76" s="56">
        <f t="shared" si="30"/>
        <v>51670</v>
      </c>
      <c r="Y76" s="56">
        <f t="shared" si="18"/>
        <v>204010</v>
      </c>
      <c r="Z76" s="56">
        <f t="shared" si="35"/>
        <v>11243.527777777777</v>
      </c>
      <c r="AA76" s="56">
        <f t="shared" si="19"/>
        <v>11240</v>
      </c>
      <c r="AB76" s="56">
        <f t="shared" si="59"/>
        <v>6528500</v>
      </c>
      <c r="AC76" s="56">
        <f t="shared" si="43"/>
        <v>0</v>
      </c>
      <c r="AD76" s="56">
        <f t="shared" si="44"/>
        <v>0</v>
      </c>
      <c r="AE76" s="56">
        <f t="shared" si="32"/>
        <v>0</v>
      </c>
      <c r="AF76" s="56">
        <f t="shared" si="20"/>
        <v>0</v>
      </c>
      <c r="AG76" s="56">
        <f t="shared" si="31"/>
        <v>0</v>
      </c>
      <c r="AH76" s="56">
        <f t="shared" si="21"/>
        <v>0</v>
      </c>
      <c r="AI76" s="56">
        <f t="shared" si="45"/>
        <v>204010</v>
      </c>
      <c r="AJ76" s="56">
        <f t="shared" si="60"/>
        <v>0</v>
      </c>
      <c r="AK76" s="56">
        <f t="shared" si="61"/>
        <v>0</v>
      </c>
      <c r="AL76" s="57">
        <f t="shared" si="54"/>
        <v>5</v>
      </c>
      <c r="AM76" s="57">
        <f t="shared" si="46"/>
        <v>5</v>
      </c>
      <c r="AN76" s="51">
        <f t="shared" si="55"/>
        <v>2017</v>
      </c>
      <c r="AO76" s="51">
        <f t="shared" si="47"/>
        <v>2017</v>
      </c>
      <c r="AP76" s="51">
        <f t="shared" si="48"/>
        <v>0</v>
      </c>
      <c r="AQ76" s="51">
        <f t="shared" si="49"/>
        <v>30</v>
      </c>
      <c r="AR76" s="51">
        <f t="shared" si="50"/>
        <v>20</v>
      </c>
      <c r="AS76" s="51">
        <f t="shared" si="56"/>
        <v>30</v>
      </c>
      <c r="AT76" s="52"/>
      <c r="AU76" s="52"/>
      <c r="AV76" s="52"/>
      <c r="AW76" s="52"/>
      <c r="AX76" s="52"/>
      <c r="AY76" s="51">
        <f t="shared" si="25"/>
        <v>1</v>
      </c>
      <c r="AZ76" s="52"/>
      <c r="BA76" s="52"/>
      <c r="BB76" s="52"/>
      <c r="BC76" s="52"/>
      <c r="BD76" s="52"/>
      <c r="BE76" s="52"/>
      <c r="BF76" s="52"/>
      <c r="BG76" s="52"/>
      <c r="BH76" s="52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>
        <f t="shared" si="51"/>
        <v>42906</v>
      </c>
      <c r="C77" s="401"/>
      <c r="D77" s="443">
        <f>IF(N77=0,IF(N76=1,SUM(D$25:E76)," "),IF(N77=0," ",IF(N78=1,D$37,IF(N78=0,D$10-D$37*(M$14-13)," "))))</f>
        <v>20410</v>
      </c>
      <c r="E77" s="443"/>
      <c r="F77" s="84">
        <f>IF(N77=0,IF(N76=1,SUM(F$25:F76)," "),IF(M$1=1,P77,IF(M$1=2,Q77," ")))</f>
        <v>10190</v>
      </c>
      <c r="G77" s="84">
        <f>IF(N77=0,IF(N76=1,SUM(G$25:G76)," "),IF(M$1=1,AC77,IF(M$1=2,AD77," ")))</f>
        <v>0</v>
      </c>
      <c r="H77" s="84">
        <f t="shared" si="52"/>
        <v>30600</v>
      </c>
      <c r="I77" s="84">
        <f>IF(N77=0,IF(N76=1,SUM(D$25:E76)," "),IF(N77=0," ",IF(N78=1,D$37,IF(N78=0,D$10-D$37*(M$14-13)," "))))</f>
        <v>20410</v>
      </c>
      <c r="J77" s="84">
        <f t="shared" si="14"/>
        <v>10190</v>
      </c>
      <c r="K77" s="84">
        <f t="shared" si="15"/>
        <v>0</v>
      </c>
      <c r="L77" s="84">
        <f t="shared" si="26"/>
        <v>30600</v>
      </c>
      <c r="M77" s="51">
        <v>53</v>
      </c>
      <c r="N77" s="51">
        <f t="shared" si="36"/>
        <v>1</v>
      </c>
      <c r="O77" s="51">
        <f t="shared" si="40"/>
        <v>20</v>
      </c>
      <c r="P77" s="56">
        <f t="shared" si="41"/>
        <v>10190</v>
      </c>
      <c r="Q77" s="56">
        <f t="shared" si="42"/>
        <v>10190</v>
      </c>
      <c r="R77" s="56">
        <f t="shared" si="53"/>
        <v>183600</v>
      </c>
      <c r="S77" s="56">
        <f t="shared" si="27"/>
        <v>20410</v>
      </c>
      <c r="T77" s="56">
        <f t="shared" si="28"/>
        <v>20410</v>
      </c>
      <c r="U77" s="56">
        <f t="shared" si="33"/>
        <v>10189.011111111111</v>
      </c>
      <c r="V77" s="56">
        <f t="shared" si="34"/>
        <v>10189.011111111111</v>
      </c>
      <c r="W77" s="56">
        <f t="shared" si="29"/>
        <v>51666.666666666672</v>
      </c>
      <c r="X77" s="56">
        <f t="shared" si="30"/>
        <v>51670</v>
      </c>
      <c r="Y77" s="56">
        <f t="shared" si="18"/>
        <v>183600</v>
      </c>
      <c r="Z77" s="56">
        <f t="shared" si="35"/>
        <v>10189.011111111111</v>
      </c>
      <c r="AA77" s="56">
        <f t="shared" si="19"/>
        <v>10190</v>
      </c>
      <c r="AB77" s="56">
        <f t="shared" si="59"/>
        <v>5916200</v>
      </c>
      <c r="AC77" s="56">
        <f t="shared" si="43"/>
        <v>0</v>
      </c>
      <c r="AD77" s="56">
        <f t="shared" si="44"/>
        <v>0</v>
      </c>
      <c r="AE77" s="56">
        <f t="shared" si="32"/>
        <v>0</v>
      </c>
      <c r="AF77" s="56">
        <f t="shared" si="20"/>
        <v>0</v>
      </c>
      <c r="AG77" s="56">
        <f t="shared" si="31"/>
        <v>0</v>
      </c>
      <c r="AH77" s="56">
        <f t="shared" si="21"/>
        <v>0</v>
      </c>
      <c r="AI77" s="56">
        <f t="shared" si="45"/>
        <v>183600</v>
      </c>
      <c r="AJ77" s="56">
        <f t="shared" si="60"/>
        <v>0</v>
      </c>
      <c r="AK77" s="56">
        <f t="shared" si="61"/>
        <v>0</v>
      </c>
      <c r="AL77" s="57">
        <f t="shared" si="54"/>
        <v>6</v>
      </c>
      <c r="AM77" s="57">
        <f t="shared" si="46"/>
        <v>6</v>
      </c>
      <c r="AN77" s="51">
        <f t="shared" si="55"/>
        <v>2017</v>
      </c>
      <c r="AO77" s="51">
        <f t="shared" si="47"/>
        <v>2017</v>
      </c>
      <c r="AP77" s="51">
        <f t="shared" si="48"/>
        <v>0</v>
      </c>
      <c r="AQ77" s="51">
        <f t="shared" si="49"/>
        <v>30</v>
      </c>
      <c r="AR77" s="51">
        <f t="shared" si="50"/>
        <v>20</v>
      </c>
      <c r="AS77" s="51">
        <f t="shared" si="56"/>
        <v>30</v>
      </c>
      <c r="AT77" s="52"/>
      <c r="AU77" s="52"/>
      <c r="AV77" s="52"/>
      <c r="AW77" s="52"/>
      <c r="AX77" s="52"/>
      <c r="AY77" s="51">
        <f t="shared" si="25"/>
        <v>1</v>
      </c>
      <c r="AZ77" s="52"/>
      <c r="BA77" s="52"/>
      <c r="BB77" s="52"/>
      <c r="BC77" s="52"/>
      <c r="BD77" s="52"/>
      <c r="BE77" s="52"/>
      <c r="BF77" s="52"/>
      <c r="BG77" s="52"/>
      <c r="BH77" s="52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>
        <f t="shared" si="51"/>
        <v>42936</v>
      </c>
      <c r="C78" s="401"/>
      <c r="D78" s="443">
        <f>IF(N78=0,IF(N77=1,SUM(D$25:E77)," "),IF(N78=0," ",IF(N79=1,D$37,IF(N79=0,D$10-D$37*(M$14-13)," "))))</f>
        <v>20410</v>
      </c>
      <c r="E78" s="443"/>
      <c r="F78" s="84">
        <f>IF(N78=0,IF(N77=1,SUM(F$25:F77)," "),IF(M$1=1,P78,IF(M$1=2,Q78," ")))</f>
        <v>9130</v>
      </c>
      <c r="G78" s="84">
        <f>IF(N78=0,IF(N77=1,SUM(G$25:G77)," "),IF(M$1=1,AC78,IF(M$1=2,AD78," ")))</f>
        <v>0</v>
      </c>
      <c r="H78" s="84">
        <f t="shared" si="52"/>
        <v>29540</v>
      </c>
      <c r="I78" s="84">
        <f>IF(N78=0,IF(N77=1,SUM(D$25:E77)," "),IF(N78=0," ",IF(N79=1,D$37,IF(N79=0,D$10-D$37*(M$14-13)," "))))</f>
        <v>20410</v>
      </c>
      <c r="J78" s="84">
        <f t="shared" si="14"/>
        <v>9130</v>
      </c>
      <c r="K78" s="84">
        <f t="shared" si="15"/>
        <v>0</v>
      </c>
      <c r="L78" s="84">
        <f t="shared" si="26"/>
        <v>29540</v>
      </c>
      <c r="M78" s="51">
        <v>54</v>
      </c>
      <c r="N78" s="51">
        <f t="shared" si="36"/>
        <v>1</v>
      </c>
      <c r="O78" s="51">
        <f t="shared" si="40"/>
        <v>20</v>
      </c>
      <c r="P78" s="56">
        <f t="shared" si="41"/>
        <v>9130</v>
      </c>
      <c r="Q78" s="56">
        <f t="shared" si="42"/>
        <v>9130</v>
      </c>
      <c r="R78" s="56">
        <f t="shared" si="53"/>
        <v>163190</v>
      </c>
      <c r="S78" s="56">
        <f t="shared" si="27"/>
        <v>20410</v>
      </c>
      <c r="T78" s="56">
        <f t="shared" si="28"/>
        <v>20410</v>
      </c>
      <c r="U78" s="56">
        <f t="shared" si="33"/>
        <v>9134.4944444444445</v>
      </c>
      <c r="V78" s="56">
        <f t="shared" si="34"/>
        <v>9134.4944444444445</v>
      </c>
      <c r="W78" s="56">
        <f t="shared" si="29"/>
        <v>51666.666666666672</v>
      </c>
      <c r="X78" s="56">
        <f t="shared" si="30"/>
        <v>51670</v>
      </c>
      <c r="Y78" s="56">
        <f t="shared" si="18"/>
        <v>163190</v>
      </c>
      <c r="Z78" s="56">
        <f t="shared" si="35"/>
        <v>9134.4944444444445</v>
      </c>
      <c r="AA78" s="56">
        <f t="shared" si="19"/>
        <v>9130</v>
      </c>
      <c r="AB78" s="56">
        <f t="shared" si="59"/>
        <v>5303900</v>
      </c>
      <c r="AC78" s="56">
        <f t="shared" si="43"/>
        <v>0</v>
      </c>
      <c r="AD78" s="56">
        <f t="shared" si="44"/>
        <v>0</v>
      </c>
      <c r="AE78" s="56">
        <f t="shared" si="32"/>
        <v>0</v>
      </c>
      <c r="AF78" s="56">
        <f t="shared" si="20"/>
        <v>0</v>
      </c>
      <c r="AG78" s="56">
        <f t="shared" si="31"/>
        <v>0</v>
      </c>
      <c r="AH78" s="56">
        <f t="shared" si="21"/>
        <v>0</v>
      </c>
      <c r="AI78" s="56">
        <f t="shared" si="45"/>
        <v>163190</v>
      </c>
      <c r="AJ78" s="56">
        <f t="shared" si="60"/>
        <v>0</v>
      </c>
      <c r="AK78" s="56">
        <f t="shared" si="61"/>
        <v>0</v>
      </c>
      <c r="AL78" s="57">
        <f t="shared" si="54"/>
        <v>7</v>
      </c>
      <c r="AM78" s="57">
        <f t="shared" si="46"/>
        <v>7</v>
      </c>
      <c r="AN78" s="51">
        <f t="shared" si="55"/>
        <v>2017</v>
      </c>
      <c r="AO78" s="51">
        <f t="shared" si="47"/>
        <v>2017</v>
      </c>
      <c r="AP78" s="51">
        <f t="shared" si="48"/>
        <v>0</v>
      </c>
      <c r="AQ78" s="51">
        <f t="shared" si="49"/>
        <v>30</v>
      </c>
      <c r="AR78" s="51">
        <f t="shared" si="50"/>
        <v>20</v>
      </c>
      <c r="AS78" s="51">
        <f t="shared" si="56"/>
        <v>30</v>
      </c>
      <c r="AT78" s="52"/>
      <c r="AU78" s="52"/>
      <c r="AV78" s="52"/>
      <c r="AW78" s="52"/>
      <c r="AX78" s="52"/>
      <c r="AY78" s="51">
        <f t="shared" si="25"/>
        <v>1</v>
      </c>
      <c r="AZ78" s="52"/>
      <c r="BA78" s="52"/>
      <c r="BB78" s="52"/>
      <c r="BC78" s="52"/>
      <c r="BD78" s="52"/>
      <c r="BE78" s="52"/>
      <c r="BF78" s="52"/>
      <c r="BG78" s="52"/>
      <c r="BH78" s="52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>
        <f t="shared" si="51"/>
        <v>42967</v>
      </c>
      <c r="C79" s="401"/>
      <c r="D79" s="443">
        <f>IF(N79=0,IF(N78=1,SUM(D$25:E78)," "),IF(N79=0," ",IF(N80=1,D$37,IF(N80=0,D$10-D$37*(M$14-13)," "))))</f>
        <v>20410</v>
      </c>
      <c r="E79" s="443"/>
      <c r="F79" s="84">
        <f>IF(N79=0,IF(N78=1,SUM(F$25:F78)," "),IF(M$1=1,P79,IF(M$1=2,Q79," ")))</f>
        <v>8080</v>
      </c>
      <c r="G79" s="84">
        <f>IF(N79=0,IF(N78=1,SUM(G$25:G78)," "),IF(M$1=1,AC79,IF(M$1=2,AD79," ")))</f>
        <v>0</v>
      </c>
      <c r="H79" s="84">
        <f t="shared" si="52"/>
        <v>28490</v>
      </c>
      <c r="I79" s="84">
        <f>IF(N79=0,IF(N78=1,SUM(D$25:E78)," "),IF(N79=0," ",IF(N80=1,D$37,IF(N80=0,D$10-D$37*(M$14-13)," "))))</f>
        <v>20410</v>
      </c>
      <c r="J79" s="84">
        <f t="shared" si="14"/>
        <v>8080</v>
      </c>
      <c r="K79" s="84">
        <f t="shared" si="15"/>
        <v>0</v>
      </c>
      <c r="L79" s="84">
        <f t="shared" si="26"/>
        <v>28490</v>
      </c>
      <c r="M79" s="51">
        <v>55</v>
      </c>
      <c r="N79" s="51">
        <f t="shared" si="36"/>
        <v>1</v>
      </c>
      <c r="O79" s="51">
        <f t="shared" si="40"/>
        <v>20</v>
      </c>
      <c r="P79" s="56">
        <f t="shared" si="41"/>
        <v>8080</v>
      </c>
      <c r="Q79" s="56">
        <f t="shared" si="42"/>
        <v>8080</v>
      </c>
      <c r="R79" s="56">
        <f t="shared" si="53"/>
        <v>142780</v>
      </c>
      <c r="S79" s="56">
        <f t="shared" si="27"/>
        <v>20410</v>
      </c>
      <c r="T79" s="56">
        <f t="shared" si="28"/>
        <v>20410</v>
      </c>
      <c r="U79" s="56">
        <f t="shared" si="33"/>
        <v>8079.9777777777781</v>
      </c>
      <c r="V79" s="56">
        <f t="shared" si="34"/>
        <v>8079.9777777777781</v>
      </c>
      <c r="W79" s="56">
        <f t="shared" si="29"/>
        <v>51666.666666666672</v>
      </c>
      <c r="X79" s="56">
        <f t="shared" si="30"/>
        <v>51670</v>
      </c>
      <c r="Y79" s="56">
        <f t="shared" si="18"/>
        <v>142780</v>
      </c>
      <c r="Z79" s="56">
        <f t="shared" si="35"/>
        <v>8079.9777777777781</v>
      </c>
      <c r="AA79" s="56">
        <f t="shared" si="19"/>
        <v>8080</v>
      </c>
      <c r="AB79" s="56">
        <f t="shared" si="59"/>
        <v>4691600</v>
      </c>
      <c r="AC79" s="56">
        <f t="shared" si="43"/>
        <v>0</v>
      </c>
      <c r="AD79" s="56">
        <f t="shared" si="44"/>
        <v>0</v>
      </c>
      <c r="AE79" s="56">
        <f t="shared" si="32"/>
        <v>0</v>
      </c>
      <c r="AF79" s="56">
        <f t="shared" si="20"/>
        <v>0</v>
      </c>
      <c r="AG79" s="56">
        <f t="shared" si="31"/>
        <v>0</v>
      </c>
      <c r="AH79" s="56">
        <f t="shared" si="21"/>
        <v>0</v>
      </c>
      <c r="AI79" s="56">
        <f t="shared" si="45"/>
        <v>142780</v>
      </c>
      <c r="AJ79" s="56">
        <f t="shared" si="60"/>
        <v>0</v>
      </c>
      <c r="AK79" s="56">
        <f t="shared" si="61"/>
        <v>0</v>
      </c>
      <c r="AL79" s="57">
        <f t="shared" si="54"/>
        <v>8</v>
      </c>
      <c r="AM79" s="57">
        <f t="shared" si="46"/>
        <v>8</v>
      </c>
      <c r="AN79" s="51">
        <f t="shared" si="55"/>
        <v>2017</v>
      </c>
      <c r="AO79" s="51">
        <f t="shared" si="47"/>
        <v>2017</v>
      </c>
      <c r="AP79" s="51">
        <f t="shared" si="48"/>
        <v>0</v>
      </c>
      <c r="AQ79" s="51">
        <f t="shared" si="49"/>
        <v>30</v>
      </c>
      <c r="AR79" s="51">
        <f t="shared" si="50"/>
        <v>20</v>
      </c>
      <c r="AS79" s="51">
        <f t="shared" si="56"/>
        <v>30</v>
      </c>
      <c r="AT79" s="52"/>
      <c r="AU79" s="52"/>
      <c r="AV79" s="52"/>
      <c r="AW79" s="52"/>
      <c r="AX79" s="52"/>
      <c r="AY79" s="51">
        <f t="shared" si="25"/>
        <v>1</v>
      </c>
      <c r="AZ79" s="52"/>
      <c r="BA79" s="52"/>
      <c r="BB79" s="52"/>
      <c r="BC79" s="52"/>
      <c r="BD79" s="52"/>
      <c r="BE79" s="52"/>
      <c r="BF79" s="52"/>
      <c r="BG79" s="52"/>
      <c r="BH79" s="52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>
        <f t="shared" si="51"/>
        <v>42998</v>
      </c>
      <c r="C80" s="401"/>
      <c r="D80" s="443">
        <f>IF(N80=0,IF(N79=1,SUM(D$25:E79)," "),IF(N80=0," ",IF(N81=1,D$37,IF(N81=0,D$10-D$37*(M$14-13)," "))))</f>
        <v>20410</v>
      </c>
      <c r="E80" s="443"/>
      <c r="F80" s="84">
        <f>IF(N80=0,IF(N79=1,SUM(F$25:F79)," "),IF(M$1=1,P80,IF(M$1=2,Q80," ")))</f>
        <v>7020</v>
      </c>
      <c r="G80" s="84">
        <f>IF(N80=0,IF(N79=1,SUM(G$25:G79)," "),IF(M$1=1,AC80,IF(M$1=2,AD80," ")))</f>
        <v>0</v>
      </c>
      <c r="H80" s="84">
        <f t="shared" si="52"/>
        <v>27430</v>
      </c>
      <c r="I80" s="84">
        <f>IF(N80=0,IF(N79=1,SUM(D$25:E79)," "),IF(N80=0," ",IF(N81=1,D$37,IF(N81=0,D$10-D$37*(M$14-13)," "))))</f>
        <v>20410</v>
      </c>
      <c r="J80" s="84">
        <f t="shared" si="14"/>
        <v>7020</v>
      </c>
      <c r="K80" s="84">
        <f t="shared" si="15"/>
        <v>0</v>
      </c>
      <c r="L80" s="84">
        <f t="shared" si="26"/>
        <v>27430</v>
      </c>
      <c r="M80" s="51">
        <v>56</v>
      </c>
      <c r="N80" s="51">
        <f t="shared" si="36"/>
        <v>1</v>
      </c>
      <c r="O80" s="51">
        <f t="shared" si="40"/>
        <v>20</v>
      </c>
      <c r="P80" s="56">
        <f t="shared" si="41"/>
        <v>7020</v>
      </c>
      <c r="Q80" s="56">
        <f t="shared" si="42"/>
        <v>7020</v>
      </c>
      <c r="R80" s="56">
        <f t="shared" si="53"/>
        <v>122370</v>
      </c>
      <c r="S80" s="56">
        <f t="shared" si="27"/>
        <v>20410</v>
      </c>
      <c r="T80" s="56">
        <f t="shared" si="28"/>
        <v>20410</v>
      </c>
      <c r="U80" s="56">
        <f t="shared" si="33"/>
        <v>7025.4611111111117</v>
      </c>
      <c r="V80" s="56">
        <f t="shared" si="34"/>
        <v>7025.4611111111117</v>
      </c>
      <c r="W80" s="56">
        <f t="shared" si="29"/>
        <v>51666.666666666672</v>
      </c>
      <c r="X80" s="56">
        <f t="shared" si="30"/>
        <v>51670</v>
      </c>
      <c r="Y80" s="56">
        <f t="shared" si="18"/>
        <v>122370</v>
      </c>
      <c r="Z80" s="56">
        <f t="shared" si="35"/>
        <v>7025.4611111111117</v>
      </c>
      <c r="AA80" s="56">
        <f t="shared" si="19"/>
        <v>7020</v>
      </c>
      <c r="AB80" s="56">
        <f t="shared" si="59"/>
        <v>4079300</v>
      </c>
      <c r="AC80" s="56">
        <f t="shared" si="43"/>
        <v>0</v>
      </c>
      <c r="AD80" s="56">
        <f t="shared" si="44"/>
        <v>0</v>
      </c>
      <c r="AE80" s="56">
        <f t="shared" si="32"/>
        <v>0</v>
      </c>
      <c r="AF80" s="56">
        <f t="shared" si="20"/>
        <v>0</v>
      </c>
      <c r="AG80" s="56">
        <f t="shared" si="31"/>
        <v>0</v>
      </c>
      <c r="AH80" s="56">
        <f t="shared" si="21"/>
        <v>0</v>
      </c>
      <c r="AI80" s="56">
        <f t="shared" si="45"/>
        <v>122370</v>
      </c>
      <c r="AJ80" s="56">
        <f t="shared" si="60"/>
        <v>0</v>
      </c>
      <c r="AK80" s="56">
        <f t="shared" si="61"/>
        <v>0</v>
      </c>
      <c r="AL80" s="57">
        <f t="shared" si="54"/>
        <v>9</v>
      </c>
      <c r="AM80" s="57">
        <f t="shared" si="46"/>
        <v>9</v>
      </c>
      <c r="AN80" s="51">
        <f t="shared" si="55"/>
        <v>2017</v>
      </c>
      <c r="AO80" s="51">
        <f t="shared" si="47"/>
        <v>2017</v>
      </c>
      <c r="AP80" s="51">
        <f t="shared" si="48"/>
        <v>0</v>
      </c>
      <c r="AQ80" s="51">
        <f t="shared" si="49"/>
        <v>30</v>
      </c>
      <c r="AR80" s="51">
        <f t="shared" si="50"/>
        <v>20</v>
      </c>
      <c r="AS80" s="51">
        <f t="shared" si="56"/>
        <v>30</v>
      </c>
      <c r="AT80" s="52"/>
      <c r="AU80" s="52"/>
      <c r="AV80" s="52"/>
      <c r="AW80" s="52"/>
      <c r="AX80" s="52"/>
      <c r="AY80" s="51">
        <f t="shared" si="25"/>
        <v>1</v>
      </c>
      <c r="AZ80" s="52"/>
      <c r="BA80" s="52"/>
      <c r="BB80" s="52"/>
      <c r="BC80" s="52"/>
      <c r="BD80" s="52"/>
      <c r="BE80" s="52"/>
      <c r="BF80" s="52"/>
      <c r="BG80" s="52"/>
      <c r="BH80" s="52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>
        <f t="shared" si="51"/>
        <v>43028</v>
      </c>
      <c r="C81" s="401"/>
      <c r="D81" s="443">
        <f>IF(N81=0,IF(N80=1,SUM(D$25:E80)," "),IF(N81=0," ",IF(N82=1,D$37,IF(N82=0,D$10-D$37*(M$14-13)," "))))</f>
        <v>20410</v>
      </c>
      <c r="E81" s="443"/>
      <c r="F81" s="84">
        <f>IF(N81=0,IF(N80=1,SUM(F$25:F80)," "),IF(M$1=1,P81,IF(M$1=2,Q81," ")))</f>
        <v>5970</v>
      </c>
      <c r="G81" s="84">
        <f>IF(N81=0,IF(N80=1,SUM(G$25:G80)," "),IF(M$1=1,AC81,IF(M$1=2,AD81," ")))</f>
        <v>0</v>
      </c>
      <c r="H81" s="84">
        <f t="shared" si="52"/>
        <v>26380</v>
      </c>
      <c r="I81" s="84">
        <f>IF(N81=0,IF(N80=1,SUM(D$25:E80)," "),IF(N81=0," ",IF(N82=1,D$37,IF(N82=0,D$10-D$37*(M$14-13)," "))))</f>
        <v>20410</v>
      </c>
      <c r="J81" s="84">
        <f t="shared" si="14"/>
        <v>5970</v>
      </c>
      <c r="K81" s="84">
        <f t="shared" si="15"/>
        <v>0</v>
      </c>
      <c r="L81" s="84">
        <f t="shared" si="26"/>
        <v>26380</v>
      </c>
      <c r="M81" s="51">
        <v>57</v>
      </c>
      <c r="N81" s="51">
        <f t="shared" si="36"/>
        <v>1</v>
      </c>
      <c r="O81" s="51">
        <f t="shared" si="40"/>
        <v>20</v>
      </c>
      <c r="P81" s="56">
        <f t="shared" si="41"/>
        <v>5970</v>
      </c>
      <c r="Q81" s="56">
        <f t="shared" si="42"/>
        <v>5970</v>
      </c>
      <c r="R81" s="56">
        <f t="shared" si="53"/>
        <v>101960</v>
      </c>
      <c r="S81" s="56">
        <f t="shared" si="27"/>
        <v>20410</v>
      </c>
      <c r="T81" s="56">
        <f t="shared" si="28"/>
        <v>20410</v>
      </c>
      <c r="U81" s="56">
        <f t="shared" si="33"/>
        <v>5970.9444444444443</v>
      </c>
      <c r="V81" s="56">
        <f t="shared" si="34"/>
        <v>5970.9444444444443</v>
      </c>
      <c r="W81" s="56">
        <f t="shared" si="29"/>
        <v>51666.666666666672</v>
      </c>
      <c r="X81" s="56">
        <f t="shared" si="30"/>
        <v>51670</v>
      </c>
      <c r="Y81" s="56">
        <f t="shared" si="18"/>
        <v>101960</v>
      </c>
      <c r="Z81" s="56">
        <f t="shared" si="35"/>
        <v>5970.9444444444443</v>
      </c>
      <c r="AA81" s="56">
        <f t="shared" si="19"/>
        <v>5970</v>
      </c>
      <c r="AB81" s="56">
        <f t="shared" si="59"/>
        <v>3467000</v>
      </c>
      <c r="AC81" s="56">
        <f t="shared" si="43"/>
        <v>0</v>
      </c>
      <c r="AD81" s="56">
        <f t="shared" si="44"/>
        <v>0</v>
      </c>
      <c r="AE81" s="56">
        <f t="shared" si="32"/>
        <v>0</v>
      </c>
      <c r="AF81" s="56">
        <f t="shared" si="20"/>
        <v>0</v>
      </c>
      <c r="AG81" s="56">
        <f t="shared" si="31"/>
        <v>0</v>
      </c>
      <c r="AH81" s="56">
        <f t="shared" si="21"/>
        <v>0</v>
      </c>
      <c r="AI81" s="56">
        <f t="shared" si="45"/>
        <v>101960</v>
      </c>
      <c r="AJ81" s="56">
        <f t="shared" si="60"/>
        <v>0</v>
      </c>
      <c r="AK81" s="56">
        <f t="shared" si="61"/>
        <v>0</v>
      </c>
      <c r="AL81" s="57">
        <f t="shared" si="54"/>
        <v>10</v>
      </c>
      <c r="AM81" s="57">
        <f t="shared" si="46"/>
        <v>10</v>
      </c>
      <c r="AN81" s="51">
        <f t="shared" si="55"/>
        <v>2017</v>
      </c>
      <c r="AO81" s="51">
        <f t="shared" si="47"/>
        <v>2017</v>
      </c>
      <c r="AP81" s="51">
        <f t="shared" si="48"/>
        <v>0</v>
      </c>
      <c r="AQ81" s="51">
        <f t="shared" si="49"/>
        <v>30</v>
      </c>
      <c r="AR81" s="51">
        <f t="shared" si="50"/>
        <v>20</v>
      </c>
      <c r="AS81" s="51">
        <f t="shared" si="56"/>
        <v>30</v>
      </c>
      <c r="AT81" s="52"/>
      <c r="AU81" s="52"/>
      <c r="AV81" s="52"/>
      <c r="AW81" s="52"/>
      <c r="AX81" s="52"/>
      <c r="AY81" s="51">
        <f t="shared" si="25"/>
        <v>1</v>
      </c>
      <c r="AZ81" s="52"/>
      <c r="BA81" s="52"/>
      <c r="BB81" s="52"/>
      <c r="BC81" s="52"/>
      <c r="BD81" s="52"/>
      <c r="BE81" s="52"/>
      <c r="BF81" s="52"/>
      <c r="BG81" s="52"/>
      <c r="BH81" s="52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>
        <f t="shared" si="51"/>
        <v>43059</v>
      </c>
      <c r="C82" s="401"/>
      <c r="D82" s="443">
        <f>IF(N82=0,IF(N81=1,SUM(D$25:E81)," "),IF(N82=0," ",IF(N83=1,D$37,IF(N83=0,D$10-D$37*(M$14-13)," "))))</f>
        <v>20410</v>
      </c>
      <c r="E82" s="443"/>
      <c r="F82" s="84">
        <f>IF(N82=0,IF(N81=1,SUM(F$25:F81)," "),IF(M$1=1,P82,IF(M$1=2,Q82," ")))</f>
        <v>4920</v>
      </c>
      <c r="G82" s="84">
        <f>IF(N82=0,IF(N81=1,SUM(G$25:G81)," "),IF(M$1=1,AC82,IF(M$1=2,AD82," ")))</f>
        <v>0</v>
      </c>
      <c r="H82" s="84">
        <f t="shared" si="52"/>
        <v>25330</v>
      </c>
      <c r="I82" s="84">
        <f>IF(N82=0,IF(N81=1,SUM(D$25:E81)," "),IF(N82=0," ",IF(N83=1,D$37,IF(N83=0,D$10-D$37*(M$14-13)," "))))</f>
        <v>20410</v>
      </c>
      <c r="J82" s="84">
        <f t="shared" si="14"/>
        <v>4920</v>
      </c>
      <c r="K82" s="84">
        <f t="shared" si="15"/>
        <v>0</v>
      </c>
      <c r="L82" s="84">
        <f t="shared" si="26"/>
        <v>25330</v>
      </c>
      <c r="M82" s="51">
        <v>58</v>
      </c>
      <c r="N82" s="51">
        <f t="shared" si="36"/>
        <v>1</v>
      </c>
      <c r="O82" s="51">
        <f t="shared" si="40"/>
        <v>20</v>
      </c>
      <c r="P82" s="56">
        <f t="shared" si="41"/>
        <v>4920</v>
      </c>
      <c r="Q82" s="56">
        <f t="shared" si="42"/>
        <v>4920</v>
      </c>
      <c r="R82" s="56">
        <f t="shared" si="53"/>
        <v>81550</v>
      </c>
      <c r="S82" s="56">
        <f t="shared" si="27"/>
        <v>20410</v>
      </c>
      <c r="T82" s="56">
        <f t="shared" si="28"/>
        <v>20410</v>
      </c>
      <c r="U82" s="56">
        <f t="shared" si="33"/>
        <v>4916.4277777777779</v>
      </c>
      <c r="V82" s="56">
        <f t="shared" si="34"/>
        <v>4916.4277777777779</v>
      </c>
      <c r="W82" s="56">
        <f t="shared" si="29"/>
        <v>51666.666666666672</v>
      </c>
      <c r="X82" s="56">
        <f t="shared" si="30"/>
        <v>51670</v>
      </c>
      <c r="Y82" s="56">
        <f t="shared" si="18"/>
        <v>81550</v>
      </c>
      <c r="Z82" s="56">
        <f t="shared" si="35"/>
        <v>4916.4277777777779</v>
      </c>
      <c r="AA82" s="56">
        <f t="shared" si="19"/>
        <v>4920</v>
      </c>
      <c r="AB82" s="56">
        <f t="shared" si="59"/>
        <v>2854700</v>
      </c>
      <c r="AC82" s="56">
        <f t="shared" si="43"/>
        <v>0</v>
      </c>
      <c r="AD82" s="56">
        <f t="shared" si="44"/>
        <v>0</v>
      </c>
      <c r="AE82" s="56">
        <f t="shared" si="32"/>
        <v>0</v>
      </c>
      <c r="AF82" s="56">
        <f t="shared" si="20"/>
        <v>0</v>
      </c>
      <c r="AG82" s="56">
        <f t="shared" si="31"/>
        <v>0</v>
      </c>
      <c r="AH82" s="56">
        <f t="shared" si="21"/>
        <v>0</v>
      </c>
      <c r="AI82" s="56">
        <f t="shared" si="45"/>
        <v>81550</v>
      </c>
      <c r="AJ82" s="56">
        <f t="shared" si="60"/>
        <v>0</v>
      </c>
      <c r="AK82" s="56">
        <f t="shared" si="61"/>
        <v>0</v>
      </c>
      <c r="AL82" s="57">
        <f t="shared" si="54"/>
        <v>11</v>
      </c>
      <c r="AM82" s="57">
        <f t="shared" si="46"/>
        <v>11</v>
      </c>
      <c r="AN82" s="51">
        <f t="shared" si="55"/>
        <v>2017</v>
      </c>
      <c r="AO82" s="51">
        <f t="shared" si="47"/>
        <v>2017</v>
      </c>
      <c r="AP82" s="51">
        <f t="shared" si="48"/>
        <v>0</v>
      </c>
      <c r="AQ82" s="51">
        <f t="shared" si="49"/>
        <v>30</v>
      </c>
      <c r="AR82" s="51">
        <f t="shared" si="50"/>
        <v>20</v>
      </c>
      <c r="AS82" s="51">
        <f t="shared" si="56"/>
        <v>30</v>
      </c>
      <c r="AT82" s="52"/>
      <c r="AU82" s="52"/>
      <c r="AV82" s="52"/>
      <c r="AW82" s="52"/>
      <c r="AX82" s="52"/>
      <c r="AY82" s="51">
        <f t="shared" si="25"/>
        <v>1</v>
      </c>
      <c r="AZ82" s="52"/>
      <c r="BA82" s="52"/>
      <c r="BB82" s="52"/>
      <c r="BC82" s="52"/>
      <c r="BD82" s="52"/>
      <c r="BE82" s="52"/>
      <c r="BF82" s="52"/>
      <c r="BG82" s="52"/>
      <c r="BH82" s="52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>
        <f t="shared" si="51"/>
        <v>43089</v>
      </c>
      <c r="C83" s="401"/>
      <c r="D83" s="443">
        <f>IF(N83=0,IF(N82=1,SUM(D$25:E82)," "),IF(N83=0," ",IF(N84=1,D$37,IF(N84=0,D$10-D$37*(M$14-13)," "))))</f>
        <v>20410</v>
      </c>
      <c r="E83" s="443"/>
      <c r="F83" s="84">
        <f>IF(N83=0,IF(N82=1,SUM(F$25:F82)," "),IF(M$1=1,P83,IF(M$1=2,Q83," ")))</f>
        <v>3860</v>
      </c>
      <c r="G83" s="84">
        <f>IF(N83=0,IF(N82=1,SUM(G$25:G82)," "),IF(M$1=1,AC83,IF(M$1=2,AD83," ")))</f>
        <v>0</v>
      </c>
      <c r="H83" s="84">
        <f t="shared" si="52"/>
        <v>24270</v>
      </c>
      <c r="I83" s="84">
        <f>IF(N83=0,IF(N82=1,SUM(D$25:E82)," "),IF(N83=0," ",IF(N84=1,D$37,IF(N84=0,D$10-D$37*(M$14-13)," "))))</f>
        <v>20410</v>
      </c>
      <c r="J83" s="84">
        <f t="shared" si="14"/>
        <v>3860</v>
      </c>
      <c r="K83" s="84">
        <f t="shared" si="15"/>
        <v>0</v>
      </c>
      <c r="L83" s="84">
        <f t="shared" si="26"/>
        <v>24270</v>
      </c>
      <c r="M83" s="51">
        <v>59</v>
      </c>
      <c r="N83" s="51">
        <f t="shared" si="36"/>
        <v>1</v>
      </c>
      <c r="O83" s="51">
        <f t="shared" si="40"/>
        <v>20</v>
      </c>
      <c r="P83" s="56">
        <f t="shared" si="41"/>
        <v>3860</v>
      </c>
      <c r="Q83" s="56">
        <f t="shared" si="42"/>
        <v>3860</v>
      </c>
      <c r="R83" s="56">
        <f t="shared" si="53"/>
        <v>61140</v>
      </c>
      <c r="S83" s="56">
        <f t="shared" si="27"/>
        <v>20410</v>
      </c>
      <c r="T83" s="56">
        <f t="shared" si="28"/>
        <v>20410</v>
      </c>
      <c r="U83" s="56">
        <f t="shared" si="33"/>
        <v>3861.911111111111</v>
      </c>
      <c r="V83" s="56">
        <f t="shared" si="34"/>
        <v>3861.911111111111</v>
      </c>
      <c r="W83" s="56">
        <f t="shared" si="29"/>
        <v>51666.666666666672</v>
      </c>
      <c r="X83" s="56">
        <f t="shared" si="30"/>
        <v>51670</v>
      </c>
      <c r="Y83" s="56">
        <f t="shared" si="18"/>
        <v>61140</v>
      </c>
      <c r="Z83" s="56">
        <f t="shared" si="35"/>
        <v>3861.911111111111</v>
      </c>
      <c r="AA83" s="56">
        <f t="shared" si="19"/>
        <v>3860</v>
      </c>
      <c r="AB83" s="56">
        <f t="shared" si="59"/>
        <v>2242400</v>
      </c>
      <c r="AC83" s="56">
        <f t="shared" si="43"/>
        <v>0</v>
      </c>
      <c r="AD83" s="56">
        <f t="shared" si="44"/>
        <v>0</v>
      </c>
      <c r="AE83" s="56">
        <f t="shared" si="32"/>
        <v>0</v>
      </c>
      <c r="AF83" s="56">
        <f t="shared" si="20"/>
        <v>0</v>
      </c>
      <c r="AG83" s="56">
        <f t="shared" si="31"/>
        <v>0</v>
      </c>
      <c r="AH83" s="56">
        <f t="shared" si="21"/>
        <v>0</v>
      </c>
      <c r="AI83" s="56">
        <f t="shared" si="45"/>
        <v>61140</v>
      </c>
      <c r="AJ83" s="56">
        <f t="shared" si="60"/>
        <v>0</v>
      </c>
      <c r="AK83" s="56">
        <f t="shared" si="61"/>
        <v>0</v>
      </c>
      <c r="AL83" s="57">
        <f t="shared" si="54"/>
        <v>12</v>
      </c>
      <c r="AM83" s="57">
        <f t="shared" si="46"/>
        <v>12</v>
      </c>
      <c r="AN83" s="51">
        <f t="shared" si="55"/>
        <v>2017</v>
      </c>
      <c r="AO83" s="51">
        <f t="shared" si="47"/>
        <v>2017</v>
      </c>
      <c r="AP83" s="51">
        <f t="shared" si="48"/>
        <v>0</v>
      </c>
      <c r="AQ83" s="51">
        <f t="shared" si="49"/>
        <v>30</v>
      </c>
      <c r="AR83" s="51">
        <f t="shared" si="50"/>
        <v>20</v>
      </c>
      <c r="AS83" s="51">
        <f t="shared" si="56"/>
        <v>30</v>
      </c>
      <c r="AT83" s="52"/>
      <c r="AU83" s="52"/>
      <c r="AV83" s="52"/>
      <c r="AW83" s="52"/>
      <c r="AX83" s="52"/>
      <c r="AY83" s="51">
        <f t="shared" si="25"/>
        <v>1</v>
      </c>
      <c r="AZ83" s="52"/>
      <c r="BA83" s="52"/>
      <c r="BB83" s="52"/>
      <c r="BC83" s="52"/>
      <c r="BD83" s="52"/>
      <c r="BE83" s="52"/>
      <c r="BF83" s="52"/>
      <c r="BG83" s="52"/>
      <c r="BH83" s="52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>
        <f t="shared" si="51"/>
        <v>43120</v>
      </c>
      <c r="C84" s="401"/>
      <c r="D84" s="443">
        <f>IF(N84=0,IF(N83=1,SUM(D$25:E83)," "),IF(N84=0," ",IF(N85=1,D$37,IF(N85=0,D$10-D$37*(M$14-13)," "))))</f>
        <v>20410</v>
      </c>
      <c r="E84" s="443"/>
      <c r="F84" s="84">
        <f>IF(N84=0,IF(N83=1,SUM(F$25:F83)," "),IF(M$1=1,P84,IF(M$1=2,Q84," ")))</f>
        <v>2810</v>
      </c>
      <c r="G84" s="84">
        <f>IF(N84=0,IF(N83=1,SUM(G$25:G83)," "),IF(M$1=1,AC84,IF(M$1=2,AD84," ")))</f>
        <v>0</v>
      </c>
      <c r="H84" s="84">
        <f t="shared" si="52"/>
        <v>23220</v>
      </c>
      <c r="I84" s="84">
        <f>IF(N84=0,IF(N83=1,SUM(D$25:E83)," "),IF(N84=0," ",IF(N85=1,D$37,IF(N85=0,D$10-D$37*(M$14-13)," "))))</f>
        <v>20410</v>
      </c>
      <c r="J84" s="84">
        <f t="shared" si="14"/>
        <v>2810</v>
      </c>
      <c r="K84" s="84">
        <f t="shared" si="15"/>
        <v>0</v>
      </c>
      <c r="L84" s="84">
        <f t="shared" si="26"/>
        <v>23220</v>
      </c>
      <c r="M84" s="51">
        <v>60</v>
      </c>
      <c r="N84" s="51">
        <f t="shared" si="36"/>
        <v>1</v>
      </c>
      <c r="O84" s="51">
        <f t="shared" si="40"/>
        <v>20</v>
      </c>
      <c r="P84" s="56">
        <f t="shared" si="41"/>
        <v>2810</v>
      </c>
      <c r="Q84" s="56">
        <f t="shared" si="42"/>
        <v>2810</v>
      </c>
      <c r="R84" s="56">
        <f t="shared" si="53"/>
        <v>40730</v>
      </c>
      <c r="S84" s="56">
        <f t="shared" si="27"/>
        <v>20410</v>
      </c>
      <c r="T84" s="56">
        <f t="shared" si="28"/>
        <v>20410</v>
      </c>
      <c r="U84" s="56">
        <f t="shared" si="33"/>
        <v>2807.3944444444446</v>
      </c>
      <c r="V84" s="56">
        <f t="shared" si="34"/>
        <v>2807.3944444444446</v>
      </c>
      <c r="W84" s="56">
        <f t="shared" si="29"/>
        <v>51666.666666666672</v>
      </c>
      <c r="X84" s="56">
        <f t="shared" si="30"/>
        <v>51670</v>
      </c>
      <c r="Y84" s="56">
        <f t="shared" si="18"/>
        <v>40730</v>
      </c>
      <c r="Z84" s="56">
        <f t="shared" si="35"/>
        <v>2807.3944444444446</v>
      </c>
      <c r="AA84" s="56">
        <f t="shared" si="19"/>
        <v>2810</v>
      </c>
      <c r="AB84" s="56">
        <f t="shared" si="59"/>
        <v>1630100</v>
      </c>
      <c r="AC84" s="56">
        <f t="shared" si="43"/>
        <v>0</v>
      </c>
      <c r="AD84" s="56">
        <f t="shared" si="44"/>
        <v>0</v>
      </c>
      <c r="AE84" s="56">
        <f t="shared" si="32"/>
        <v>0</v>
      </c>
      <c r="AF84" s="56">
        <f t="shared" si="20"/>
        <v>0</v>
      </c>
      <c r="AG84" s="56">
        <f t="shared" si="31"/>
        <v>0</v>
      </c>
      <c r="AH84" s="56">
        <f t="shared" si="21"/>
        <v>0</v>
      </c>
      <c r="AI84" s="56">
        <f t="shared" si="45"/>
        <v>40730</v>
      </c>
      <c r="AJ84" s="56">
        <f t="shared" si="60"/>
        <v>0</v>
      </c>
      <c r="AK84" s="56">
        <f t="shared" si="61"/>
        <v>0</v>
      </c>
      <c r="AL84" s="57">
        <f t="shared" si="54"/>
        <v>13</v>
      </c>
      <c r="AM84" s="57">
        <f t="shared" si="46"/>
        <v>1</v>
      </c>
      <c r="AN84" s="51">
        <f t="shared" si="55"/>
        <v>2017</v>
      </c>
      <c r="AO84" s="51">
        <f t="shared" si="47"/>
        <v>2018</v>
      </c>
      <c r="AP84" s="51">
        <f t="shared" si="48"/>
        <v>0</v>
      </c>
      <c r="AQ84" s="51">
        <f t="shared" si="49"/>
        <v>30</v>
      </c>
      <c r="AR84" s="51">
        <f t="shared" si="50"/>
        <v>20</v>
      </c>
      <c r="AS84" s="51">
        <f t="shared" si="56"/>
        <v>30</v>
      </c>
      <c r="AT84" s="52"/>
      <c r="AU84" s="52"/>
      <c r="AV84" s="52"/>
      <c r="AW84" s="52"/>
      <c r="AX84" s="52"/>
      <c r="AY84" s="51">
        <f t="shared" si="25"/>
        <v>1</v>
      </c>
      <c r="AZ84" s="52"/>
      <c r="BA84" s="52"/>
      <c r="BB84" s="52"/>
      <c r="BC84" s="52"/>
      <c r="BD84" s="52"/>
      <c r="BE84" s="52"/>
      <c r="BF84" s="52"/>
      <c r="BG84" s="52"/>
      <c r="BH84" s="52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>
        <f t="shared" si="51"/>
        <v>43124</v>
      </c>
      <c r="C85" s="401"/>
      <c r="D85" s="443">
        <f>IF(N85=0,IF(N84=1,SUM(D$25:E84)," "),IF(N85=0," ",IF(N86=1,D$37,IF(N86=0,D$10-D$37*(M$14-13)," "))))</f>
        <v>20320</v>
      </c>
      <c r="E85" s="443"/>
      <c r="F85" s="84">
        <f>IF(N85=0,IF(N84=1,SUM(F$25:F84)," "),IF(M$1=1,P85,IF(M$1=2,Q85," ")))</f>
        <v>1540</v>
      </c>
      <c r="G85" s="84">
        <f>IF(N85=0,IF(N84=1,SUM(G$25:G84)," "),IF(M$1=1,AC85,IF(M$1=2,AD85," ")))</f>
        <v>0</v>
      </c>
      <c r="H85" s="84">
        <f t="shared" si="52"/>
        <v>21860</v>
      </c>
      <c r="I85" s="84">
        <f>IF(N85=0,IF(N84=1,SUM(D$25:E84)," "),IF(N85=0," ",IF(N86=1,D$37,IF(N86=0,D$10-D$37*(M$14-13)," "))))</f>
        <v>20320</v>
      </c>
      <c r="J85" s="84">
        <f t="shared" si="14"/>
        <v>1540</v>
      </c>
      <c r="K85" s="84">
        <f t="shared" si="15"/>
        <v>0</v>
      </c>
      <c r="L85" s="84">
        <f t="shared" si="26"/>
        <v>21860</v>
      </c>
      <c r="M85" s="51">
        <v>61</v>
      </c>
      <c r="N85" s="51">
        <f t="shared" si="36"/>
        <v>1</v>
      </c>
      <c r="O85" s="51">
        <f t="shared" si="40"/>
        <v>24</v>
      </c>
      <c r="P85" s="56">
        <f t="shared" si="41"/>
        <v>1540</v>
      </c>
      <c r="Q85" s="56">
        <f t="shared" si="42"/>
        <v>1540</v>
      </c>
      <c r="R85" s="56">
        <f t="shared" si="53"/>
        <v>20320</v>
      </c>
      <c r="S85" s="56">
        <f t="shared" si="27"/>
        <v>20320</v>
      </c>
      <c r="T85" s="56">
        <f t="shared" si="28"/>
        <v>20320</v>
      </c>
      <c r="U85" s="56">
        <f t="shared" si="33"/>
        <v>1542.9044444444444</v>
      </c>
      <c r="V85" s="56">
        <f t="shared" si="34"/>
        <v>1542.9044444444444</v>
      </c>
      <c r="W85" s="56">
        <f>IF(N86=1,D10*D$11*20/36000+D10*D$11*10/36000,IF(N86=0,IF(N85=0,0,D10*D$11*Q$12/36000)))</f>
        <v>41333.333333333336</v>
      </c>
      <c r="X85" s="56">
        <f t="shared" si="30"/>
        <v>41330</v>
      </c>
      <c r="Y85" s="56">
        <f t="shared" si="18"/>
        <v>20320</v>
      </c>
      <c r="Z85" s="56">
        <f t="shared" si="35"/>
        <v>1542.9044444444444</v>
      </c>
      <c r="AA85" s="56">
        <f t="shared" si="19"/>
        <v>1540</v>
      </c>
      <c r="AB85" s="56">
        <f>R85*Q$12</f>
        <v>487680</v>
      </c>
      <c r="AC85" s="56">
        <f t="shared" si="43"/>
        <v>0</v>
      </c>
      <c r="AD85" s="56">
        <f t="shared" si="44"/>
        <v>0</v>
      </c>
      <c r="AE85" s="56">
        <f>IF(N86=1,D10*G$12*20/36000+D10*G$12*10/36000,IF(N86=0,IF(N85=0,0,D10*G$12*Q$12/36000)))</f>
        <v>0</v>
      </c>
      <c r="AF85" s="56">
        <f t="shared" si="20"/>
        <v>0</v>
      </c>
      <c r="AG85" s="56">
        <f>IF(N86=1,Y84*G$12*20/36000+Y85*G$12*10/36000,IF(N86=0,IF(N85=0,0,Y85*G$12*Q$12/36000)))</f>
        <v>0</v>
      </c>
      <c r="AH85" s="56">
        <f t="shared" si="21"/>
        <v>0</v>
      </c>
      <c r="AI85" s="56">
        <f t="shared" si="45"/>
        <v>20320</v>
      </c>
      <c r="AJ85" s="56">
        <f>IF(N86=1,AI84*G$12*20/36000+AI85*G$12*10/36000,IF(N86=0,IF(N85=0,0,AI85*G$12*Q$12/36000)))</f>
        <v>0</v>
      </c>
      <c r="AK85" s="56">
        <f>IF(N86=1,AI84*G$12*20/36000+AI85*G$12*10/36000,IF(N86=0,IF(N85=0,0,AI85*G$12*Q$12/36000)))</f>
        <v>0</v>
      </c>
      <c r="AL85" s="57">
        <f t="shared" si="54"/>
        <v>2</v>
      </c>
      <c r="AM85" s="57">
        <f t="shared" si="46"/>
        <v>2</v>
      </c>
      <c r="AN85" s="51">
        <f t="shared" si="55"/>
        <v>2018</v>
      </c>
      <c r="AO85" s="51">
        <f t="shared" si="47"/>
        <v>2018</v>
      </c>
      <c r="AP85" s="51">
        <f t="shared" si="48"/>
        <v>0</v>
      </c>
      <c r="AQ85" s="51">
        <f t="shared" si="49"/>
        <v>28</v>
      </c>
      <c r="AR85" s="51">
        <f t="shared" si="50"/>
        <v>20</v>
      </c>
      <c r="AS85" s="51">
        <f t="shared" si="56"/>
        <v>30</v>
      </c>
      <c r="AT85" s="52"/>
      <c r="AU85" s="52"/>
      <c r="AV85" s="52"/>
      <c r="AW85" s="52"/>
      <c r="AX85" s="52"/>
      <c r="AY85" s="51">
        <f t="shared" si="25"/>
        <v>1</v>
      </c>
      <c r="AZ85" s="52"/>
      <c r="BA85" s="52"/>
      <c r="BB85" s="52"/>
      <c r="BC85" s="52"/>
      <c r="BD85" s="52"/>
      <c r="BE85" s="52"/>
      <c r="BF85" s="52"/>
      <c r="BG85" s="52"/>
      <c r="BH85" s="52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>IF(N86=0,IF(N85=1,"ИТОГО"," ")," ")</f>
        <v>ИТОГО</v>
      </c>
      <c r="C86" s="405"/>
      <c r="D86" s="441">
        <f>IF(N86=0,IF(N85=1,D22," ")," ")</f>
        <v>1000000</v>
      </c>
      <c r="E86" s="441"/>
      <c r="F86" s="66">
        <f>IF(N86=0,IF(N85=1,SUM(F25:F85)," ")," ")</f>
        <v>1902040</v>
      </c>
      <c r="G86" s="66">
        <f>IF(N86=0,IF(N85=1,SUM(G25:G85)," ")," ")</f>
        <v>0</v>
      </c>
      <c r="H86" s="66">
        <f t="shared" si="52"/>
        <v>2902040</v>
      </c>
      <c r="I86" s="66"/>
      <c r="J86" s="66"/>
      <c r="K86" s="66"/>
      <c r="L86" s="66"/>
      <c r="M86" s="58">
        <f>IF(A94=0,0,62000)</f>
        <v>0</v>
      </c>
      <c r="N86" s="58"/>
      <c r="O86" s="58"/>
      <c r="P86" s="59">
        <f t="shared" ref="P86:AK86" si="62">SUM(P25:P85)</f>
        <v>1902040</v>
      </c>
      <c r="Q86" s="59">
        <f t="shared" si="62"/>
        <v>1902040</v>
      </c>
      <c r="R86" s="59">
        <f t="shared" si="62"/>
        <v>36997840</v>
      </c>
      <c r="S86" s="59"/>
      <c r="T86" s="59"/>
      <c r="U86" s="59">
        <f t="shared" si="62"/>
        <v>1902034.0711111114</v>
      </c>
      <c r="V86" s="59">
        <f t="shared" si="62"/>
        <v>1902034.0711111114</v>
      </c>
      <c r="W86" s="59">
        <f t="shared" si="62"/>
        <v>3098276.6666666651</v>
      </c>
      <c r="X86" s="59">
        <f t="shared" si="62"/>
        <v>3098470</v>
      </c>
      <c r="Y86" s="59"/>
      <c r="Z86" s="59"/>
      <c r="AA86" s="59"/>
      <c r="AB86" s="59">
        <f t="shared" si="62"/>
        <v>1103998680</v>
      </c>
      <c r="AC86" s="59">
        <f t="shared" si="62"/>
        <v>0</v>
      </c>
      <c r="AD86" s="59">
        <f t="shared" si="62"/>
        <v>0</v>
      </c>
      <c r="AE86" s="59">
        <f t="shared" si="62"/>
        <v>0</v>
      </c>
      <c r="AF86" s="59">
        <f t="shared" si="62"/>
        <v>0</v>
      </c>
      <c r="AG86" s="59"/>
      <c r="AH86" s="59"/>
      <c r="AI86" s="59">
        <f t="shared" si="62"/>
        <v>36997840</v>
      </c>
      <c r="AJ86" s="59">
        <f t="shared" si="62"/>
        <v>0</v>
      </c>
      <c r="AK86" s="59">
        <f t="shared" si="62"/>
        <v>0</v>
      </c>
      <c r="AL86" s="59"/>
      <c r="AM86" s="58"/>
      <c r="AN86" s="58"/>
      <c r="AO86" s="58"/>
      <c r="AP86" s="58"/>
      <c r="AQ86" s="58"/>
      <c r="AR86" s="58"/>
      <c r="AS86" s="58"/>
      <c r="AT86" s="60"/>
      <c r="AU86" s="60"/>
      <c r="AV86" s="60"/>
      <c r="AW86" s="60"/>
      <c r="AX86" s="60"/>
      <c r="AY86" s="58"/>
      <c r="AZ86" s="60"/>
      <c r="BA86" s="60"/>
      <c r="BB86" s="60"/>
      <c r="BC86" s="60"/>
      <c r="BD86" s="60"/>
      <c r="BE86" s="60"/>
      <c r="BF86" s="60"/>
      <c r="BG86" s="60"/>
      <c r="BH86" s="60"/>
    </row>
    <row r="87" spans="1:141" ht="87.75" hidden="1" customHeight="1">
      <c r="A87" s="28"/>
      <c r="B87" s="301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129</v>
      </c>
      <c r="O87" s="28" t="s">
        <v>129</v>
      </c>
      <c r="P87" s="28"/>
      <c r="Q87" s="28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19"/>
      <c r="AU87" s="19"/>
      <c r="AV87" s="19"/>
      <c r="AW87" s="19"/>
      <c r="AX87" s="19"/>
      <c r="AY87" s="4"/>
      <c r="AZ87" s="19"/>
      <c r="BA87" s="19"/>
      <c r="BB87" s="19"/>
      <c r="BC87" s="19"/>
      <c r="BD87" s="19"/>
      <c r="BE87" s="1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19"/>
      <c r="AU88" s="19"/>
      <c r="AV88" s="19"/>
      <c r="AW88" s="19"/>
      <c r="AX88" s="19"/>
      <c r="AY88" s="4"/>
      <c r="AZ88" s="19"/>
      <c r="BA88" s="19"/>
      <c r="BB88" s="19"/>
      <c r="BC88" s="19"/>
      <c r="BD88" s="19"/>
      <c r="BE88" s="1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N89" s="4"/>
      <c r="O89" s="4"/>
      <c r="P89" s="28"/>
      <c r="Q89" s="28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19"/>
      <c r="AU89" s="19"/>
      <c r="AV89" s="19"/>
      <c r="AW89" s="19"/>
      <c r="AX89" s="19"/>
      <c r="AY89" s="4"/>
      <c r="AZ89" s="19"/>
      <c r="BA89" s="19"/>
      <c r="BB89" s="19"/>
      <c r="BC89" s="19"/>
      <c r="BD89" s="19"/>
      <c r="BE89" s="1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19"/>
      <c r="AU90" s="19"/>
      <c r="AV90" s="19"/>
      <c r="AW90" s="19"/>
      <c r="AX90" s="19"/>
      <c r="AY90" s="4"/>
      <c r="AZ90" s="19"/>
      <c r="BA90" s="19"/>
      <c r="BB90" s="19"/>
      <c r="BC90" s="19"/>
      <c r="BD90" s="19"/>
      <c r="BE90" s="19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19"/>
      <c r="AU91" s="19"/>
      <c r="AV91" s="19"/>
      <c r="AW91" s="19"/>
      <c r="AX91" s="19"/>
      <c r="AY91" s="4"/>
      <c r="AZ91" s="19"/>
      <c r="BA91" s="19"/>
      <c r="BB91" s="19"/>
      <c r="BC91" s="19"/>
      <c r="BD91" s="19"/>
      <c r="BE91" s="19"/>
    </row>
    <row r="92" spans="1:141" s="19" customFormat="1" ht="19.5" hidden="1" customHeight="1">
      <c r="A92" s="4"/>
      <c r="B92" s="490" t="str">
        <f>IF(M1=2,O92,IF(M1=1,N92," "))</f>
        <v>* Все платежи в погашение кредитов осуществляются не позднее 20-го числа текущего месяца.</v>
      </c>
      <c r="C92" s="490"/>
      <c r="D92" s="490"/>
      <c r="E92" s="490"/>
      <c r="F92" s="490"/>
      <c r="G92" s="490"/>
      <c r="H92" s="490"/>
      <c r="I92" s="106"/>
      <c r="J92" s="106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454"/>
      <c r="L93" s="107"/>
      <c r="M93" s="4"/>
      <c r="N93" s="28" t="s">
        <v>130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</row>
    <row r="96" spans="1:141" s="50" customFormat="1" ht="25.5" hidden="1" customHeight="1">
      <c r="A96" s="32">
        <f t="shared" ref="A96:A119" si="63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Y96" s="49"/>
    </row>
    <row r="97" spans="1:57" s="50" customFormat="1" ht="25.5" hidden="1" customHeight="1">
      <c r="A97" s="105">
        <f t="shared" si="63"/>
        <v>0</v>
      </c>
      <c r="B97" s="299">
        <f>IF(H$8=1,R97,IF(N$8=1,U97,IF(M$8=1,IF(F$10="бел. рублей",IF(D$17="Неустойка",O97,Q97),IF(D$17="Неустойка",N97,P97)))))</f>
        <v>0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49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34"/>
      <c r="AU97" s="34"/>
      <c r="AV97" s="34"/>
      <c r="AW97" s="34"/>
      <c r="AX97" s="34"/>
      <c r="AY97" s="65"/>
      <c r="AZ97" s="34"/>
      <c r="BA97" s="34"/>
      <c r="BB97" s="34"/>
      <c r="BC97" s="34"/>
      <c r="BD97" s="34"/>
      <c r="BE97" s="34"/>
    </row>
    <row r="98" spans="1:57" s="34" customFormat="1" ht="25.5" hidden="1" customHeight="1">
      <c r="A98" s="105">
        <f t="shared" si="63"/>
        <v>0</v>
      </c>
      <c r="B98" s="299" t="str">
        <f>IF(H$8=1,R98,IF(N$8=1,U98,IF(M$8=1,IF(F$10="бел. рублей",IF(D$17="Неустойка",O98,Q98),IF(D$17="Неустойка",N98,P98)))))</f>
        <v>1)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65"/>
      <c r="N98" s="37" t="s">
        <v>147</v>
      </c>
      <c r="O98" s="37" t="s">
        <v>147</v>
      </c>
      <c r="P98" s="37" t="s">
        <v>147</v>
      </c>
      <c r="Q98" s="37" t="s">
        <v>147</v>
      </c>
      <c r="R98" s="37" t="s">
        <v>150</v>
      </c>
      <c r="S98" s="37"/>
      <c r="T98" s="37"/>
      <c r="U98" s="37" t="s">
        <v>45</v>
      </c>
      <c r="V98" s="37" t="s">
        <v>45</v>
      </c>
      <c r="W98" s="61"/>
      <c r="X98" s="61"/>
      <c r="Y98" s="61"/>
      <c r="Z98" s="61"/>
      <c r="AA98" s="61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</row>
    <row r="99" spans="1:57" s="34" customFormat="1" ht="25.5" hidden="1" customHeight="1">
      <c r="A99" s="32">
        <f t="shared" si="63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61" t="s">
        <v>48</v>
      </c>
      <c r="V99" s="61" t="s">
        <v>48</v>
      </c>
      <c r="W99" s="62"/>
      <c r="X99" s="62"/>
      <c r="Y99" s="62"/>
      <c r="Z99" s="62"/>
      <c r="AA99" s="62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</row>
    <row r="100" spans="1:57" s="50" customFormat="1" ht="25.5" hidden="1" customHeight="1">
      <c r="A100" s="32">
        <f t="shared" si="63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98</v>
      </c>
      <c r="V100" s="37" t="s">
        <v>98</v>
      </c>
      <c r="W100" s="37"/>
      <c r="X100" s="37"/>
      <c r="Y100" s="37"/>
      <c r="Z100" s="37"/>
      <c r="AA100" s="37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Y100" s="49"/>
    </row>
    <row r="101" spans="1:57" s="50" customFormat="1" ht="25.5" hidden="1" customHeight="1">
      <c r="A101" s="105">
        <f t="shared" si="63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49"/>
      <c r="N101" s="62" t="s">
        <v>57</v>
      </c>
      <c r="O101" s="62" t="s">
        <v>57</v>
      </c>
      <c r="P101" s="62" t="s">
        <v>56</v>
      </c>
      <c r="Q101" s="62" t="s">
        <v>57</v>
      </c>
      <c r="R101" s="62" t="s">
        <v>151</v>
      </c>
      <c r="S101" s="62"/>
      <c r="T101" s="62"/>
      <c r="U101" s="62" t="s">
        <v>54</v>
      </c>
      <c r="V101" s="62" t="s">
        <v>55</v>
      </c>
      <c r="W101" s="62"/>
      <c r="X101" s="62"/>
      <c r="Y101" s="62"/>
      <c r="Z101" s="62"/>
      <c r="AA101" s="62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34"/>
      <c r="AU101" s="34"/>
      <c r="AV101" s="34"/>
      <c r="AW101" s="34"/>
      <c r="AX101" s="34"/>
      <c r="AY101" s="65"/>
      <c r="AZ101" s="34"/>
      <c r="BA101" s="34"/>
      <c r="BB101" s="34"/>
      <c r="BC101" s="34"/>
      <c r="BD101" s="34"/>
      <c r="BE101" s="34"/>
    </row>
    <row r="102" spans="1:57" s="34" customFormat="1" ht="25.5" hidden="1" customHeight="1">
      <c r="A102" s="105">
        <f t="shared" si="63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7" t="s">
        <v>106</v>
      </c>
      <c r="V102" s="37" t="s">
        <v>106</v>
      </c>
      <c r="W102" s="61"/>
      <c r="X102" s="61"/>
      <c r="Y102" s="61"/>
      <c r="Z102" s="61"/>
      <c r="AA102" s="61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</row>
    <row r="103" spans="1:57" s="34" customFormat="1" ht="25.5" hidden="1" customHeight="1">
      <c r="A103" s="32">
        <f t="shared" si="63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2)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148</v>
      </c>
      <c r="O103" s="37" t="s">
        <v>148</v>
      </c>
      <c r="P103" s="37" t="s">
        <v>148</v>
      </c>
      <c r="Q103" s="37" t="s">
        <v>148</v>
      </c>
      <c r="R103" s="37" t="s">
        <v>109</v>
      </c>
      <c r="S103" s="37"/>
      <c r="T103" s="37"/>
      <c r="U103" s="61" t="s">
        <v>61</v>
      </c>
      <c r="V103" s="61" t="s">
        <v>62</v>
      </c>
      <c r="W103" s="61"/>
      <c r="X103" s="61"/>
      <c r="Y103" s="61"/>
      <c r="Z103" s="61"/>
      <c r="AA103" s="61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</row>
    <row r="104" spans="1:57" s="34" customFormat="1" ht="25.5" hidden="1" customHeight="1">
      <c r="A104" s="32"/>
      <c r="B104" s="299" t="str">
        <f t="shared" ref="B104:B119" si="64">IF(H$8=1,R104,IF(N$8=1,U104,IF(M$8=1,IF(F$10="бел. рублей",IF(D$17="Неустойка",O104,Q104),IF(D$17="Неустойка",N104,P104)))))</f>
        <v xml:space="preserve"> 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65" t="s">
        <v>132</v>
      </c>
      <c r="O104" s="65" t="s">
        <v>132</v>
      </c>
      <c r="P104" s="65" t="s">
        <v>132</v>
      </c>
      <c r="Q104" s="65" t="s">
        <v>132</v>
      </c>
      <c r="R104" s="65" t="s">
        <v>132</v>
      </c>
      <c r="S104" s="85"/>
      <c r="T104" s="85"/>
      <c r="U104" s="37"/>
      <c r="V104" s="61" t="s">
        <v>61</v>
      </c>
      <c r="W104" s="61"/>
      <c r="X104" s="61"/>
      <c r="Y104" s="61"/>
      <c r="Z104" s="61"/>
      <c r="AA104" s="61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</row>
    <row r="105" spans="1:57" s="50" customFormat="1" ht="25.5" hidden="1" customHeight="1">
      <c r="A105" s="32">
        <f t="shared" si="63"/>
        <v>0</v>
      </c>
      <c r="B105" s="299" t="str">
        <f t="shared" si="64"/>
        <v xml:space="preserve"> 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65" t="s">
        <v>133</v>
      </c>
      <c r="O105" s="65" t="s">
        <v>133</v>
      </c>
      <c r="P105" s="65" t="s">
        <v>133</v>
      </c>
      <c r="Q105" s="65" t="s">
        <v>133</v>
      </c>
      <c r="R105" s="103" t="s">
        <v>124</v>
      </c>
      <c r="S105" s="37"/>
      <c r="T105" s="37"/>
      <c r="U105" s="37" t="s">
        <v>36</v>
      </c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Y105" s="49"/>
    </row>
    <row r="106" spans="1:57" s="50" customFormat="1" ht="25.5" hidden="1" customHeight="1">
      <c r="A106" s="105">
        <f t="shared" si="63"/>
        <v>0</v>
      </c>
      <c r="B106" s="299" t="str">
        <f t="shared" si="64"/>
        <v xml:space="preserve"> 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49"/>
      <c r="N106" s="49" t="s">
        <v>134</v>
      </c>
      <c r="O106" s="49" t="s">
        <v>134</v>
      </c>
      <c r="P106" s="49" t="s">
        <v>134</v>
      </c>
      <c r="Q106" s="103" t="s">
        <v>122</v>
      </c>
      <c r="R106" s="37" t="s">
        <v>111</v>
      </c>
      <c r="S106" s="37"/>
      <c r="T106" s="37"/>
      <c r="U106" s="37" t="s">
        <v>36</v>
      </c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Y106" s="49"/>
    </row>
    <row r="107" spans="1:57" s="34" customFormat="1" ht="25.5" hidden="1" customHeight="1">
      <c r="A107" s="105">
        <f t="shared" si="63"/>
        <v>0</v>
      </c>
      <c r="B107" s="299" t="str">
        <f t="shared" si="64"/>
        <v>3)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49"/>
      <c r="N107" s="62" t="s">
        <v>53</v>
      </c>
      <c r="O107" s="62" t="s">
        <v>53</v>
      </c>
      <c r="P107" s="62" t="s">
        <v>53</v>
      </c>
      <c r="Q107" s="62" t="s">
        <v>53</v>
      </c>
      <c r="R107" s="33" t="s">
        <v>48</v>
      </c>
      <c r="S107" s="33"/>
      <c r="T107" s="33"/>
      <c r="U107" s="37" t="s">
        <v>36</v>
      </c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50"/>
      <c r="AU107" s="50"/>
      <c r="AV107" s="50"/>
      <c r="AW107" s="50"/>
      <c r="AX107" s="50"/>
      <c r="AY107" s="49"/>
      <c r="AZ107" s="50"/>
      <c r="BA107" s="50"/>
      <c r="BB107" s="50"/>
      <c r="BC107" s="50"/>
      <c r="BD107" s="50"/>
      <c r="BE107" s="50"/>
    </row>
    <row r="108" spans="1:57" s="50" customFormat="1" ht="25.5" hidden="1" customHeight="1">
      <c r="A108" s="32">
        <f t="shared" si="63"/>
        <v>0</v>
      </c>
      <c r="B108" s="299" t="str">
        <f t="shared" si="64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49"/>
      <c r="N108" s="62" t="s">
        <v>58</v>
      </c>
      <c r="O108" s="62" t="s">
        <v>58</v>
      </c>
      <c r="P108" s="62" t="s">
        <v>58</v>
      </c>
      <c r="Q108" s="62" t="s">
        <v>58</v>
      </c>
      <c r="R108" s="62" t="s">
        <v>98</v>
      </c>
      <c r="S108" s="62"/>
      <c r="T108" s="62"/>
      <c r="U108" s="62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34"/>
      <c r="AU108" s="34"/>
      <c r="AV108" s="34"/>
      <c r="AW108" s="34"/>
      <c r="AX108" s="34"/>
      <c r="AY108" s="65"/>
      <c r="AZ108" s="34"/>
      <c r="BA108" s="34"/>
      <c r="BB108" s="34"/>
      <c r="BC108" s="34"/>
      <c r="BD108" s="34"/>
      <c r="BE108" s="34"/>
    </row>
    <row r="109" spans="1:57" s="34" customFormat="1" ht="25.5" hidden="1" customHeight="1">
      <c r="A109" s="105">
        <f t="shared" si="63"/>
        <v>0</v>
      </c>
      <c r="B109" s="299" t="str">
        <f t="shared" si="64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49" t="s">
        <v>36</v>
      </c>
      <c r="V109" s="61" t="s">
        <v>48</v>
      </c>
      <c r="W109" s="61"/>
      <c r="X109" s="61"/>
      <c r="Y109" s="61"/>
      <c r="Z109" s="61"/>
      <c r="AA109" s="61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</row>
    <row r="110" spans="1:57" s="34" customFormat="1" ht="25.5" hidden="1" customHeight="1">
      <c r="A110" s="32">
        <f t="shared" si="63"/>
        <v>0</v>
      </c>
      <c r="B110" s="299" t="str">
        <f t="shared" si="64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49" t="s">
        <v>36</v>
      </c>
      <c r="V110" s="62" t="s">
        <v>98</v>
      </c>
      <c r="W110" s="62"/>
      <c r="X110" s="62"/>
      <c r="Y110" s="62"/>
      <c r="Z110" s="62"/>
      <c r="AA110" s="62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</row>
    <row r="111" spans="1:57" s="50" customFormat="1" ht="25.5" hidden="1" customHeight="1">
      <c r="A111" s="32">
        <f t="shared" si="63"/>
        <v>0</v>
      </c>
      <c r="B111" s="299" t="str">
        <f t="shared" si="64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61" t="s">
        <v>61</v>
      </c>
      <c r="S111" s="61"/>
      <c r="T111" s="61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Y111" s="49"/>
    </row>
    <row r="112" spans="1:57" s="34" customFormat="1" ht="25.5" hidden="1" customHeight="1">
      <c r="A112" s="105">
        <f t="shared" si="63"/>
        <v>0</v>
      </c>
      <c r="B112" s="299" t="str">
        <f t="shared" si="64"/>
        <v>4)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49"/>
      <c r="N112" s="62" t="s">
        <v>70</v>
      </c>
      <c r="O112" s="62" t="s">
        <v>71</v>
      </c>
      <c r="P112" s="62" t="s">
        <v>70</v>
      </c>
      <c r="Q112" s="62" t="s">
        <v>71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50"/>
      <c r="AU112" s="50"/>
      <c r="AV112" s="50"/>
      <c r="AW112" s="50"/>
      <c r="AX112" s="50"/>
      <c r="AY112" s="49"/>
      <c r="AZ112" s="50"/>
      <c r="BA112" s="50"/>
      <c r="BB112" s="50"/>
      <c r="BC112" s="50"/>
      <c r="BD112" s="50"/>
      <c r="BE112" s="50"/>
    </row>
    <row r="113" spans="1:57" s="50" customFormat="1" ht="25.5" hidden="1" customHeight="1">
      <c r="A113" s="32">
        <f t="shared" si="63"/>
        <v>0</v>
      </c>
      <c r="B113" s="299" t="str">
        <f t="shared" si="64"/>
        <v>5)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49"/>
      <c r="N113" s="62" t="s">
        <v>72</v>
      </c>
      <c r="O113" s="62" t="s">
        <v>149</v>
      </c>
      <c r="P113" s="62" t="s">
        <v>72</v>
      </c>
      <c r="Q113" s="62" t="s">
        <v>149</v>
      </c>
      <c r="R113" s="62" t="s">
        <v>36</v>
      </c>
      <c r="S113" s="62"/>
      <c r="T113" s="62"/>
      <c r="U113" s="62" t="s">
        <v>36</v>
      </c>
      <c r="V113" s="62" t="s">
        <v>105</v>
      </c>
      <c r="W113" s="62"/>
      <c r="X113" s="62"/>
      <c r="Y113" s="62"/>
      <c r="Z113" s="62"/>
      <c r="AA113" s="62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34"/>
      <c r="AU113" s="34"/>
      <c r="AV113" s="34"/>
      <c r="AW113" s="34"/>
      <c r="AX113" s="34"/>
      <c r="AY113" s="65"/>
      <c r="AZ113" s="34"/>
      <c r="BA113" s="34"/>
      <c r="BB113" s="34"/>
      <c r="BC113" s="34"/>
      <c r="BD113" s="34"/>
      <c r="BE113" s="34"/>
    </row>
    <row r="114" spans="1:57" s="34" customFormat="1" ht="25.5" hidden="1" customHeight="1">
      <c r="A114" s="105">
        <f t="shared" si="63"/>
        <v>0</v>
      </c>
      <c r="B114" s="299" t="str">
        <f t="shared" si="64"/>
        <v>6)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74</v>
      </c>
      <c r="O114" s="37" t="s">
        <v>75</v>
      </c>
      <c r="P114" s="37" t="s">
        <v>74</v>
      </c>
      <c r="Q114" s="37" t="s">
        <v>75</v>
      </c>
      <c r="R114" s="61" t="s">
        <v>36</v>
      </c>
      <c r="S114" s="61"/>
      <c r="T114" s="61"/>
      <c r="U114" s="61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</row>
    <row r="115" spans="1:57" s="50" customFormat="1" ht="25.5" hidden="1" customHeight="1">
      <c r="A115" s="32">
        <f t="shared" si="63"/>
        <v>1</v>
      </c>
      <c r="B115" s="299" t="str">
        <f t="shared" si="64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Y115" s="49"/>
    </row>
    <row r="116" spans="1:57" s="34" customFormat="1" ht="25.5" hidden="1" customHeight="1">
      <c r="A116" s="105">
        <f t="shared" si="63"/>
        <v>0</v>
      </c>
      <c r="B116" s="299" t="str">
        <f t="shared" si="64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49"/>
      <c r="N116" s="62" t="s">
        <v>98</v>
      </c>
      <c r="O116" s="62" t="s">
        <v>98</v>
      </c>
      <c r="P116" s="62" t="s">
        <v>98</v>
      </c>
      <c r="Q116" s="62" t="s">
        <v>98</v>
      </c>
      <c r="R116" s="33" t="s">
        <v>36</v>
      </c>
      <c r="S116" s="33"/>
      <c r="T116" s="33"/>
      <c r="U116" s="33" t="s">
        <v>36</v>
      </c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50"/>
      <c r="AU116" s="50"/>
      <c r="AV116" s="50"/>
      <c r="AW116" s="50"/>
      <c r="AX116" s="50"/>
      <c r="AY116" s="49"/>
      <c r="AZ116" s="50"/>
      <c r="BA116" s="50"/>
      <c r="BB116" s="50"/>
      <c r="BC116" s="50"/>
      <c r="BD116" s="50"/>
      <c r="BE116" s="50"/>
    </row>
    <row r="117" spans="1:57" s="34" customFormat="1" ht="25.5" hidden="1" customHeight="1">
      <c r="A117" s="32">
        <f t="shared" si="63"/>
        <v>0</v>
      </c>
      <c r="B117" s="299" t="str">
        <f t="shared" si="64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49"/>
      <c r="N117" s="62" t="s">
        <v>81</v>
      </c>
      <c r="O117" s="62" t="s">
        <v>81</v>
      </c>
      <c r="P117" s="62" t="s">
        <v>78</v>
      </c>
      <c r="Q117" s="62" t="s">
        <v>78</v>
      </c>
      <c r="R117" s="33" t="s">
        <v>36</v>
      </c>
      <c r="S117" s="33"/>
      <c r="T117" s="33"/>
      <c r="U117" s="33" t="s">
        <v>36</v>
      </c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50"/>
      <c r="AU117" s="50"/>
      <c r="AV117" s="50"/>
      <c r="AW117" s="50"/>
      <c r="AX117" s="50"/>
      <c r="AY117" s="49"/>
      <c r="AZ117" s="50"/>
      <c r="BA117" s="50"/>
      <c r="BB117" s="50"/>
      <c r="BC117" s="50"/>
      <c r="BD117" s="50"/>
      <c r="BE117" s="50"/>
    </row>
    <row r="118" spans="1:57" s="34" customFormat="1" ht="25.5" hidden="1" customHeight="1">
      <c r="A118" s="32">
        <f t="shared" si="63"/>
        <v>0</v>
      </c>
      <c r="B118" s="299" t="str">
        <f t="shared" si="64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49"/>
      <c r="N118" s="62" t="s">
        <v>82</v>
      </c>
      <c r="O118" s="62" t="s">
        <v>82</v>
      </c>
      <c r="P118" s="62" t="s">
        <v>106</v>
      </c>
      <c r="Q118" s="62" t="s">
        <v>106</v>
      </c>
      <c r="R118" s="33" t="s">
        <v>36</v>
      </c>
      <c r="S118" s="33"/>
      <c r="T118" s="33"/>
      <c r="U118" s="33" t="s">
        <v>36</v>
      </c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50"/>
      <c r="AU118" s="50"/>
      <c r="AV118" s="50"/>
      <c r="AW118" s="50"/>
      <c r="AX118" s="50"/>
      <c r="AY118" s="49"/>
      <c r="AZ118" s="50"/>
      <c r="BA118" s="50"/>
      <c r="BB118" s="50"/>
      <c r="BC118" s="50"/>
      <c r="BD118" s="50"/>
      <c r="BE118" s="50"/>
    </row>
    <row r="119" spans="1:57" s="34" customFormat="1" ht="25.5" hidden="1" customHeight="1">
      <c r="A119" s="32">
        <f t="shared" si="63"/>
        <v>0</v>
      </c>
      <c r="B119" s="299" t="str">
        <f t="shared" si="64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49"/>
      <c r="N119" s="62" t="s">
        <v>105</v>
      </c>
      <c r="O119" s="62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50"/>
      <c r="AU119" s="50"/>
      <c r="AV119" s="50"/>
      <c r="AW119" s="50"/>
      <c r="AX119" s="50"/>
      <c r="AY119" s="49"/>
      <c r="AZ119" s="50"/>
      <c r="BA119" s="50"/>
      <c r="BB119" s="50"/>
      <c r="BC119" s="50"/>
      <c r="BD119" s="50"/>
      <c r="BE119" s="50"/>
    </row>
    <row r="120" spans="1:57" s="34" customFormat="1" ht="36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49"/>
      <c r="N120" s="62"/>
      <c r="O120" s="62"/>
      <c r="P120" s="33"/>
      <c r="Q120" s="33"/>
      <c r="R120" s="33"/>
      <c r="S120" s="33"/>
      <c r="T120" s="33"/>
      <c r="U120" s="33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50"/>
      <c r="AU120" s="50"/>
      <c r="AV120" s="50"/>
      <c r="AW120" s="50"/>
      <c r="AX120" s="50"/>
      <c r="AY120" s="49"/>
      <c r="AZ120" s="50"/>
      <c r="BA120" s="50"/>
      <c r="BB120" s="50"/>
      <c r="BC120" s="50"/>
      <c r="BD120" s="50"/>
      <c r="BE120" s="50"/>
    </row>
    <row r="121" spans="1:57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49"/>
      <c r="N121" s="62"/>
      <c r="O121" s="62"/>
      <c r="P121" s="33"/>
      <c r="Q121" s="33"/>
      <c r="R121" s="33"/>
      <c r="S121" s="33"/>
      <c r="T121" s="33"/>
      <c r="U121" s="33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50"/>
      <c r="AU121" s="50"/>
      <c r="AV121" s="50"/>
      <c r="AW121" s="50"/>
      <c r="AX121" s="50"/>
      <c r="AY121" s="49"/>
      <c r="AZ121" s="50"/>
      <c r="BA121" s="50"/>
      <c r="BB121" s="50"/>
      <c r="BC121" s="50"/>
      <c r="BD121" s="50"/>
      <c r="BE121" s="50"/>
    </row>
    <row r="122" spans="1:57" s="34" customFormat="1" ht="33.7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9"/>
      <c r="N122" s="62"/>
      <c r="O122" s="62"/>
      <c r="P122" s="33"/>
      <c r="Q122" s="33"/>
      <c r="R122" s="33"/>
      <c r="S122" s="33"/>
      <c r="T122" s="33"/>
      <c r="U122" s="33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0"/>
      <c r="AV122" s="50"/>
      <c r="AW122" s="50"/>
      <c r="AX122" s="50"/>
      <c r="AY122" s="49"/>
      <c r="AZ122" s="50"/>
      <c r="BA122" s="50"/>
      <c r="BB122" s="50"/>
      <c r="BC122" s="50"/>
      <c r="BD122" s="50"/>
      <c r="BE122" s="50"/>
    </row>
    <row r="123" spans="1:57" s="34" customFormat="1" ht="52.5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49"/>
      <c r="N123" s="62"/>
      <c r="O123" s="62"/>
      <c r="P123" s="33"/>
      <c r="Q123" s="33"/>
      <c r="R123" s="33"/>
      <c r="S123" s="33"/>
      <c r="T123" s="33"/>
      <c r="U123" s="33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50"/>
      <c r="AU123" s="50"/>
      <c r="AV123" s="50"/>
      <c r="AW123" s="50"/>
      <c r="AX123" s="50"/>
      <c r="AY123" s="49"/>
      <c r="AZ123" s="50"/>
      <c r="BA123" s="50"/>
      <c r="BB123" s="50"/>
      <c r="BC123" s="50"/>
      <c r="BD123" s="50"/>
      <c r="BE123" s="50"/>
    </row>
    <row r="124" spans="1:57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9"/>
      <c r="N124" s="62"/>
      <c r="O124" s="62"/>
      <c r="P124" s="33"/>
      <c r="Q124" s="33"/>
      <c r="R124" s="33"/>
      <c r="S124" s="33"/>
      <c r="T124" s="33"/>
      <c r="U124" s="33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50"/>
      <c r="AU124" s="50"/>
      <c r="AV124" s="50"/>
      <c r="AW124" s="50"/>
      <c r="AX124" s="50"/>
      <c r="AY124" s="49"/>
      <c r="AZ124" s="50"/>
      <c r="BA124" s="50"/>
      <c r="BB124" s="50"/>
      <c r="BC124" s="50"/>
      <c r="BD124" s="50"/>
      <c r="BE124" s="50"/>
    </row>
    <row r="125" spans="1:57" s="34" customFormat="1" ht="35.25" customHeight="1">
      <c r="A125" s="32"/>
      <c r="B125" s="456" t="s">
        <v>156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49"/>
      <c r="N125" s="62"/>
      <c r="O125" s="62"/>
      <c r="P125" s="33"/>
      <c r="Q125" s="33"/>
      <c r="R125" s="33"/>
      <c r="S125" s="33"/>
      <c r="T125" s="33"/>
      <c r="U125" s="33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50"/>
      <c r="AU125" s="50"/>
      <c r="AV125" s="50"/>
      <c r="AW125" s="50"/>
      <c r="AX125" s="50"/>
      <c r="AY125" s="49"/>
      <c r="AZ125" s="50"/>
      <c r="BA125" s="50"/>
      <c r="BB125" s="50"/>
      <c r="BC125" s="50"/>
      <c r="BD125" s="50"/>
      <c r="BE125" s="50"/>
    </row>
    <row r="126" spans="1:57" s="34" customFormat="1" ht="34.5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49"/>
      <c r="N126" s="62"/>
      <c r="O126" s="62"/>
      <c r="P126" s="33"/>
      <c r="Q126" s="33"/>
      <c r="R126" s="33"/>
      <c r="S126" s="33"/>
      <c r="T126" s="33"/>
      <c r="U126" s="33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50"/>
      <c r="AU126" s="50"/>
      <c r="AV126" s="50"/>
      <c r="AW126" s="50"/>
      <c r="AX126" s="50"/>
      <c r="AY126" s="49"/>
      <c r="AZ126" s="50"/>
      <c r="BA126" s="50"/>
      <c r="BB126" s="50"/>
      <c r="BC126" s="50"/>
      <c r="BD126" s="50"/>
      <c r="BE126" s="50"/>
    </row>
    <row r="127" spans="1:57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49"/>
      <c r="N127" s="62"/>
      <c r="O127" s="62"/>
      <c r="P127" s="33"/>
      <c r="Q127" s="33"/>
      <c r="R127" s="33"/>
      <c r="S127" s="33"/>
      <c r="T127" s="33"/>
      <c r="U127" s="33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50"/>
      <c r="AU127" s="50"/>
      <c r="AV127" s="50"/>
      <c r="AW127" s="50"/>
      <c r="AX127" s="50"/>
      <c r="AY127" s="49"/>
      <c r="AZ127" s="50"/>
      <c r="BA127" s="50"/>
      <c r="BB127" s="50"/>
      <c r="BC127" s="50"/>
      <c r="BD127" s="50"/>
      <c r="BE127" s="50"/>
    </row>
    <row r="128" spans="1:57" s="34" customFormat="1" ht="34.5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49"/>
      <c r="N128" s="62"/>
      <c r="O128" s="62"/>
      <c r="P128" s="33"/>
      <c r="Q128" s="33"/>
      <c r="R128" s="33"/>
      <c r="S128" s="33"/>
      <c r="T128" s="33"/>
      <c r="U128" s="33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50"/>
      <c r="AU128" s="50"/>
      <c r="AV128" s="50"/>
      <c r="AW128" s="50"/>
      <c r="AX128" s="50"/>
      <c r="AY128" s="49"/>
      <c r="AZ128" s="50"/>
      <c r="BA128" s="50"/>
      <c r="BB128" s="50"/>
      <c r="BC128" s="50"/>
      <c r="BD128" s="50"/>
      <c r="BE128" s="50"/>
    </row>
    <row r="129" spans="1:57" s="34" customFormat="1" ht="34.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49"/>
      <c r="N129" s="62"/>
      <c r="O129" s="62"/>
      <c r="P129" s="33"/>
      <c r="Q129" s="33"/>
      <c r="R129" s="33"/>
      <c r="S129" s="33"/>
      <c r="T129" s="33"/>
      <c r="U129" s="33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50"/>
      <c r="AU129" s="50"/>
      <c r="AV129" s="50"/>
      <c r="AW129" s="50"/>
      <c r="AX129" s="50"/>
      <c r="AY129" s="49"/>
      <c r="AZ129" s="50"/>
      <c r="BA129" s="50"/>
      <c r="BB129" s="50"/>
      <c r="BC129" s="50"/>
      <c r="BD129" s="50"/>
      <c r="BE129" s="50"/>
    </row>
    <row r="130" spans="1:57" s="34" customFormat="1" ht="34.5" customHeight="1">
      <c r="A130" s="32"/>
      <c r="B130" s="491" t="s">
        <v>194</v>
      </c>
      <c r="C130" s="491"/>
      <c r="D130" s="491"/>
      <c r="E130" s="491"/>
      <c r="F130" s="491"/>
      <c r="G130" s="491"/>
      <c r="H130" s="491"/>
      <c r="I130" s="491"/>
      <c r="J130" s="491"/>
      <c r="K130" s="491"/>
      <c r="L130" s="491"/>
      <c r="M130" s="49"/>
      <c r="N130" s="62"/>
      <c r="O130" s="62"/>
      <c r="P130" s="33"/>
      <c r="Q130" s="33"/>
      <c r="R130" s="33"/>
      <c r="S130" s="33"/>
      <c r="T130" s="33"/>
      <c r="U130" s="33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50"/>
      <c r="AU130" s="50"/>
      <c r="AV130" s="50"/>
      <c r="AW130" s="50"/>
      <c r="AX130" s="50"/>
      <c r="AY130" s="49"/>
      <c r="AZ130" s="50"/>
      <c r="BA130" s="50"/>
      <c r="BB130" s="50"/>
      <c r="BC130" s="50"/>
      <c r="BD130" s="50"/>
      <c r="BE130" s="50"/>
    </row>
    <row r="131" spans="1:57" s="34" customFormat="1" ht="25.5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49"/>
      <c r="N131" s="62"/>
      <c r="O131" s="62"/>
      <c r="P131" s="33"/>
      <c r="Q131" s="33"/>
      <c r="R131" s="33"/>
      <c r="S131" s="33"/>
      <c r="T131" s="33"/>
      <c r="U131" s="33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50"/>
      <c r="AU131" s="50"/>
      <c r="AV131" s="50"/>
      <c r="AW131" s="50"/>
      <c r="AX131" s="50"/>
      <c r="AY131" s="49"/>
      <c r="AZ131" s="50"/>
      <c r="BA131" s="50"/>
      <c r="BB131" s="50"/>
      <c r="BC131" s="50"/>
      <c r="BD131" s="50"/>
      <c r="BE131" s="50"/>
    </row>
    <row r="132" spans="1:57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49"/>
      <c r="N132" s="62"/>
      <c r="O132" s="62"/>
      <c r="P132" s="33"/>
      <c r="Q132" s="33"/>
      <c r="R132" s="33"/>
      <c r="S132" s="33"/>
      <c r="T132" s="33"/>
      <c r="U132" s="33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50"/>
      <c r="AU132" s="50"/>
      <c r="AV132" s="50"/>
      <c r="AW132" s="50"/>
      <c r="AX132" s="50"/>
      <c r="AY132" s="49"/>
      <c r="AZ132" s="50"/>
      <c r="BA132" s="50"/>
      <c r="BB132" s="50"/>
      <c r="BC132" s="50"/>
      <c r="BD132" s="50"/>
      <c r="BE132" s="50"/>
    </row>
    <row r="133" spans="1:57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49"/>
      <c r="N133" s="62"/>
      <c r="O133" s="62"/>
      <c r="P133" s="33"/>
      <c r="Q133" s="33"/>
      <c r="R133" s="33"/>
      <c r="S133" s="33"/>
      <c r="T133" s="33"/>
      <c r="U133" s="33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50"/>
      <c r="AU133" s="50"/>
      <c r="AV133" s="50"/>
      <c r="AW133" s="50"/>
      <c r="AX133" s="50"/>
      <c r="AY133" s="49"/>
      <c r="AZ133" s="50"/>
      <c r="BA133" s="50"/>
      <c r="BB133" s="50"/>
      <c r="BC133" s="50"/>
      <c r="BD133" s="50"/>
      <c r="BE133" s="50"/>
    </row>
    <row r="134" spans="1:57" s="34" customFormat="1" ht="13.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49"/>
      <c r="N134" s="62"/>
      <c r="O134" s="62"/>
      <c r="P134" s="33"/>
      <c r="Q134" s="33"/>
      <c r="R134" s="33"/>
      <c r="S134" s="33"/>
      <c r="T134" s="33"/>
      <c r="U134" s="33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50"/>
      <c r="AU134" s="50"/>
      <c r="AV134" s="50"/>
      <c r="AW134" s="50"/>
      <c r="AX134" s="50"/>
      <c r="AY134" s="49"/>
      <c r="AZ134" s="50"/>
      <c r="BA134" s="50"/>
      <c r="BB134" s="50"/>
      <c r="BC134" s="50"/>
      <c r="BD134" s="50"/>
      <c r="BE134" s="50"/>
    </row>
    <row r="135" spans="1:57" s="34" customFormat="1" ht="27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49"/>
      <c r="N135" s="62"/>
      <c r="O135" s="62"/>
      <c r="P135" s="33"/>
      <c r="Q135" s="33"/>
      <c r="R135" s="33"/>
      <c r="S135" s="33"/>
      <c r="T135" s="33"/>
      <c r="U135" s="33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0"/>
      <c r="AV135" s="50"/>
      <c r="AW135" s="50"/>
      <c r="AX135" s="50"/>
      <c r="AY135" s="49"/>
      <c r="AZ135" s="50"/>
      <c r="BA135" s="50"/>
      <c r="BB135" s="50"/>
      <c r="BC135" s="50"/>
      <c r="BD135" s="50"/>
      <c r="BE135" s="50"/>
    </row>
    <row r="136" spans="1:57" s="34" customFormat="1" ht="36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49"/>
      <c r="N136" s="62"/>
      <c r="O136" s="62"/>
      <c r="P136" s="33"/>
      <c r="Q136" s="33"/>
      <c r="R136" s="33"/>
      <c r="S136" s="33"/>
      <c r="T136" s="33"/>
      <c r="U136" s="33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50"/>
      <c r="AU136" s="50"/>
      <c r="AV136" s="50"/>
      <c r="AW136" s="50"/>
      <c r="AX136" s="50"/>
      <c r="AY136" s="49"/>
      <c r="AZ136" s="50"/>
      <c r="BA136" s="50"/>
      <c r="BB136" s="50"/>
      <c r="BC136" s="50"/>
      <c r="BD136" s="50"/>
      <c r="BE136" s="50"/>
    </row>
    <row r="137" spans="1:57" s="34" customFormat="1" ht="51.7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49"/>
      <c r="N137" s="62"/>
      <c r="O137" s="62"/>
      <c r="P137" s="33"/>
      <c r="Q137" s="33"/>
      <c r="R137" s="33"/>
      <c r="S137" s="33"/>
      <c r="T137" s="33"/>
      <c r="U137" s="33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50"/>
      <c r="AU137" s="50"/>
      <c r="AV137" s="50"/>
      <c r="AW137" s="50"/>
      <c r="AX137" s="50"/>
      <c r="AY137" s="49"/>
      <c r="AZ137" s="50"/>
      <c r="BA137" s="50"/>
      <c r="BB137" s="50"/>
      <c r="BC137" s="50"/>
      <c r="BD137" s="50"/>
      <c r="BE137" s="50"/>
    </row>
    <row r="138" spans="1:57" s="34" customFormat="1" ht="36.75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49"/>
      <c r="N138" s="62"/>
      <c r="O138" s="62"/>
      <c r="P138" s="33"/>
      <c r="Q138" s="33"/>
      <c r="R138" s="33"/>
      <c r="S138" s="33"/>
      <c r="T138" s="33"/>
      <c r="U138" s="33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50"/>
      <c r="AU138" s="50"/>
      <c r="AV138" s="50"/>
      <c r="AW138" s="50"/>
      <c r="AX138" s="50"/>
      <c r="AY138" s="49"/>
      <c r="AZ138" s="50"/>
      <c r="BA138" s="50"/>
      <c r="BB138" s="50"/>
      <c r="BC138" s="50"/>
      <c r="BD138" s="50"/>
      <c r="BE138" s="50"/>
    </row>
    <row r="139" spans="1:57" s="34" customFormat="1" ht="16.5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49"/>
      <c r="N139" s="62"/>
      <c r="O139" s="62"/>
      <c r="P139" s="33"/>
      <c r="Q139" s="33"/>
      <c r="R139" s="33"/>
      <c r="S139" s="33"/>
      <c r="T139" s="33"/>
      <c r="U139" s="33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50"/>
      <c r="AU139" s="50"/>
      <c r="AV139" s="50"/>
      <c r="AW139" s="50"/>
      <c r="AX139" s="50"/>
      <c r="AY139" s="49"/>
      <c r="AZ139" s="50"/>
      <c r="BA139" s="50"/>
      <c r="BB139" s="50"/>
      <c r="BC139" s="50"/>
      <c r="BD139" s="50"/>
      <c r="BE139" s="50"/>
    </row>
    <row r="140" spans="1:57" s="34" customFormat="1" ht="15.7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49"/>
      <c r="N140" s="62"/>
      <c r="O140" s="62"/>
      <c r="P140" s="33"/>
      <c r="Q140" s="33"/>
      <c r="R140" s="33"/>
      <c r="S140" s="33"/>
      <c r="T140" s="33"/>
      <c r="U140" s="33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50"/>
      <c r="AU140" s="50"/>
      <c r="AV140" s="50"/>
      <c r="AW140" s="50"/>
      <c r="AX140" s="50"/>
      <c r="AY140" s="49"/>
      <c r="AZ140" s="50"/>
      <c r="BA140" s="50"/>
      <c r="BB140" s="50"/>
      <c r="BC140" s="50"/>
      <c r="BD140" s="50"/>
      <c r="BE140" s="50"/>
    </row>
    <row r="141" spans="1:57" s="34" customFormat="1" ht="19.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49"/>
      <c r="N141" s="62"/>
      <c r="O141" s="62"/>
      <c r="P141" s="33"/>
      <c r="Q141" s="33"/>
      <c r="R141" s="33"/>
      <c r="S141" s="33"/>
      <c r="T141" s="33"/>
      <c r="U141" s="33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50"/>
      <c r="AU141" s="50"/>
      <c r="AV141" s="50"/>
      <c r="AW141" s="50"/>
      <c r="AX141" s="50"/>
      <c r="AY141" s="49"/>
      <c r="AZ141" s="50"/>
      <c r="BA141" s="50"/>
      <c r="BB141" s="50"/>
      <c r="BC141" s="50"/>
      <c r="BD141" s="50"/>
      <c r="BE141" s="50"/>
    </row>
    <row r="142" spans="1:57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49"/>
      <c r="N142" s="62"/>
      <c r="O142" s="62"/>
      <c r="P142" s="33"/>
      <c r="Q142" s="33"/>
      <c r="R142" s="33"/>
      <c r="S142" s="33"/>
      <c r="T142" s="33"/>
      <c r="U142" s="33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50"/>
      <c r="AU142" s="50"/>
      <c r="AV142" s="50"/>
      <c r="AW142" s="50"/>
      <c r="AX142" s="50"/>
      <c r="AY142" s="49"/>
      <c r="AZ142" s="50"/>
      <c r="BA142" s="50"/>
      <c r="BB142" s="50"/>
      <c r="BC142" s="50"/>
      <c r="BD142" s="50"/>
      <c r="BE142" s="50"/>
    </row>
    <row r="143" spans="1:57" s="34" customFormat="1" ht="38.2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49"/>
      <c r="N143" s="62"/>
      <c r="O143" s="62"/>
      <c r="P143" s="33"/>
      <c r="Q143" s="33"/>
      <c r="R143" s="33"/>
      <c r="S143" s="33"/>
      <c r="T143" s="33"/>
      <c r="U143" s="33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50"/>
      <c r="AU143" s="50"/>
      <c r="AV143" s="50"/>
      <c r="AW143" s="50"/>
      <c r="AX143" s="50"/>
      <c r="AY143" s="49"/>
      <c r="AZ143" s="50"/>
      <c r="BA143" s="50"/>
      <c r="BB143" s="50"/>
      <c r="BC143" s="50"/>
      <c r="BD143" s="50"/>
      <c r="BE143" s="50"/>
    </row>
    <row r="144" spans="1:57" s="34" customFormat="1" ht="42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49"/>
      <c r="N144" s="62"/>
      <c r="O144" s="62"/>
      <c r="P144" s="33"/>
      <c r="Q144" s="33"/>
      <c r="R144" s="33"/>
      <c r="S144" s="33"/>
      <c r="T144" s="33"/>
      <c r="U144" s="33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50"/>
      <c r="AU144" s="50"/>
      <c r="AV144" s="50"/>
      <c r="AW144" s="50"/>
      <c r="AX144" s="50"/>
      <c r="AY144" s="49"/>
      <c r="AZ144" s="50"/>
      <c r="BA144" s="50"/>
      <c r="BB144" s="50"/>
      <c r="BC144" s="50"/>
      <c r="BD144" s="50"/>
      <c r="BE144" s="50"/>
    </row>
    <row r="145" spans="1:57" s="34" customFormat="1" ht="51.7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49"/>
      <c r="N145" s="62"/>
      <c r="O145" s="62"/>
      <c r="P145" s="33"/>
      <c r="Q145" s="33"/>
      <c r="R145" s="33"/>
      <c r="S145" s="33"/>
      <c r="T145" s="33"/>
      <c r="U145" s="33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50"/>
      <c r="AU145" s="50"/>
      <c r="AV145" s="50"/>
      <c r="AW145" s="50"/>
      <c r="AX145" s="50"/>
      <c r="AY145" s="49"/>
      <c r="AZ145" s="50"/>
      <c r="BA145" s="50"/>
      <c r="BB145" s="50"/>
      <c r="BC145" s="50"/>
      <c r="BD145" s="50"/>
      <c r="BE145" s="50"/>
    </row>
    <row r="146" spans="1:57" s="34" customFormat="1" ht="30.7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49"/>
      <c r="N146" s="62"/>
      <c r="O146" s="62"/>
      <c r="P146" s="33"/>
      <c r="Q146" s="33"/>
      <c r="R146" s="33"/>
      <c r="S146" s="33"/>
      <c r="T146" s="33"/>
      <c r="U146" s="33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50"/>
      <c r="AU146" s="50"/>
      <c r="AV146" s="50"/>
      <c r="AW146" s="50"/>
      <c r="AX146" s="50"/>
      <c r="AY146" s="49"/>
      <c r="AZ146" s="50"/>
      <c r="BA146" s="50"/>
      <c r="BB146" s="50"/>
      <c r="BC146" s="50"/>
      <c r="BD146" s="50"/>
      <c r="BE146" s="50"/>
    </row>
    <row r="147" spans="1:57" s="34" customFormat="1" ht="69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9"/>
      <c r="N147" s="62"/>
      <c r="O147" s="62"/>
      <c r="P147" s="33"/>
      <c r="Q147" s="33"/>
      <c r="R147" s="33"/>
      <c r="S147" s="33"/>
      <c r="T147" s="33"/>
      <c r="U147" s="33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50"/>
      <c r="AU147" s="50"/>
      <c r="AV147" s="50"/>
      <c r="AW147" s="50"/>
      <c r="AX147" s="50"/>
      <c r="AY147" s="49"/>
      <c r="AZ147" s="50"/>
      <c r="BA147" s="50"/>
      <c r="BB147" s="50"/>
      <c r="BC147" s="50"/>
      <c r="BD147" s="50"/>
      <c r="BE147" s="50"/>
    </row>
    <row r="148" spans="1:57" s="34" customFormat="1" ht="48.7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49"/>
      <c r="N148" s="62"/>
      <c r="O148" s="62"/>
      <c r="P148" s="33"/>
      <c r="Q148" s="33"/>
      <c r="R148" s="33"/>
      <c r="S148" s="33"/>
      <c r="T148" s="33"/>
      <c r="U148" s="33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0"/>
      <c r="AV148" s="50"/>
      <c r="AW148" s="50"/>
      <c r="AX148" s="50"/>
      <c r="AY148" s="49"/>
      <c r="AZ148" s="50"/>
      <c r="BA148" s="50"/>
      <c r="BB148" s="50"/>
      <c r="BC148" s="50"/>
      <c r="BD148" s="50"/>
      <c r="BE148" s="50"/>
    </row>
    <row r="149" spans="1:57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7" ht="16.5" thickBot="1">
      <c r="A150" s="2"/>
      <c r="B150" s="465">
        <f ca="1">IF(A150=0,TODAY(),A150)</f>
        <v>45294</v>
      </c>
      <c r="C150" s="477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G150:H150"/>
    <mergeCell ref="B99:K99"/>
    <mergeCell ref="B131:L131"/>
    <mergeCell ref="B132:L132"/>
    <mergeCell ref="B133:L133"/>
    <mergeCell ref="B129:L129"/>
    <mergeCell ref="B130:L130"/>
    <mergeCell ref="B150:C150"/>
    <mergeCell ref="D150:F150"/>
    <mergeCell ref="B123:L123"/>
    <mergeCell ref="B116:K116"/>
    <mergeCell ref="B124:L124"/>
    <mergeCell ref="B122:L122"/>
    <mergeCell ref="B109:K109"/>
    <mergeCell ref="B121:L121"/>
    <mergeCell ref="B117:K117"/>
    <mergeCell ref="B118:K118"/>
    <mergeCell ref="B119:K119"/>
    <mergeCell ref="B111:K111"/>
    <mergeCell ref="B120:L120"/>
    <mergeCell ref="B115:K115"/>
    <mergeCell ref="B113:K113"/>
    <mergeCell ref="B114:K114"/>
    <mergeCell ref="B112:K112"/>
    <mergeCell ref="B100:K100"/>
    <mergeCell ref="B101:K101"/>
    <mergeCell ref="B110:K110"/>
    <mergeCell ref="B97:K97"/>
    <mergeCell ref="B96:H96"/>
    <mergeCell ref="B92:H92"/>
    <mergeCell ref="B93:K93"/>
    <mergeCell ref="B102:K102"/>
    <mergeCell ref="B103:K103"/>
    <mergeCell ref="B104:K104"/>
    <mergeCell ref="B108:K108"/>
    <mergeCell ref="B105:K105"/>
    <mergeCell ref="B106:K106"/>
    <mergeCell ref="B107:K107"/>
    <mergeCell ref="P94:Q94"/>
    <mergeCell ref="B79:C79"/>
    <mergeCell ref="D79:E79"/>
    <mergeCell ref="B89:H89"/>
    <mergeCell ref="B84:C84"/>
    <mergeCell ref="D84:E84"/>
    <mergeCell ref="D82:E82"/>
    <mergeCell ref="N94:O94"/>
    <mergeCell ref="B98:K98"/>
    <mergeCell ref="B86:C86"/>
    <mergeCell ref="D86:E86"/>
    <mergeCell ref="B85:C85"/>
    <mergeCell ref="D85:E85"/>
    <mergeCell ref="B87:K87"/>
    <mergeCell ref="B80:C80"/>
    <mergeCell ref="D80:E80"/>
    <mergeCell ref="D71:E71"/>
    <mergeCell ref="B83:C83"/>
    <mergeCell ref="D81:E81"/>
    <mergeCell ref="B82:C82"/>
    <mergeCell ref="D75:E75"/>
    <mergeCell ref="B77:C77"/>
    <mergeCell ref="B78:C78"/>
    <mergeCell ref="D83:E83"/>
    <mergeCell ref="B81:C81"/>
    <mergeCell ref="D78:E78"/>
    <mergeCell ref="D77:E77"/>
    <mergeCell ref="B73:C73"/>
    <mergeCell ref="D73:E73"/>
    <mergeCell ref="B76:C76"/>
    <mergeCell ref="D76:E76"/>
    <mergeCell ref="B74:C74"/>
    <mergeCell ref="D74:E74"/>
    <mergeCell ref="B75:C75"/>
    <mergeCell ref="B72:C72"/>
    <mergeCell ref="D72:E72"/>
    <mergeCell ref="B71:C71"/>
    <mergeCell ref="B65:C65"/>
    <mergeCell ref="D65:E65"/>
    <mergeCell ref="B70:C70"/>
    <mergeCell ref="D70:E70"/>
    <mergeCell ref="B68:C68"/>
    <mergeCell ref="D68:E68"/>
    <mergeCell ref="D66:E66"/>
    <mergeCell ref="B67:C67"/>
    <mergeCell ref="D67:E67"/>
    <mergeCell ref="B66:C66"/>
    <mergeCell ref="B69:C69"/>
    <mergeCell ref="D69:E69"/>
    <mergeCell ref="B49:C49"/>
    <mergeCell ref="D49:E49"/>
    <mergeCell ref="B54:C54"/>
    <mergeCell ref="D54:E54"/>
    <mergeCell ref="B55:C55"/>
    <mergeCell ref="D55:E55"/>
    <mergeCell ref="B52:C52"/>
    <mergeCell ref="D52:E52"/>
    <mergeCell ref="B64:C64"/>
    <mergeCell ref="D64:E64"/>
    <mergeCell ref="B63:C63"/>
    <mergeCell ref="D63:E63"/>
    <mergeCell ref="B60:C60"/>
    <mergeCell ref="D60:E60"/>
    <mergeCell ref="B61:C61"/>
    <mergeCell ref="D61:E61"/>
    <mergeCell ref="B57:C57"/>
    <mergeCell ref="D57:E57"/>
    <mergeCell ref="B62:C62"/>
    <mergeCell ref="D62:E62"/>
    <mergeCell ref="B58:C58"/>
    <mergeCell ref="D58:E58"/>
    <mergeCell ref="B59:C59"/>
    <mergeCell ref="D59:E59"/>
    <mergeCell ref="N1:Q1"/>
    <mergeCell ref="B5:H5"/>
    <mergeCell ref="B7:C7"/>
    <mergeCell ref="D7:F7"/>
    <mergeCell ref="F1:H4"/>
    <mergeCell ref="M12:P12"/>
    <mergeCell ref="M11:P11"/>
    <mergeCell ref="B17:C17"/>
    <mergeCell ref="B18:C18"/>
    <mergeCell ref="D17:F17"/>
    <mergeCell ref="D18:F18"/>
    <mergeCell ref="B16:C16"/>
    <mergeCell ref="D16:E16"/>
    <mergeCell ref="B15:C15"/>
    <mergeCell ref="D15:E15"/>
    <mergeCell ref="D8:F8"/>
    <mergeCell ref="D10:E10"/>
    <mergeCell ref="B8:C8"/>
    <mergeCell ref="D13:F13"/>
    <mergeCell ref="B10:C10"/>
    <mergeCell ref="B12:C12"/>
    <mergeCell ref="D12:E12"/>
    <mergeCell ref="B11:C11"/>
    <mergeCell ref="D11:E11"/>
    <mergeCell ref="I23:L23"/>
    <mergeCell ref="D36:E36"/>
    <mergeCell ref="D34:E34"/>
    <mergeCell ref="D35:E35"/>
    <mergeCell ref="D28:E28"/>
    <mergeCell ref="D27:E27"/>
    <mergeCell ref="B14:C14"/>
    <mergeCell ref="B13:C13"/>
    <mergeCell ref="D14:E14"/>
    <mergeCell ref="D21:F21"/>
    <mergeCell ref="D20:F20"/>
    <mergeCell ref="D32:E32"/>
    <mergeCell ref="B29:C29"/>
    <mergeCell ref="D29:E29"/>
    <mergeCell ref="B30:C30"/>
    <mergeCell ref="B32:C32"/>
    <mergeCell ref="D19:F19"/>
    <mergeCell ref="B26:C26"/>
    <mergeCell ref="D30:E30"/>
    <mergeCell ref="D22:E22"/>
    <mergeCell ref="D24:E24"/>
    <mergeCell ref="B27:C27"/>
    <mergeCell ref="D31:E31"/>
    <mergeCell ref="B28:C28"/>
    <mergeCell ref="B25:C25"/>
    <mergeCell ref="D26:E26"/>
    <mergeCell ref="D25:E25"/>
    <mergeCell ref="B23:C24"/>
    <mergeCell ref="D23:H23"/>
    <mergeCell ref="D44:E44"/>
    <mergeCell ref="B47:C47"/>
    <mergeCell ref="D47:E47"/>
    <mergeCell ref="B31:C31"/>
    <mergeCell ref="B45:C45"/>
    <mergeCell ref="D45:E45"/>
    <mergeCell ref="B42:C42"/>
    <mergeCell ref="B39:C39"/>
    <mergeCell ref="D39:E39"/>
    <mergeCell ref="B44:C44"/>
    <mergeCell ref="B35:C35"/>
    <mergeCell ref="B37:C37"/>
    <mergeCell ref="D37:E37"/>
    <mergeCell ref="B33:C33"/>
    <mergeCell ref="D33:E33"/>
    <mergeCell ref="B34:C34"/>
    <mergeCell ref="B36:C36"/>
    <mergeCell ref="B40:C40"/>
    <mergeCell ref="D40:E40"/>
    <mergeCell ref="B149:L149"/>
    <mergeCell ref="B147:L147"/>
    <mergeCell ref="B148:L148"/>
    <mergeCell ref="B145:H145"/>
    <mergeCell ref="I145:L145"/>
    <mergeCell ref="B146:H146"/>
    <mergeCell ref="I146:L146"/>
    <mergeCell ref="B127:L127"/>
    <mergeCell ref="B128:L128"/>
    <mergeCell ref="B139:L139"/>
    <mergeCell ref="B140:L140"/>
    <mergeCell ref="B134:L134"/>
    <mergeCell ref="B137:H137"/>
    <mergeCell ref="I137:L137"/>
    <mergeCell ref="B138:H138"/>
    <mergeCell ref="I138:L138"/>
    <mergeCell ref="B136:H136"/>
    <mergeCell ref="I136:L136"/>
    <mergeCell ref="B135:H135"/>
    <mergeCell ref="I135:L135"/>
    <mergeCell ref="B144:H144"/>
    <mergeCell ref="I144:L144"/>
    <mergeCell ref="B141:L141"/>
    <mergeCell ref="B142:H142"/>
    <mergeCell ref="I143:L143"/>
    <mergeCell ref="I142:L142"/>
    <mergeCell ref="B143:H143"/>
    <mergeCell ref="D38:E38"/>
    <mergeCell ref="B38:C38"/>
    <mergeCell ref="B125:L125"/>
    <mergeCell ref="B126:L126"/>
    <mergeCell ref="B53:C53"/>
    <mergeCell ref="D53:E53"/>
    <mergeCell ref="B48:C48"/>
    <mergeCell ref="B51:C51"/>
    <mergeCell ref="B46:C46"/>
    <mergeCell ref="D48:E48"/>
    <mergeCell ref="B41:C41"/>
    <mergeCell ref="D42:E42"/>
    <mergeCell ref="B50:C50"/>
    <mergeCell ref="D50:E50"/>
    <mergeCell ref="D41:E41"/>
    <mergeCell ref="D46:E46"/>
    <mergeCell ref="B43:C43"/>
    <mergeCell ref="D43:E43"/>
    <mergeCell ref="D51:E51"/>
    <mergeCell ref="B56:C56"/>
    <mergeCell ref="D56:E56"/>
  </mergeCells>
  <phoneticPr fontId="22" type="noConversion"/>
  <conditionalFormatting sqref="A11 A14:A15">
    <cfRule type="cellIs" dxfId="251" priority="34" stopIfTrue="1" operator="greaterThan">
      <formula>61</formula>
    </cfRule>
    <cfRule type="expression" dxfId="250" priority="35" stopIfTrue="1">
      <formula>$A$24</formula>
    </cfRule>
  </conditionalFormatting>
  <conditionalFormatting sqref="B26:C85 D48:H85">
    <cfRule type="expression" dxfId="249" priority="1" stopIfTrue="1">
      <formula>$N26</formula>
    </cfRule>
  </conditionalFormatting>
  <conditionalFormatting sqref="B18:F18">
    <cfRule type="expression" dxfId="248" priority="26" stopIfTrue="1">
      <formula>$M$8</formula>
    </cfRule>
  </conditionalFormatting>
  <conditionalFormatting sqref="B25:H25">
    <cfRule type="expression" dxfId="247" priority="7" stopIfTrue="1">
      <formula>$N$25</formula>
    </cfRule>
  </conditionalFormatting>
  <conditionalFormatting sqref="B96:I119">
    <cfRule type="expression" dxfId="246" priority="4" stopIfTrue="1">
      <formula>A96</formula>
    </cfRule>
  </conditionalFormatting>
  <conditionalFormatting sqref="D12:E12">
    <cfRule type="expression" dxfId="245" priority="33" stopIfTrue="1">
      <formula>$A$24</formula>
    </cfRule>
  </conditionalFormatting>
  <conditionalFormatting sqref="D26:H26">
    <cfRule type="expression" dxfId="244" priority="8" stopIfTrue="1">
      <formula>$N$26</formula>
    </cfRule>
  </conditionalFormatting>
  <conditionalFormatting sqref="D27:H27">
    <cfRule type="expression" dxfId="243" priority="9" stopIfTrue="1">
      <formula>$N$27</formula>
    </cfRule>
  </conditionalFormatting>
  <conditionalFormatting sqref="D28:H28">
    <cfRule type="expression" dxfId="242" priority="10" stopIfTrue="1">
      <formula>$N$28</formula>
    </cfRule>
  </conditionalFormatting>
  <conditionalFormatting sqref="D29:H29">
    <cfRule type="expression" dxfId="241" priority="11" stopIfTrue="1">
      <formula>$N$29</formula>
    </cfRule>
  </conditionalFormatting>
  <conditionalFormatting sqref="D30:H30">
    <cfRule type="expression" dxfId="240" priority="12" stopIfTrue="1">
      <formula>$N$30</formula>
    </cfRule>
  </conditionalFormatting>
  <conditionalFormatting sqref="D31:H31">
    <cfRule type="expression" dxfId="239" priority="13" stopIfTrue="1">
      <formula>$N$31</formula>
    </cfRule>
  </conditionalFormatting>
  <conditionalFormatting sqref="D32:H32">
    <cfRule type="expression" dxfId="238" priority="14" stopIfTrue="1">
      <formula>$N$32</formula>
    </cfRule>
  </conditionalFormatting>
  <conditionalFormatting sqref="D33:H33">
    <cfRule type="expression" dxfId="237" priority="15" stopIfTrue="1">
      <formula>$N$33</formula>
    </cfRule>
  </conditionalFormatting>
  <conditionalFormatting sqref="D34:H34">
    <cfRule type="expression" dxfId="236" priority="16" stopIfTrue="1">
      <formula>$N$34</formula>
    </cfRule>
  </conditionalFormatting>
  <conditionalFormatting sqref="D35:H35">
    <cfRule type="expression" dxfId="235" priority="17" stopIfTrue="1">
      <formula>$N$35</formula>
    </cfRule>
  </conditionalFormatting>
  <conditionalFormatting sqref="D36:H36">
    <cfRule type="expression" dxfId="234" priority="18" stopIfTrue="1">
      <formula>$N$36</formula>
    </cfRule>
  </conditionalFormatting>
  <conditionalFormatting sqref="D37:H37">
    <cfRule type="expression" dxfId="233" priority="19" stopIfTrue="1">
      <formula>$N$37</formula>
    </cfRule>
  </conditionalFormatting>
  <conditionalFormatting sqref="D38:H38">
    <cfRule type="expression" dxfId="232" priority="20" stopIfTrue="1">
      <formula>$N$38</formula>
    </cfRule>
  </conditionalFormatting>
  <conditionalFormatting sqref="D39:H39">
    <cfRule type="expression" dxfId="231" priority="21" stopIfTrue="1">
      <formula>$N$39</formula>
    </cfRule>
  </conditionalFormatting>
  <conditionalFormatting sqref="D40:H40">
    <cfRule type="expression" dxfId="230" priority="22" stopIfTrue="1">
      <formula>$N$40</formula>
    </cfRule>
  </conditionalFormatting>
  <conditionalFormatting sqref="D41:H41">
    <cfRule type="expression" dxfId="229" priority="23" stopIfTrue="1">
      <formula>$N$41</formula>
    </cfRule>
  </conditionalFormatting>
  <conditionalFormatting sqref="D42:H42">
    <cfRule type="expression" dxfId="228" priority="24" stopIfTrue="1">
      <formula>$N$42</formula>
    </cfRule>
  </conditionalFormatting>
  <conditionalFormatting sqref="D43:H43">
    <cfRule type="expression" dxfId="227" priority="28" stopIfTrue="1">
      <formula>$N$43</formula>
    </cfRule>
  </conditionalFormatting>
  <conditionalFormatting sqref="D44:H44">
    <cfRule type="expression" dxfId="226" priority="29" stopIfTrue="1">
      <formula>$N$44</formula>
    </cfRule>
  </conditionalFormatting>
  <conditionalFormatting sqref="D45:H45">
    <cfRule type="expression" dxfId="225" priority="30" stopIfTrue="1">
      <formula>$N$45</formula>
    </cfRule>
  </conditionalFormatting>
  <conditionalFormatting sqref="D46:H46">
    <cfRule type="expression" dxfId="224" priority="31" stopIfTrue="1">
      <formula>$N$46</formula>
    </cfRule>
  </conditionalFormatting>
  <conditionalFormatting sqref="D47:H47">
    <cfRule type="expression" dxfId="223" priority="32" stopIfTrue="1">
      <formula>$N$47</formula>
    </cfRule>
  </conditionalFormatting>
  <conditionalFormatting sqref="F10 D11:E11">
    <cfRule type="expression" dxfId="222" priority="25" stopIfTrue="1">
      <formula>$M$5</formula>
    </cfRule>
  </conditionalFormatting>
  <conditionalFormatting sqref="G10:L10">
    <cfRule type="expression" dxfId="221" priority="27" stopIfTrue="1">
      <formula>$A$1</formula>
    </cfRule>
  </conditionalFormatting>
  <conditionalFormatting sqref="I24:K24">
    <cfRule type="expression" dxfId="220" priority="38" stopIfTrue="1">
      <formula>$D$15</formula>
    </cfRule>
  </conditionalFormatting>
  <conditionalFormatting sqref="I23:L23 L24">
    <cfRule type="expression" dxfId="219" priority="39" stopIfTrue="1">
      <formula>$D$15</formula>
    </cfRule>
  </conditionalFormatting>
  <conditionalFormatting sqref="I25:L85">
    <cfRule type="expression" dxfId="218" priority="6" stopIfTrue="1">
      <formula>$AY25</formula>
    </cfRule>
  </conditionalFormatting>
  <conditionalFormatting sqref="J96:J119">
    <cfRule type="expression" dxfId="217" priority="5" stopIfTrue="1">
      <formula>H96</formula>
    </cfRule>
  </conditionalFormatting>
  <conditionalFormatting sqref="K96:K119">
    <cfRule type="expression" dxfId="216" priority="3" stopIfTrue="1">
      <formula>H96</formula>
    </cfRule>
  </conditionalFormatting>
  <conditionalFormatting sqref="L96:L119">
    <cfRule type="expression" dxfId="215" priority="2" stopIfTrue="1">
      <formula>H96</formula>
    </cfRule>
  </conditionalFormatting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EK175"/>
  <sheetViews>
    <sheetView topLeftCell="A25" zoomScale="90" zoomScaleNormal="90" workbookViewId="0">
      <selection activeCell="B49" sqref="B49:C49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11.7109375" style="21" customWidth="1"/>
    <col min="5" max="5" width="8.28515625" style="21" customWidth="1"/>
    <col min="6" max="6" width="17.85546875" style="21" customWidth="1"/>
    <col min="7" max="7" width="16.5703125" style="21" hidden="1" customWidth="1"/>
    <col min="8" max="8" width="17.28515625" style="21" customWidth="1"/>
    <col min="9" max="9" width="16.5703125" style="21" customWidth="1"/>
    <col min="10" max="10" width="18" style="21" customWidth="1"/>
    <col min="11" max="11" width="16.5703125" style="21" hidden="1" customWidth="1"/>
    <col min="12" max="12" width="15.7109375" style="21" customWidth="1"/>
    <col min="13" max="56" width="15.7109375" style="2" hidden="1" customWidth="1"/>
    <col min="57" max="59" width="15.7109375" style="21" hidden="1" customWidth="1"/>
    <col min="60" max="62" width="15.7109375" style="21" customWidth="1"/>
    <col min="63" max="67" width="9.140625" style="21"/>
    <col min="68" max="141" width="9.140625" style="20"/>
    <col min="142" max="16384" width="9.140625" style="21"/>
  </cols>
  <sheetData>
    <row r="1" spans="1:28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</row>
    <row r="2" spans="1:28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28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</row>
    <row r="4" spans="1:28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28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1"/>
      <c r="K5" s="101"/>
      <c r="L5" s="78"/>
      <c r="M5" s="2">
        <f>IF(M1=0,1,0)</f>
        <v>0</v>
      </c>
    </row>
    <row r="6" spans="1:28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8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28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f>IF(H8=1,0,IF(D8&gt;1,IF(D8&lt;999999999999,1,0),0))</f>
        <v>1</v>
      </c>
      <c r="N8" s="2">
        <f>IF(D8=0,0,IF(H8=1,0,IF(M8=1,0,1)))</f>
        <v>0</v>
      </c>
      <c r="O8" s="2">
        <f>N8+M8+H8</f>
        <v>1</v>
      </c>
    </row>
    <row r="9" spans="1:28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AB9" s="2">
        <v>0</v>
      </c>
    </row>
    <row r="10" spans="1:28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1000</v>
      </c>
      <c r="E10" s="433"/>
      <c r="F10" s="11" t="s">
        <v>189</v>
      </c>
      <c r="G10" s="12" t="s">
        <v>7</v>
      </c>
      <c r="H10" s="13">
        <f ca="1">F23+G23+A93+D10</f>
        <v>1605.5642894444438</v>
      </c>
      <c r="I10" s="40"/>
      <c r="J10" s="40"/>
      <c r="K10" s="40"/>
      <c r="L10" s="40"/>
      <c r="AA10" s="2">
        <v>12</v>
      </c>
      <c r="AB10" s="2">
        <v>3</v>
      </c>
    </row>
    <row r="11" spans="1:28" ht="24.95" customHeight="1">
      <c r="A11" s="7"/>
      <c r="B11" s="408" t="s">
        <v>8</v>
      </c>
      <c r="C11" s="409"/>
      <c r="D11" s="413">
        <v>29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27</v>
      </c>
      <c r="R11" s="2">
        <f ca="1">IF(DAY(D16)=31,31,30)</f>
        <v>30</v>
      </c>
      <c r="AA11" s="2">
        <v>24</v>
      </c>
      <c r="AB11" s="2">
        <v>6</v>
      </c>
    </row>
    <row r="12" spans="1:28" ht="24.9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2</v>
      </c>
      <c r="AA12" s="2">
        <v>36</v>
      </c>
      <c r="AB12" s="2">
        <v>12</v>
      </c>
    </row>
    <row r="13" spans="1:28" ht="24.9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AA13" s="2">
        <v>48</v>
      </c>
    </row>
    <row r="14" spans="1:28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  <c r="AA14" s="2">
        <v>36</v>
      </c>
    </row>
    <row r="15" spans="1:28" ht="15" customHeight="1">
      <c r="A15" s="82"/>
      <c r="B15" s="408" t="s">
        <v>139</v>
      </c>
      <c r="C15" s="409"/>
      <c r="D15" s="315">
        <v>6</v>
      </c>
      <c r="E15" s="31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AA15" s="2">
        <v>48</v>
      </c>
    </row>
    <row r="16" spans="1:28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2">
        <f ca="1">A14-D15</f>
        <v>42</v>
      </c>
      <c r="AA16" s="2">
        <v>60</v>
      </c>
    </row>
    <row r="17" spans="1:141" ht="15" customHeight="1">
      <c r="A17" s="7"/>
      <c r="B17" s="420" t="s">
        <v>16</v>
      </c>
      <c r="C17" s="421"/>
      <c r="D17" s="410" t="s">
        <v>17</v>
      </c>
      <c r="E17" s="411"/>
      <c r="F17" s="412"/>
      <c r="G17" s="10"/>
      <c r="H17" s="10"/>
      <c r="I17" s="10"/>
      <c r="J17" s="10"/>
      <c r="K17" s="10"/>
      <c r="L17" s="10"/>
    </row>
    <row r="18" spans="1:141" ht="14.25" customHeight="1" thickBot="1">
      <c r="A18" s="4">
        <f ca="1">IF(A14&gt;61,1,0)</f>
        <v>0</v>
      </c>
      <c r="B18" s="343" t="s">
        <v>214</v>
      </c>
      <c r="C18" s="344"/>
      <c r="D18" s="376" t="s">
        <v>215</v>
      </c>
      <c r="E18" s="377"/>
      <c r="F18" s="378"/>
      <c r="G18" s="10"/>
      <c r="H18" s="18"/>
      <c r="I18" s="18"/>
      <c r="J18" s="18"/>
      <c r="K18" s="18"/>
      <c r="L18" s="18"/>
    </row>
    <row r="19" spans="1:141" ht="13.5" hidden="1" thickBot="1">
      <c r="A19" s="4"/>
      <c r="B19" s="444" t="s">
        <v>18</v>
      </c>
      <c r="C19" s="445"/>
      <c r="D19" s="446" t="s">
        <v>19</v>
      </c>
      <c r="E19" s="447"/>
      <c r="F19" s="448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17</v>
      </c>
      <c r="E21" s="272"/>
      <c r="F21" s="272"/>
      <c r="G21" s="4"/>
      <c r="H21" s="4"/>
      <c r="I21" s="4"/>
      <c r="J21" s="4"/>
      <c r="K21" s="4"/>
      <c r="L21" s="4"/>
    </row>
    <row r="22" spans="1:141" ht="2.25" customHeight="1">
      <c r="A22" s="4"/>
      <c r="B22" s="4"/>
      <c r="C22" s="4"/>
      <c r="D22" s="272" t="s">
        <v>17</v>
      </c>
      <c r="E22" s="272"/>
      <c r="F22" s="272"/>
      <c r="G22" s="4"/>
      <c r="H22" s="4"/>
      <c r="I22" s="4"/>
      <c r="J22" s="4"/>
      <c r="K22" s="4"/>
      <c r="L22" s="4"/>
    </row>
    <row r="23" spans="1:141" ht="17.25" customHeight="1">
      <c r="A23" s="4"/>
      <c r="B23" s="4"/>
      <c r="C23" s="4"/>
      <c r="D23" s="404">
        <f ca="1">SUM(D26:E86)</f>
        <v>2000.0000000000016</v>
      </c>
      <c r="E23" s="272"/>
      <c r="F23" s="22">
        <f ca="1">SUM(F26:F87)/2</f>
        <v>605.56428944444383</v>
      </c>
      <c r="G23" s="22">
        <f>SUM(G26:G87)/2</f>
        <v>0</v>
      </c>
      <c r="H23" s="22">
        <f ca="1">SUM(H26:H73)</f>
        <v>1605.5642894444438</v>
      </c>
      <c r="I23" s="22"/>
      <c r="J23" s="22"/>
      <c r="K23" s="22"/>
      <c r="L23" s="22"/>
    </row>
    <row r="24" spans="1:141" ht="17.25" customHeight="1">
      <c r="A24" s="4"/>
      <c r="B24" s="347" t="s">
        <v>21</v>
      </c>
      <c r="C24" s="348"/>
      <c r="D24" s="334" t="s">
        <v>140</v>
      </c>
      <c r="E24" s="335"/>
      <c r="F24" s="335"/>
      <c r="G24" s="335"/>
      <c r="H24" s="336"/>
      <c r="I24" s="271" t="s">
        <v>141</v>
      </c>
      <c r="J24" s="271"/>
      <c r="K24" s="271"/>
      <c r="L24" s="271"/>
    </row>
    <row r="25" spans="1:141" ht="40.5" customHeight="1">
      <c r="A25" s="4">
        <f ca="1">IF(A14&lt;D14,1,IF(ABS(A14-D14)&gt;1,1,0))</f>
        <v>0</v>
      </c>
      <c r="B25" s="349"/>
      <c r="C25" s="350"/>
      <c r="D25" s="470" t="s">
        <v>22</v>
      </c>
      <c r="E25" s="470"/>
      <c r="F25" s="88" t="s">
        <v>23</v>
      </c>
      <c r="G25" s="88" t="s">
        <v>24</v>
      </c>
      <c r="H25" s="89" t="s">
        <v>25</v>
      </c>
      <c r="I25" s="76" t="s">
        <v>22</v>
      </c>
      <c r="J25" s="76" t="s">
        <v>23</v>
      </c>
      <c r="K25" s="76" t="s">
        <v>24</v>
      </c>
      <c r="L25" s="76" t="s">
        <v>25</v>
      </c>
      <c r="N25" s="133" t="s">
        <v>26</v>
      </c>
      <c r="O25" s="133" t="s">
        <v>27</v>
      </c>
      <c r="P25" s="133" t="s">
        <v>28</v>
      </c>
      <c r="Q25" s="133" t="s">
        <v>29</v>
      </c>
      <c r="R25" s="133" t="s">
        <v>30</v>
      </c>
      <c r="S25" s="133">
        <v>2</v>
      </c>
      <c r="T25" s="133"/>
      <c r="U25" s="133" t="s">
        <v>31</v>
      </c>
      <c r="V25" s="133" t="s">
        <v>32</v>
      </c>
      <c r="W25" s="133" t="s">
        <v>142</v>
      </c>
      <c r="X25" s="133" t="s">
        <v>142</v>
      </c>
      <c r="Y25" s="133"/>
      <c r="Z25" s="133"/>
      <c r="AA25" s="133"/>
      <c r="AB25" s="133" t="s">
        <v>33</v>
      </c>
      <c r="AC25" s="133" t="s">
        <v>28</v>
      </c>
      <c r="AD25" s="133" t="s">
        <v>29</v>
      </c>
      <c r="AE25" s="133" t="s">
        <v>143</v>
      </c>
      <c r="AF25" s="133" t="s">
        <v>143</v>
      </c>
      <c r="AG25" s="133"/>
      <c r="AH25" s="133"/>
      <c r="AI25" s="133" t="s">
        <v>30</v>
      </c>
      <c r="AJ25" s="133" t="s">
        <v>31</v>
      </c>
      <c r="AK25" s="133" t="s">
        <v>32</v>
      </c>
    </row>
    <row r="26" spans="1:141" s="24" customFormat="1" ht="15" customHeight="1">
      <c r="A26" s="4">
        <v>1</v>
      </c>
      <c r="B26" s="494">
        <f ca="1">IF(N26=0,IF(N25=1,"ИТОГО"," "),DATE(YEAR(D16),MONTH(D16)+1,O26))</f>
        <v>45342</v>
      </c>
      <c r="C26" s="494"/>
      <c r="D26" s="269">
        <f ca="1">IF(N26=0,0,IF(F10="USD",ROUND(D10/M14,0),IF(F10="бел. рублей",IF(AU26&lt;=5,AU26,AU26)," ")))</f>
        <v>20.83</v>
      </c>
      <c r="E26" s="269"/>
      <c r="F26" s="87">
        <f ca="1">IF(M1=1,P26,IF(M1=2,Q26," "))</f>
        <v>21.75</v>
      </c>
      <c r="G26" s="87">
        <v>0</v>
      </c>
      <c r="H26" s="87">
        <f ca="1">SUM(D26:G26)+A88</f>
        <v>42.58</v>
      </c>
      <c r="I26" s="87">
        <f ca="1">T26</f>
        <v>20.83</v>
      </c>
      <c r="J26" s="87">
        <f ca="1">AA26</f>
        <v>21.75</v>
      </c>
      <c r="K26" s="87">
        <v>0</v>
      </c>
      <c r="L26" s="87">
        <f ca="1">SUM(I26:K26)+A88</f>
        <v>42.58</v>
      </c>
      <c r="M26" s="2">
        <v>1</v>
      </c>
      <c r="N26" s="2">
        <f ca="1">IF(M1=1,IF(M14&gt;0,1,0),IF(M1=2,IF(M14&gt;0,1,0),0))</f>
        <v>1</v>
      </c>
      <c r="O26" s="2">
        <f ca="1">IF(D$14+1=A$14,IF(M26=A$14,IF(DATE(YEAR(0),MONTH(0),DAY(D$16)-1)&gt;AR26,DATE(YEAR(0),MONTH(0),DAY(D$16)-1),AR26),AR26),IF(M26=A$14,IF(DATE(YEAR(0),MONTH(0),DAY(D$16)-1)&lt;AR26,DATE(YEAR(0),MONTH(0),DAY(D$16)-1),AR26),AR26))</f>
        <v>20</v>
      </c>
      <c r="P26" s="134">
        <f ca="1">U26</f>
        <v>21.75</v>
      </c>
      <c r="Q26" s="134">
        <f ca="1">U26</f>
        <v>21.75</v>
      </c>
      <c r="R26" s="134">
        <f>D10</f>
        <v>1000</v>
      </c>
      <c r="S26" s="134">
        <f ca="1">AU26</f>
        <v>20.83</v>
      </c>
      <c r="T26" s="134">
        <f ca="1">AU26</f>
        <v>20.83</v>
      </c>
      <c r="U26" s="134">
        <f ca="1">R26*Q11*D11/36000</f>
        <v>21.75</v>
      </c>
      <c r="V26" s="134">
        <f ca="1">R26*Q11*D11/36000</f>
        <v>21.75</v>
      </c>
      <c r="W26" s="134">
        <f ca="1">IF(D10*Q11*D11/36000&lt;&gt;0,IF(VALUE(RIGHT(ROUND(D10*Q11*D11/36000,0)))&lt;=5,ROUND(D10*Q11*D11/36000,0)-VALUE(RIGHT(ROUND(D10*Q11*D11/36000,0))),ROUND(D10*Q11*D11/36000,0)+10-VALUE(RIGHT(ROUND(D10*Q11*D11/36000,0)))),0)</f>
        <v>20</v>
      </c>
      <c r="X26" s="134">
        <f ca="1">IF(D10*Q11*D11/36000&lt;&gt;0,IF(VALUE(RIGHT(ROUND(D10*Q11*D11/36000,0)))&lt;=5,ROUND(D10*Q11*D11/36000,0)-VALUE(RIGHT(ROUND(D10*Q11*D11/36000,0))),ROUND(D10*Q11*D11/36000,0)+10-VALUE(RIGHT(ROUND(D10*Q11*D11/36000,0)))),0)</f>
        <v>20</v>
      </c>
      <c r="Y26" s="134">
        <f>IF(M26&lt;=(D$15+1),D$10,Y25-I25)</f>
        <v>1000</v>
      </c>
      <c r="Z26" s="134">
        <f ca="1">Y26*Q11*D11/36000</f>
        <v>21.75</v>
      </c>
      <c r="AA26" s="134">
        <f ca="1">Z26</f>
        <v>21.75</v>
      </c>
      <c r="AB26" s="134">
        <f ca="1">R26*Q11</f>
        <v>27000</v>
      </c>
      <c r="AC26" s="134">
        <f ca="1">IF(AJ26&lt;&gt;0,IF(VALUE(RIGHT(ROUND(AJ26,0)))&lt;=5,ROUND(AJ26,0)-VALUE(RIGHT(ROUND(AJ26,0))),ROUND(AJ26,0)+10-VALUE(RIGHT(ROUND(AJ26,0)))),0)</f>
        <v>0</v>
      </c>
      <c r="AD26" s="134">
        <f ca="1">IF(AK26&lt;&gt;0,IF(VALUE(RIGHT(ROUND(AK26,0)))&lt;=5,ROUND(AK26,0)-VALUE(RIGHT(ROUND(AK26,0))),ROUND(AK26,0)+10-VALUE(RIGHT(ROUND(AK26,0)))),0)</f>
        <v>0</v>
      </c>
      <c r="AE26" s="134">
        <f ca="1">Y26*Q11*G12/36000</f>
        <v>0</v>
      </c>
      <c r="AF26" s="134">
        <f ca="1">IF(AE26&lt;&gt;0,IF(VALUE(RIGHT(ROUND(AE26,0)))&lt;=5,ROUND(AE26,0)-VALUE(RIGHT(ROUND(AE26,0))),ROUND(AE26,0)+10-VALUE(RIGHT(ROUND(AE26,0)))),0)</f>
        <v>0</v>
      </c>
      <c r="AG26" s="134">
        <f ca="1">Y26*Q11*G12/36000</f>
        <v>0</v>
      </c>
      <c r="AH26" s="134">
        <f ca="1">IF(AG26&lt;&gt;0,IF(VALUE(RIGHT(ROUND(AG26,0)))&lt;=5,ROUND(AG26,0)-VALUE(RIGHT(ROUND(AG26,0))),ROUND(AG26,0)+10-VALUE(RIGHT(ROUND(AG26,0)))),0)</f>
        <v>0</v>
      </c>
      <c r="AI26" s="134">
        <f>R26</f>
        <v>1000</v>
      </c>
      <c r="AJ26" s="134">
        <f ca="1">AI26*Q11*G12/36000</f>
        <v>0</v>
      </c>
      <c r="AK26" s="134">
        <f ca="1">AI26*Q11*G12/36000</f>
        <v>0</v>
      </c>
      <c r="AL26" s="132">
        <f ca="1">IF(N26=0,0,MONTH(D16)+1)</f>
        <v>2</v>
      </c>
      <c r="AM26" s="132">
        <f ca="1">IF(AL26=13,1,AL26)</f>
        <v>2</v>
      </c>
      <c r="AN26" s="2">
        <f ca="1">IF(N26=0,0,YEAR(D16))</f>
        <v>2024</v>
      </c>
      <c r="AO26" s="2">
        <f t="shared" ref="AO26:AO86" ca="1" si="0">IF(AM26=1,AN26+1,AN26)</f>
        <v>2024</v>
      </c>
      <c r="AP26" s="2">
        <f ca="1">IF((AN26/2012)=1,1,IF((AN26/2016)=1,1,IF((AN26/2020)=1,1,IF((AN26/2024)=1,1,IF((AN26/2028)=1,1,IF((AN26/2032)=1,1,0))))))</f>
        <v>1</v>
      </c>
      <c r="AQ26" s="2">
        <f ca="1">IF(AM26=2,IF(AP26=1,29,28),30)</f>
        <v>29</v>
      </c>
      <c r="AR26" s="2">
        <f>IF(C$25=30,AQ26,20)</f>
        <v>20</v>
      </c>
      <c r="AS26" s="2"/>
      <c r="AT26" s="2"/>
      <c r="AU26" s="2">
        <f ca="1">ROUND(IF(N26=0,0,IF(F10="USD",ROUND(D10/M14,2),IF(F10="бел. рублей",D10/M14," "))),2)</f>
        <v>20.83</v>
      </c>
      <c r="AV26" s="132" t="str">
        <f ca="1">RIGHT(AU26)</f>
        <v>3</v>
      </c>
      <c r="AW26" s="2">
        <f ca="1">VALUE(AV26)</f>
        <v>3</v>
      </c>
      <c r="AX26" s="2">
        <f ca="1">10-AW26</f>
        <v>7</v>
      </c>
      <c r="AY26" s="2">
        <f ca="1">IF(D$15=0,0,IF(N26=1,1,0))</f>
        <v>1</v>
      </c>
      <c r="AZ26" s="2"/>
      <c r="BA26" s="2"/>
      <c r="BB26" s="2"/>
      <c r="BC26" s="2"/>
      <c r="BD26" s="2"/>
      <c r="BE26" s="21"/>
      <c r="BF26" s="21"/>
      <c r="BG26" s="146">
        <f ca="1">ROUND((D10-D26*(M14-1)),2)</f>
        <v>20.99</v>
      </c>
      <c r="BH26" s="21"/>
      <c r="BI26" s="21"/>
      <c r="BJ26" s="21"/>
      <c r="BK26" s="21"/>
      <c r="BL26" s="21"/>
      <c r="BM26" s="21"/>
      <c r="BN26" s="21"/>
      <c r="BO26" s="21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>A26+1</f>
        <v>2</v>
      </c>
      <c r="B27" s="494">
        <f t="shared" ref="B27:B58" ca="1" si="1">IF(N27=0,IF(N26=1,"ИТОГО"," "),IF(A$14=D$14+1,IF(M27=A$14,IF(MONTH(B26)=2,IF(DAY(D$16)&gt;29,DATE(YEAR(B26),MONTH(B26),AS27),DATE(YEAR(B26),MONTH(B26),O27)),DATE(YEAR(B26),MONTH(B26),O27)),DATE(YEAR(B26),MONTH(B26)+1,O27)),DATE(YEAR(B26),MONTH(B26)+1,O27)))</f>
        <v>45371</v>
      </c>
      <c r="C27" s="494"/>
      <c r="D27" s="269">
        <f ca="1">IF(N27=0,IF(N26=1,D26," "),IF(N27=0,0,IF(N28=1,D26,IF(N28=0,D10-D26*(M14-1)," "))))</f>
        <v>20.83</v>
      </c>
      <c r="E27" s="269"/>
      <c r="F27" s="87">
        <f ca="1">IF(N27=0,IF(N26=1,F26," "),IF(M1=1,P27,IF(M1=2,Q27," ")))</f>
        <v>23.998869444444445</v>
      </c>
      <c r="G27" s="87">
        <v>0</v>
      </c>
      <c r="H27" s="87">
        <f t="shared" ref="H27:H87" ca="1" si="2">IF(SUM(D27:G27)=0," ",SUM(D27:G27))</f>
        <v>44.828869444444443</v>
      </c>
      <c r="I27" s="87">
        <f t="shared" ref="I27:I58" ca="1" si="3">IF(N27=1,IF(N28=1,IF(M27&lt;=D$15,T27,AV$27),D$10-AV$27*M$16+AV$27),0)</f>
        <v>21.276595744680851</v>
      </c>
      <c r="J27" s="87">
        <f t="shared" ref="J27:J86" ca="1" si="4">AA27</f>
        <v>24.166666666666664</v>
      </c>
      <c r="K27" s="87">
        <v>0</v>
      </c>
      <c r="L27" s="87">
        <f ca="1">IF(SUM(I27:K27)=0," ",SUM(I27:K27))</f>
        <v>45.443262411347519</v>
      </c>
      <c r="M27" s="2">
        <f>M26+1</f>
        <v>2</v>
      </c>
      <c r="N27" s="2">
        <f ca="1">IF(M1=1,IF(M14&gt;1,1,0),IF(M1=2,IF(M14&gt;1,1,0),0))</f>
        <v>1</v>
      </c>
      <c r="O27" s="2">
        <f t="shared" ref="O27:O86" ca="1" si="5">IF(D$14+1=A$14,IF(M27=A$14,IF(DATE(YEAR(0),MONTH(0),DAY(D$16)-1)&gt;AR27,DATE(YEAR(0),MONTH(0),DAY(D$16)-1),AR27),AR27),IF(M27=A$14,IF(DATE(YEAR(0),MONTH(0),DAY(D$16)-1)&lt;AR27,DATE(YEAR(0),MONTH(0),DAY(D$16)-1),AR27),AR27))</f>
        <v>20</v>
      </c>
      <c r="P27" s="134">
        <f t="shared" ref="P27:P86" ca="1" si="6">U27</f>
        <v>23.998869444444445</v>
      </c>
      <c r="Q27" s="134">
        <f t="shared" ref="Q27:Q86" ca="1" si="7">U27</f>
        <v>23.998869444444445</v>
      </c>
      <c r="R27" s="134">
        <f ca="1">IF(N27=0,0,R26-D26)</f>
        <v>979.17</v>
      </c>
      <c r="S27" s="134">
        <f>IF(M27&lt;=D$15,D$10/(D$14-M26),D27)</f>
        <v>21.276595744680851</v>
      </c>
      <c r="T27" s="134">
        <f>S27</f>
        <v>21.276595744680851</v>
      </c>
      <c r="U27" s="134">
        <f ca="1">IF(N28=1,R26*D11*20/36000+R27*D11*10/36000,IF(N28=0,IF(N27=0,0,R27*D11*Q12/36000+R26*D11*20/36000+R27*D11*10/36000)))</f>
        <v>23.998869444444445</v>
      </c>
      <c r="V27" s="134">
        <f ca="1">IF(N28=1,R26*D11*20/36000+R27*D11*10/36000,IF(N28=0,IF(N27=0,0,R27*D11*Q12/36000+R26*D11*20/36000+R27*D11*10/36000)))</f>
        <v>23.998869444444445</v>
      </c>
      <c r="W27" s="134">
        <f ca="1">IF(N28=1,$D$10*$D$11*20/36000+$D$10*$D$11*10/36000,IF(N28=0,IF(N27=0,0,$D$10*$D$11*$Q$12/36000+$D$10*$D$11*20/36000+$D$10*$D$11*10/36000)))</f>
        <v>24.166666666666664</v>
      </c>
      <c r="X27" s="134">
        <f ca="1">IF(W27&lt;&gt;0,IF(VALUE(RIGHT(ROUND(W27,0)))&lt;=5,ROUND(W27,0)-VALUE(RIGHT(ROUND(W27,0))),ROUND(W27,0)+10-VALUE(RIGHT(ROUND(W27,0)))),0)</f>
        <v>20</v>
      </c>
      <c r="Y27" s="134">
        <f t="shared" ref="Y27:Y86" si="8">IF(M27&lt;=(D$15+1),D$10,Y26-I26)</f>
        <v>1000</v>
      </c>
      <c r="Z27" s="134">
        <f ca="1">IF(N28=1,Y26*D$11*20/36000+Y27*D$11*10/36000,IF(N28=0,IF(N27=0,0,Y27*D$11*Q$12/36000+Y26*D$11*20/36000+Y27*D$11*10/36000)))</f>
        <v>24.166666666666664</v>
      </c>
      <c r="AA27" s="134">
        <f t="shared" ref="AA27:AA86" ca="1" si="9">Z27</f>
        <v>24.166666666666664</v>
      </c>
      <c r="AB27" s="134">
        <f ca="1">IF(R28=0,R27*Q12,(R26*20+R27*10))</f>
        <v>29791.699999999997</v>
      </c>
      <c r="AC27" s="134">
        <f t="shared" ref="AC27:AC86" ca="1" si="10">IF(AJ27&lt;&gt;0,IF(VALUE(RIGHT(ROUND(AJ27,0)))&lt;=5,ROUND(AJ27,0)-VALUE(RIGHT(ROUND(AJ27,0))),ROUND(AJ27,0)+10-VALUE(RIGHT(ROUND(AJ27,0)))),0)</f>
        <v>0</v>
      </c>
      <c r="AD27" s="134">
        <f t="shared" ref="AD27:AD86" ca="1" si="11">IF(AK27&lt;&gt;0,IF(VALUE(RIGHT(ROUND(AK27,0)))&lt;=5,ROUND(AK27,0)-VALUE(RIGHT(ROUND(AK27,0))),ROUND(AK27,0)+10-VALUE(RIGHT(ROUND(AK27,0)))),0)</f>
        <v>0</v>
      </c>
      <c r="AE27" s="134">
        <f ca="1">IF(N28=1,D$10*G$12*20/36000+D$10*G$12*10/36000,IF(N28=0,IF(N27=0,0,D$10*G$12*Q$12/36000+D$10*G$12*20/36000+D$10*G$12*10/36000)))</f>
        <v>0</v>
      </c>
      <c r="AF27" s="134">
        <f t="shared" ref="AF27:AF86" ca="1" si="12">IF(AE27&lt;&gt;0,IF(VALUE(RIGHT(ROUND(AE27,0)))&lt;=5,ROUND(AE27,0)-VALUE(RIGHT(ROUND(AE27,0))),ROUND(AE27,0)+10-VALUE(RIGHT(ROUND(AE27,0)))),0)</f>
        <v>0</v>
      </c>
      <c r="AG27" s="134">
        <f ca="1">IF(N28=1,Y26*G$12*20/36000+Y27*G$12*10/36000,IF(N28=0,IF(N27=0,0,Y27*G$12*Q$12/36000+Y26*G$12*20/36000+Y27*G$12*10/36000)))</f>
        <v>0</v>
      </c>
      <c r="AH27" s="134">
        <f t="shared" ref="AH27:AH86" ca="1" si="13">IF(AG27&lt;&gt;0,IF(VALUE(RIGHT(ROUND(AG27,0)))&lt;=5,ROUND(AG27,0)-VALUE(RIGHT(ROUND(AG27,0))),ROUND(AG27,0)+10-VALUE(RIGHT(ROUND(AG27,0)))),0)</f>
        <v>0</v>
      </c>
      <c r="AI27" s="134">
        <f t="shared" ref="AI27:AI49" ca="1" si="14">R27</f>
        <v>979.17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ref="AL27:AL86" ca="1" si="15">IF(N27=0,0,MONTH(B26)+1)</f>
        <v>3</v>
      </c>
      <c r="AM27" s="132">
        <f t="shared" ref="AM27:AM86" ca="1" si="16">IF(AL27=13,1,AL27)</f>
        <v>3</v>
      </c>
      <c r="AN27" s="2">
        <f t="shared" ref="AN27:AN86" ca="1" si="17">IF(N27=0,0,YEAR(B26))</f>
        <v>2024</v>
      </c>
      <c r="AO27" s="2">
        <f t="shared" ca="1" si="0"/>
        <v>2024</v>
      </c>
      <c r="AP27" s="2">
        <f t="shared" ref="AP27:AP73" ca="1" si="18">IF((AN27/2012)=1,1,IF((AN27/2016)=1,1,IF((AN27/2020)=1,1,IF((AN27/2024)=1,1,IF((AN27/2028)=1,1,IF((AN27/2032)=1,1,0))))))</f>
        <v>1</v>
      </c>
      <c r="AQ27" s="2">
        <f t="shared" ref="AQ27:AQ73" ca="1" si="19">IF(AM27=2,IF(AP27=1,29,28),30)</f>
        <v>30</v>
      </c>
      <c r="AR27" s="2">
        <f t="shared" ref="AR27:AR86" si="20">IF(C$25=30,AQ27,20)</f>
        <v>20</v>
      </c>
      <c r="AS27" s="2">
        <f ca="1">AQ26</f>
        <v>29</v>
      </c>
      <c r="AT27" s="2"/>
      <c r="AU27" s="2">
        <f ca="1">D$10/(A$14-D$15)</f>
        <v>23.80952380952381</v>
      </c>
      <c r="AV27" s="134">
        <f ca="1">ROUNDUP(AU27,2)</f>
        <v>23.810000000000002</v>
      </c>
      <c r="AW27" s="2"/>
      <c r="AX27" s="2"/>
      <c r="AY27" s="2">
        <f t="shared" ref="AY27:AY86" ca="1" si="21">IF(D$15=0,0,IF(N27=1,1,0))</f>
        <v>1</v>
      </c>
      <c r="AZ27" s="2"/>
      <c r="BA27" s="2"/>
      <c r="BB27" s="2"/>
      <c r="BC27" s="2"/>
      <c r="BD27" s="2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ref="A28:A49" si="22">A27+1</f>
        <v>3</v>
      </c>
      <c r="B28" s="494">
        <f t="shared" ca="1" si="1"/>
        <v>45402</v>
      </c>
      <c r="C28" s="494"/>
      <c r="D28" s="269">
        <f ca="1">IF(N28=0,IF(N27=1,D26+D27," "),IF(N28=0,0,IF(N29=1,D26,IF(N29=0,D10-D26*(M14-1)," "))))</f>
        <v>20.83</v>
      </c>
      <c r="E28" s="269"/>
      <c r="F28" s="87">
        <f ca="1">IF(N28=0,IF(N27=1,F26+F27," "),IF(M1=1,P28,IF(M1=2,Q28," ")))</f>
        <v>23.495477777777776</v>
      </c>
      <c r="G28" s="87">
        <v>0</v>
      </c>
      <c r="H28" s="87">
        <f t="shared" ca="1" si="2"/>
        <v>44.325477777777778</v>
      </c>
      <c r="I28" s="87">
        <f t="shared" ca="1" si="3"/>
        <v>21.739130434782609</v>
      </c>
      <c r="J28" s="87">
        <f t="shared" ca="1" si="4"/>
        <v>24.166666666666664</v>
      </c>
      <c r="K28" s="87">
        <v>0</v>
      </c>
      <c r="L28" s="87">
        <f t="shared" ref="L28:L86" ca="1" si="23">IF(SUM(I28:K28)=0," ",SUM(I28:K28))</f>
        <v>45.905797101449274</v>
      </c>
      <c r="M28" s="2">
        <f t="shared" ref="M28:M49" si="24">M27+1</f>
        <v>3</v>
      </c>
      <c r="N28" s="2">
        <f ca="1">IF(M1=1,IF(M14&gt;2,1,0),IF(M1=2,IF(M14&gt;2,1,0),0))</f>
        <v>1</v>
      </c>
      <c r="O28" s="2">
        <f t="shared" ca="1" si="5"/>
        <v>20</v>
      </c>
      <c r="P28" s="134">
        <f t="shared" ca="1" si="6"/>
        <v>23.495477777777776</v>
      </c>
      <c r="Q28" s="134">
        <f t="shared" ca="1" si="7"/>
        <v>23.495477777777776</v>
      </c>
      <c r="R28" s="134">
        <f t="shared" ref="R28:R49" ca="1" si="25">IF(N28=0,0,R27-D27)</f>
        <v>958.33999999999992</v>
      </c>
      <c r="S28" s="134">
        <f t="shared" ref="S28:S86" si="26">IF(M28&lt;=D$15,D$10/(D$14-M27),D28)</f>
        <v>21.739130434782609</v>
      </c>
      <c r="T28" s="134">
        <f t="shared" ref="T28:T86" si="27">S28</f>
        <v>21.739130434782609</v>
      </c>
      <c r="U28" s="134">
        <f ca="1">IF(N29=1,R27*D11*20/36000+R28*D11*10/36000,IF(N29=0,IF(N28=0,0,R28*D11*Q12/36000+R27*D11*20/36000+R28*D11*10/36000)))</f>
        <v>23.495477777777776</v>
      </c>
      <c r="V28" s="134">
        <f ca="1">IF(N29=1,R27*D11*20/36000+R28*D11*10/36000,IF(N29=0,IF(N28=0,0,R28*D11*Q12/36000+R27*D11*20/36000+R28*D11*10/36000)))</f>
        <v>23.495477777777776</v>
      </c>
      <c r="W28" s="134">
        <f t="shared" ref="W28:W85" ca="1" si="28">IF(N29=1,$D$10*$D$11*20/36000+$D$10*$D$11*10/36000,IF(N29=0,IF(N28=0,0,$D$10*$D$11*$Q$12/36000+$D$10*$D$11*20/36000+$D$10*$D$11*10/36000)))</f>
        <v>24.166666666666664</v>
      </c>
      <c r="X28" s="134">
        <f t="shared" ref="X28:X86" ca="1" si="29">IF(W28&lt;&gt;0,IF(VALUE(RIGHT(ROUND(W28,0)))&lt;=5,ROUND(W28,0)-VALUE(RIGHT(ROUND(W28,0))),ROUND(W28,0)+10-VALUE(RIGHT(ROUND(W28,0)))),0)</f>
        <v>20</v>
      </c>
      <c r="Y28" s="134">
        <f t="shared" si="8"/>
        <v>1000</v>
      </c>
      <c r="Z28" s="134">
        <f t="shared" ref="Z28:Z85" ca="1" si="30">IF(N29=1,Y27*D$11*20/36000+Y28*D$11*10/36000,IF(N29=0,IF(N28=0,0,Y28*D$11*Q$12/36000+Y27*D$11*20/36000+Y28*D$11*10/36000)))</f>
        <v>24.166666666666664</v>
      </c>
      <c r="AA28" s="134">
        <f t="shared" ca="1" si="9"/>
        <v>24.166666666666664</v>
      </c>
      <c r="AB28" s="134">
        <f ca="1">IF(R29=0,R28*Q12,(R27*20+R28*10))</f>
        <v>29166.799999999996</v>
      </c>
      <c r="AC28" s="134">
        <f t="shared" ca="1" si="10"/>
        <v>0</v>
      </c>
      <c r="AD28" s="134">
        <f t="shared" ca="1" si="11"/>
        <v>0</v>
      </c>
      <c r="AE28" s="134">
        <f ca="1">IF(N29=1,D$10*G$12*20/36000+D$10*G$12*10/36000,IF(N29=0,IF(N28=0,0,D$10*G$12*Q$12/36000+D$10*G$12*20/36000+D$10*G$12*10/36000)))</f>
        <v>0</v>
      </c>
      <c r="AF28" s="134">
        <f t="shared" ca="1" si="12"/>
        <v>0</v>
      </c>
      <c r="AG28" s="134">
        <f t="shared" ref="AG28:AG85" ca="1" si="31">IF(N29=1,Y27*G$12*20/36000+Y28*G$12*10/36000,IF(N29=0,IF(N28=0,0,Y28*G$12*Q$12/36000+Y27*G$12*20/36000+Y28*G$12*10/36000)))</f>
        <v>0</v>
      </c>
      <c r="AH28" s="134">
        <f t="shared" ca="1" si="13"/>
        <v>0</v>
      </c>
      <c r="AI28" s="134">
        <f t="shared" ca="1" si="14"/>
        <v>958.33999999999992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15"/>
        <v>4</v>
      </c>
      <c r="AM28" s="132">
        <f t="shared" ca="1" si="16"/>
        <v>4</v>
      </c>
      <c r="AN28" s="2">
        <f t="shared" ca="1" si="17"/>
        <v>2024</v>
      </c>
      <c r="AO28" s="2">
        <f t="shared" ca="1" si="0"/>
        <v>2024</v>
      </c>
      <c r="AP28" s="2">
        <f t="shared" ca="1" si="18"/>
        <v>1</v>
      </c>
      <c r="AQ28" s="2">
        <f t="shared" ca="1" si="19"/>
        <v>30</v>
      </c>
      <c r="AR28" s="2">
        <f t="shared" si="20"/>
        <v>20</v>
      </c>
      <c r="AS28" s="2">
        <f t="shared" ref="AS28:AS86" ca="1" si="32">AQ27</f>
        <v>30</v>
      </c>
      <c r="AT28" s="2"/>
      <c r="AU28" s="2"/>
      <c r="AV28" s="2"/>
      <c r="AW28" s="2"/>
      <c r="AX28" s="2"/>
      <c r="AY28" s="2">
        <f t="shared" ca="1" si="21"/>
        <v>1</v>
      </c>
      <c r="AZ28" s="2"/>
      <c r="BA28" s="2"/>
      <c r="BB28" s="2"/>
      <c r="BC28" s="2"/>
      <c r="BD28" s="2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22"/>
        <v>4</v>
      </c>
      <c r="B29" s="494">
        <f t="shared" ca="1" si="1"/>
        <v>45432</v>
      </c>
      <c r="C29" s="494"/>
      <c r="D29" s="269">
        <f ca="1">IF(N29=0,IF(N28=1,D26+D27+D28," "),IF(N29=0,0,IF(N30=1,D26,IF(N30=0,D10-D26*(M14-1)," "))))</f>
        <v>20.83</v>
      </c>
      <c r="E29" s="269"/>
      <c r="F29" s="87">
        <f ca="1">IF(N29=0,IF(N28=1,F26+F27+F28," "),IF(M1=1,P29,IF(M1=2,Q29," ")))</f>
        <v>22.992086111111107</v>
      </c>
      <c r="G29" s="87">
        <v>0</v>
      </c>
      <c r="H29" s="87">
        <f t="shared" ca="1" si="2"/>
        <v>43.822086111111105</v>
      </c>
      <c r="I29" s="87">
        <f t="shared" ca="1" si="3"/>
        <v>22.222222222222221</v>
      </c>
      <c r="J29" s="87">
        <f t="shared" ca="1" si="4"/>
        <v>24.166666666666664</v>
      </c>
      <c r="K29" s="87">
        <v>0</v>
      </c>
      <c r="L29" s="87">
        <f t="shared" ca="1" si="23"/>
        <v>46.388888888888886</v>
      </c>
      <c r="M29" s="2">
        <f t="shared" si="24"/>
        <v>4</v>
      </c>
      <c r="N29" s="2">
        <f ca="1">IF(M1=1,IF(M14&gt;3,1,0),IF(M1=2,IF(M14&gt;3,1,0),0))</f>
        <v>1</v>
      </c>
      <c r="O29" s="2">
        <f t="shared" ca="1" si="5"/>
        <v>20</v>
      </c>
      <c r="P29" s="134">
        <f t="shared" ca="1" si="6"/>
        <v>22.992086111111107</v>
      </c>
      <c r="Q29" s="134">
        <f t="shared" ca="1" si="7"/>
        <v>22.992086111111107</v>
      </c>
      <c r="R29" s="134">
        <f t="shared" ca="1" si="25"/>
        <v>937.50999999999988</v>
      </c>
      <c r="S29" s="134">
        <f t="shared" si="26"/>
        <v>22.222222222222221</v>
      </c>
      <c r="T29" s="134">
        <f t="shared" si="27"/>
        <v>22.222222222222221</v>
      </c>
      <c r="U29" s="134">
        <f ca="1">IF(N30=1,R28*D11*20/36000+R29*D11*10/36000,IF(N30=0,IF(N29=0,0,R29*D11*Q12/36000+R28*D11*20/36000+R29*D11*10/36000)))</f>
        <v>22.992086111111107</v>
      </c>
      <c r="V29" s="134">
        <f ca="1">IF(N30=1,R28*D11*20/36000+R29*D11*10/36000,IF(N30=0,IF(N29=0,0,R29*D11*Q12/36000+R28*D11*20/36000+R29*D11*10/36000)))</f>
        <v>22.992086111111107</v>
      </c>
      <c r="W29" s="134">
        <f t="shared" ca="1" si="28"/>
        <v>24.166666666666664</v>
      </c>
      <c r="X29" s="134">
        <f t="shared" ca="1" si="29"/>
        <v>20</v>
      </c>
      <c r="Y29" s="134">
        <f t="shared" si="8"/>
        <v>1000</v>
      </c>
      <c r="Z29" s="134">
        <f t="shared" ca="1" si="30"/>
        <v>24.166666666666664</v>
      </c>
      <c r="AA29" s="134">
        <f t="shared" ca="1" si="9"/>
        <v>24.166666666666664</v>
      </c>
      <c r="AB29" s="134">
        <f ca="1">IF(R30=0,R29*Q12,(R28*20+R29*10))</f>
        <v>28541.899999999998</v>
      </c>
      <c r="AC29" s="134">
        <f t="shared" ca="1" si="10"/>
        <v>0</v>
      </c>
      <c r="AD29" s="134">
        <f t="shared" ca="1" si="11"/>
        <v>0</v>
      </c>
      <c r="AE29" s="134">
        <f t="shared" ref="AE29:AE86" ca="1" si="33">IF(N30=1,D$10*G$12*20/36000+D$10*G$12*10/36000,IF(N30=0,IF(N29=0,0,D$10*G$12*Q$12/36000+D$10*G$12*20/36000+D$10*G$12*10/36000)))</f>
        <v>0</v>
      </c>
      <c r="AF29" s="134">
        <f t="shared" ca="1" si="12"/>
        <v>0</v>
      </c>
      <c r="AG29" s="134">
        <f t="shared" ca="1" si="31"/>
        <v>0</v>
      </c>
      <c r="AH29" s="134">
        <f t="shared" ca="1" si="13"/>
        <v>0</v>
      </c>
      <c r="AI29" s="134">
        <f t="shared" ca="1" si="14"/>
        <v>937.50999999999988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15"/>
        <v>5</v>
      </c>
      <c r="AM29" s="132">
        <f t="shared" ca="1" si="16"/>
        <v>5</v>
      </c>
      <c r="AN29" s="2">
        <f t="shared" ca="1" si="17"/>
        <v>2024</v>
      </c>
      <c r="AO29" s="2">
        <f t="shared" ca="1" si="0"/>
        <v>2024</v>
      </c>
      <c r="AP29" s="2">
        <f t="shared" ca="1" si="18"/>
        <v>1</v>
      </c>
      <c r="AQ29" s="2">
        <f t="shared" ca="1" si="19"/>
        <v>30</v>
      </c>
      <c r="AR29" s="2">
        <f t="shared" si="20"/>
        <v>20</v>
      </c>
      <c r="AS29" s="2">
        <f t="shared" ca="1" si="32"/>
        <v>30</v>
      </c>
      <c r="AT29" s="2"/>
      <c r="AU29" s="2"/>
      <c r="AV29" s="2"/>
      <c r="AW29" s="2"/>
      <c r="AX29" s="2"/>
      <c r="AY29" s="2">
        <f t="shared" ca="1" si="21"/>
        <v>1</v>
      </c>
      <c r="AZ29" s="2"/>
      <c r="BA29" s="2"/>
      <c r="BB29" s="2"/>
      <c r="BC29" s="2"/>
      <c r="BD29" s="2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22"/>
        <v>5</v>
      </c>
      <c r="B30" s="494">
        <f t="shared" ca="1" si="1"/>
        <v>45463</v>
      </c>
      <c r="C30" s="494"/>
      <c r="D30" s="269">
        <f ca="1">IF(N30=0,IF(N29=1,D26+D27+D28+D29," "),IF(N30=0,0,IF(N31=1,D26,IF(N31=0,D10-D26*(M14-1)," "))))</f>
        <v>20.83</v>
      </c>
      <c r="E30" s="269"/>
      <c r="F30" s="87">
        <f ca="1">IF(N30=0,IF(N29=1,F26+F27+F28+F29," "),IF(M1=1,P30,IF(M1=2,Q30," ")))</f>
        <v>22.488694444444441</v>
      </c>
      <c r="G30" s="87">
        <v>0</v>
      </c>
      <c r="H30" s="87">
        <f t="shared" ca="1" si="2"/>
        <v>43.318694444444439</v>
      </c>
      <c r="I30" s="87">
        <f t="shared" ca="1" si="3"/>
        <v>22.727272727272727</v>
      </c>
      <c r="J30" s="87">
        <f t="shared" ca="1" si="4"/>
        <v>24.166666666666664</v>
      </c>
      <c r="K30" s="87">
        <v>0</v>
      </c>
      <c r="L30" s="87">
        <f t="shared" ca="1" si="23"/>
        <v>46.893939393939391</v>
      </c>
      <c r="M30" s="2">
        <f t="shared" si="24"/>
        <v>5</v>
      </c>
      <c r="N30" s="2">
        <f ca="1">IF(M1=1,IF(M14&gt;4,1,0),IF(M1=2,IF(M14&gt;4,1,0),0))</f>
        <v>1</v>
      </c>
      <c r="O30" s="2">
        <f t="shared" ca="1" si="5"/>
        <v>20</v>
      </c>
      <c r="P30" s="134">
        <f t="shared" ca="1" si="6"/>
        <v>22.488694444444441</v>
      </c>
      <c r="Q30" s="134">
        <f t="shared" ca="1" si="7"/>
        <v>22.488694444444441</v>
      </c>
      <c r="R30" s="134">
        <f t="shared" ca="1" si="25"/>
        <v>916.67999999999984</v>
      </c>
      <c r="S30" s="134">
        <f t="shared" si="26"/>
        <v>22.727272727272727</v>
      </c>
      <c r="T30" s="134">
        <f t="shared" si="27"/>
        <v>22.727272727272727</v>
      </c>
      <c r="U30" s="134">
        <f ca="1">IF(N31=1,R29*D11*20/36000+R30*D11*10/36000,IF(N31=0,IF(N30=0,0,R30*D11*Q12/36000+R29*D11*20/36000+R30*D11*10/36000)))</f>
        <v>22.488694444444441</v>
      </c>
      <c r="V30" s="134">
        <f ca="1">IF(N31=1,R29*D11*20/36000+R30*D11*10/36000,IF(N31=0,IF(N30=0,0,R30*D11*Q12/36000+R29*D11*20/36000+R30*D11*10/36000)))</f>
        <v>22.488694444444441</v>
      </c>
      <c r="W30" s="134">
        <f t="shared" ca="1" si="28"/>
        <v>24.166666666666664</v>
      </c>
      <c r="X30" s="134">
        <f t="shared" ca="1" si="29"/>
        <v>20</v>
      </c>
      <c r="Y30" s="134">
        <f t="shared" si="8"/>
        <v>1000</v>
      </c>
      <c r="Z30" s="134">
        <f t="shared" ca="1" si="30"/>
        <v>24.166666666666664</v>
      </c>
      <c r="AA30" s="134">
        <f t="shared" ca="1" si="9"/>
        <v>24.166666666666664</v>
      </c>
      <c r="AB30" s="134">
        <f ca="1">IF(R31=0,R30*Q12,(R29*20+R30*10))</f>
        <v>27916.999999999996</v>
      </c>
      <c r="AC30" s="134">
        <f t="shared" ca="1" si="10"/>
        <v>0</v>
      </c>
      <c r="AD30" s="134">
        <f t="shared" ca="1" si="11"/>
        <v>0</v>
      </c>
      <c r="AE30" s="134">
        <f t="shared" ca="1" si="33"/>
        <v>0</v>
      </c>
      <c r="AF30" s="134">
        <f t="shared" ca="1" si="12"/>
        <v>0</v>
      </c>
      <c r="AG30" s="134">
        <f t="shared" ca="1" si="31"/>
        <v>0</v>
      </c>
      <c r="AH30" s="134">
        <f t="shared" ca="1" si="13"/>
        <v>0</v>
      </c>
      <c r="AI30" s="134">
        <f t="shared" ca="1" si="14"/>
        <v>916.67999999999984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15"/>
        <v>6</v>
      </c>
      <c r="AM30" s="132">
        <f t="shared" ca="1" si="16"/>
        <v>6</v>
      </c>
      <c r="AN30" s="2">
        <f t="shared" ca="1" si="17"/>
        <v>2024</v>
      </c>
      <c r="AO30" s="2">
        <f t="shared" ca="1" si="0"/>
        <v>2024</v>
      </c>
      <c r="AP30" s="2">
        <f t="shared" ca="1" si="18"/>
        <v>1</v>
      </c>
      <c r="AQ30" s="2">
        <f t="shared" ca="1" si="19"/>
        <v>30</v>
      </c>
      <c r="AR30" s="2">
        <f t="shared" si="20"/>
        <v>20</v>
      </c>
      <c r="AS30" s="2">
        <f t="shared" ca="1" si="32"/>
        <v>30</v>
      </c>
      <c r="AT30" s="2"/>
      <c r="AU30" s="2"/>
      <c r="AV30" s="2"/>
      <c r="AW30" s="2"/>
      <c r="AX30" s="2"/>
      <c r="AY30" s="2">
        <f t="shared" ca="1" si="21"/>
        <v>1</v>
      </c>
      <c r="AZ30" s="2"/>
      <c r="BA30" s="2"/>
      <c r="BB30" s="2"/>
      <c r="BC30" s="2"/>
      <c r="BD30" s="2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4">
        <f t="shared" si="22"/>
        <v>6</v>
      </c>
      <c r="B31" s="494">
        <f t="shared" ca="1" si="1"/>
        <v>45493</v>
      </c>
      <c r="C31" s="494"/>
      <c r="D31" s="269">
        <f ca="1">IF(N31=0,IF(N30=1,D26+D27+D28+D29+D30," "),IF(N31=0,0,IF(N32=1,D26,IF(N32=0,D10-D26*(M14-1)," "))))</f>
        <v>20.83</v>
      </c>
      <c r="E31" s="269"/>
      <c r="F31" s="87">
        <f ca="1">IF(N31=0,IF(N30=1,F26+F27+F28+F29+F30," "),IF(M1=1,P31,IF(M1=2,Q31," ")))</f>
        <v>21.985302777777772</v>
      </c>
      <c r="G31" s="87">
        <v>0</v>
      </c>
      <c r="H31" s="87">
        <f t="shared" ca="1" si="2"/>
        <v>42.815302777777774</v>
      </c>
      <c r="I31" s="87">
        <f t="shared" ca="1" si="3"/>
        <v>23.255813953488371</v>
      </c>
      <c r="J31" s="87">
        <f t="shared" ca="1" si="4"/>
        <v>24.166666666666664</v>
      </c>
      <c r="K31" s="87">
        <v>0</v>
      </c>
      <c r="L31" s="87">
        <f t="shared" ca="1" si="23"/>
        <v>47.422480620155035</v>
      </c>
      <c r="M31" s="2">
        <f t="shared" si="24"/>
        <v>6</v>
      </c>
      <c r="N31" s="2">
        <f ca="1">IF(M1=1,IF(M14&gt;5,1,0),IF(M1=2,IF(M14&gt;5,1,0),0))</f>
        <v>1</v>
      </c>
      <c r="O31" s="2">
        <f t="shared" ca="1" si="5"/>
        <v>20</v>
      </c>
      <c r="P31" s="134">
        <f t="shared" ca="1" si="6"/>
        <v>21.985302777777772</v>
      </c>
      <c r="Q31" s="134">
        <f t="shared" ca="1" si="7"/>
        <v>21.985302777777772</v>
      </c>
      <c r="R31" s="134">
        <f t="shared" ca="1" si="25"/>
        <v>895.8499999999998</v>
      </c>
      <c r="S31" s="134">
        <f t="shared" si="26"/>
        <v>23.255813953488371</v>
      </c>
      <c r="T31" s="134">
        <f t="shared" si="27"/>
        <v>23.255813953488371</v>
      </c>
      <c r="U31" s="134">
        <f ca="1">IF(N32=1,R30*D11*20/36000+R31*D11*10/36000,IF(N32=0,IF(N31=0,0,R31*D11*Q12/36000+R30*D11*20/36000+R31*D11*10/36000)))</f>
        <v>21.985302777777772</v>
      </c>
      <c r="V31" s="134">
        <f ca="1">IF(N32=1,R30*D11*20/36000+R31*D11*10/36000,IF(N32=0,IF(N31=0,0,R31*D11*Q12/36000+R30*D11*20/36000+R31*D11*10/36000)))</f>
        <v>21.985302777777772</v>
      </c>
      <c r="W31" s="134">
        <f t="shared" ca="1" si="28"/>
        <v>24.166666666666664</v>
      </c>
      <c r="X31" s="134">
        <f t="shared" ca="1" si="29"/>
        <v>20</v>
      </c>
      <c r="Y31" s="134">
        <f t="shared" si="8"/>
        <v>1000</v>
      </c>
      <c r="Z31" s="134">
        <f t="shared" ca="1" si="30"/>
        <v>24.166666666666664</v>
      </c>
      <c r="AA31" s="134">
        <f t="shared" ca="1" si="9"/>
        <v>24.166666666666664</v>
      </c>
      <c r="AB31" s="134">
        <f ca="1">IF(R32=0,R31*Q12,(R30*20+R31*10))</f>
        <v>27292.1</v>
      </c>
      <c r="AC31" s="134">
        <f t="shared" ca="1" si="10"/>
        <v>0</v>
      </c>
      <c r="AD31" s="134">
        <f t="shared" ca="1" si="11"/>
        <v>0</v>
      </c>
      <c r="AE31" s="134">
        <f t="shared" ca="1" si="33"/>
        <v>0</v>
      </c>
      <c r="AF31" s="134">
        <f t="shared" ca="1" si="12"/>
        <v>0</v>
      </c>
      <c r="AG31" s="134">
        <f t="shared" ca="1" si="31"/>
        <v>0</v>
      </c>
      <c r="AH31" s="134">
        <f t="shared" ca="1" si="13"/>
        <v>0</v>
      </c>
      <c r="AI31" s="134">
        <f t="shared" ca="1" si="14"/>
        <v>895.8499999999998</v>
      </c>
      <c r="AJ31" s="134">
        <f ca="1">IF(N32=1,AI30*G12*20/36000+AI31*G12*10/36000,IF(N32=0,IF(N31=0,0,AI31*G12*Q12/36000+AI30*G12*20/36000+AI31*G12*10/36000)))</f>
        <v>0</v>
      </c>
      <c r="AK31" s="134">
        <f ca="1">IF(N32=1,AI30*G12*20/36000+AI31*G12*10/36000,IF(N32=0,IF(N31=0,0,AI31*G12*Q12/36000+AI30*G12*20/36000+AI31*G12*10/36000)))</f>
        <v>0</v>
      </c>
      <c r="AL31" s="132">
        <f t="shared" ca="1" si="15"/>
        <v>7</v>
      </c>
      <c r="AM31" s="132">
        <f t="shared" ca="1" si="16"/>
        <v>7</v>
      </c>
      <c r="AN31" s="2">
        <f t="shared" ca="1" si="17"/>
        <v>2024</v>
      </c>
      <c r="AO31" s="2">
        <f t="shared" ca="1" si="0"/>
        <v>2024</v>
      </c>
      <c r="AP31" s="2">
        <f t="shared" ca="1" si="18"/>
        <v>1</v>
      </c>
      <c r="AQ31" s="2">
        <f t="shared" ca="1" si="19"/>
        <v>30</v>
      </c>
      <c r="AR31" s="2">
        <f t="shared" si="20"/>
        <v>20</v>
      </c>
      <c r="AS31" s="2">
        <f t="shared" ca="1" si="32"/>
        <v>30</v>
      </c>
      <c r="AT31" s="2"/>
      <c r="AU31" s="2"/>
      <c r="AV31" s="2"/>
      <c r="AW31" s="2"/>
      <c r="AX31" s="2"/>
      <c r="AY31" s="2">
        <f t="shared" ca="1" si="21"/>
        <v>1</v>
      </c>
      <c r="AZ31" s="2"/>
      <c r="BA31" s="2"/>
      <c r="BB31" s="2"/>
      <c r="BC31" s="2"/>
      <c r="BD31" s="2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19">
        <f t="shared" si="22"/>
        <v>7</v>
      </c>
      <c r="B32" s="494">
        <f t="shared" ca="1" si="1"/>
        <v>45524</v>
      </c>
      <c r="C32" s="494"/>
      <c r="D32" s="269">
        <f ca="1">IF(N32=0,IF(N31=1,D26+D27+D28+D29+D30+D31," "),IF(N32=0," ",IF(N33=1,D26,IF(N33=0,D10-D26*(M14-1)," "))))</f>
        <v>20.83</v>
      </c>
      <c r="E32" s="269"/>
      <c r="F32" s="87">
        <f ca="1">IF(N32=0,IF(N31=1,F26+F27+F28+F29+F30+F31," "),IF(M1=1,P32,IF(M1=2,Q32," ")))</f>
        <v>21.481911111111106</v>
      </c>
      <c r="G32" s="87">
        <v>0</v>
      </c>
      <c r="H32" s="87">
        <f t="shared" ca="1" si="2"/>
        <v>42.311911111111101</v>
      </c>
      <c r="I32" s="87">
        <f t="shared" ca="1" si="3"/>
        <v>23.810000000000002</v>
      </c>
      <c r="J32" s="87">
        <f t="shared" ca="1" si="4"/>
        <v>24.166666666666664</v>
      </c>
      <c r="K32" s="87">
        <v>0</v>
      </c>
      <c r="L32" s="87">
        <f t="shared" ca="1" si="23"/>
        <v>47.976666666666667</v>
      </c>
      <c r="M32" s="2">
        <f t="shared" si="24"/>
        <v>7</v>
      </c>
      <c r="N32" s="2">
        <f ca="1">IF(M1=1,IF(M14&gt;6,1,0),IF(M1=2,IF(M14&gt;6,1,0),0))</f>
        <v>1</v>
      </c>
      <c r="O32" s="2">
        <f t="shared" ca="1" si="5"/>
        <v>20</v>
      </c>
      <c r="P32" s="134">
        <f t="shared" ca="1" si="6"/>
        <v>21.481911111111106</v>
      </c>
      <c r="Q32" s="134">
        <f t="shared" ca="1" si="7"/>
        <v>21.481911111111106</v>
      </c>
      <c r="R32" s="134">
        <f t="shared" ca="1" si="25"/>
        <v>875.01999999999975</v>
      </c>
      <c r="S32" s="134">
        <f t="shared" ca="1" si="26"/>
        <v>20.83</v>
      </c>
      <c r="T32" s="134">
        <f t="shared" ca="1" si="27"/>
        <v>20.83</v>
      </c>
      <c r="U32" s="134">
        <f ca="1">IF(N33=1,R31*D$11*20/36000+R32*D$11*10/36000,IF(N33=0,IF(N32=0,0,IF(D$16&gt;20,R31*D$11*20/36000+R32*D$11*(Q$12-20)/36000,R32*D$11*Q$12/36000))))</f>
        <v>21.481911111111106</v>
      </c>
      <c r="V32" s="134">
        <f ca="1">IF(N33=1,R31*D$11*20/36000+R32*D$11*10/36000,IF(N33=0,IF(N32=0,0,IF(D$16&gt;20,R31*D$11*20/36000+R32*D$11*(Q$12-20)/36000,R32*D$11*Q$12/36000))))</f>
        <v>21.481911111111106</v>
      </c>
      <c r="W32" s="134">
        <f t="shared" ca="1" si="28"/>
        <v>24.166666666666664</v>
      </c>
      <c r="X32" s="134">
        <f t="shared" ca="1" si="29"/>
        <v>20</v>
      </c>
      <c r="Y32" s="134">
        <f t="shared" si="8"/>
        <v>1000</v>
      </c>
      <c r="Z32" s="134">
        <f ca="1">IF(N33=1,Y31*D$11*20/36000+Y32*D$11*10/36000,IF(N33=0,IF(N32=0,0,IF(D$16&gt;20,Y31*D$11*20/36000+Y32*D$11*(Q$12-20)/36000,Y32*D$11*Q$12/36000))))</f>
        <v>24.166666666666664</v>
      </c>
      <c r="AA32" s="134">
        <f t="shared" ca="1" si="9"/>
        <v>24.166666666666664</v>
      </c>
      <c r="AB32" s="134">
        <f ca="1">IF(R33=0,R32*Q12,(R31*20+R32*10))</f>
        <v>26667.199999999993</v>
      </c>
      <c r="AC32" s="134">
        <f t="shared" ca="1" si="10"/>
        <v>0</v>
      </c>
      <c r="AD32" s="134">
        <f t="shared" ca="1" si="11"/>
        <v>0</v>
      </c>
      <c r="AE32" s="134">
        <f t="shared" ca="1" si="33"/>
        <v>0</v>
      </c>
      <c r="AF32" s="134">
        <f t="shared" ca="1" si="12"/>
        <v>0</v>
      </c>
      <c r="AG32" s="134">
        <f t="shared" ca="1" si="31"/>
        <v>0</v>
      </c>
      <c r="AH32" s="134">
        <f t="shared" ca="1" si="13"/>
        <v>0</v>
      </c>
      <c r="AI32" s="134">
        <f t="shared" ca="1" si="14"/>
        <v>875.01999999999975</v>
      </c>
      <c r="AJ32" s="134">
        <f ca="1">IF(N33=1,AI31*G$12*20/36000+AI32*G$12*10/36000,IF(N33=0,IF(N32=0,0,AI32*G$12*Q$12/36000)))</f>
        <v>0</v>
      </c>
      <c r="AK32" s="134">
        <f ca="1">IF(N33=1,AI31*G$12*20/36000+AI32*G$12*10/36000,IF(N33=0,IF(N32=0,0,AI32*G$12*Q$12/36000)))</f>
        <v>0</v>
      </c>
      <c r="AL32" s="132">
        <f t="shared" ca="1" si="15"/>
        <v>8</v>
      </c>
      <c r="AM32" s="132">
        <f t="shared" ca="1" si="16"/>
        <v>8</v>
      </c>
      <c r="AN32" s="2">
        <f t="shared" ca="1" si="17"/>
        <v>2024</v>
      </c>
      <c r="AO32" s="2">
        <f t="shared" ca="1" si="0"/>
        <v>2024</v>
      </c>
      <c r="AP32" s="2">
        <f t="shared" ca="1" si="18"/>
        <v>1</v>
      </c>
      <c r="AQ32" s="2">
        <f t="shared" ca="1" si="19"/>
        <v>30</v>
      </c>
      <c r="AR32" s="2">
        <f t="shared" si="20"/>
        <v>20</v>
      </c>
      <c r="AS32" s="2">
        <f t="shared" ca="1" si="32"/>
        <v>30</v>
      </c>
      <c r="AT32" s="2"/>
      <c r="AU32" s="2"/>
      <c r="AV32" s="2"/>
      <c r="AW32" s="2"/>
      <c r="AX32" s="2"/>
      <c r="AY32" s="2">
        <f t="shared" ca="1" si="21"/>
        <v>1</v>
      </c>
      <c r="AZ32" s="2"/>
      <c r="BA32" s="2"/>
      <c r="BB32" s="2"/>
      <c r="BC32" s="2"/>
      <c r="BD32" s="2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22"/>
        <v>8</v>
      </c>
      <c r="B33" s="494">
        <f t="shared" ca="1" si="1"/>
        <v>45555</v>
      </c>
      <c r="C33" s="494"/>
      <c r="D33" s="269">
        <f ca="1">IF(N33=0,IF(N32=1,D26+D27+D28+D29+D30+D31+D32," "),IF(N33=0," ",IF(N34=1,D26,IF(N34=0,D10-D26*(M14-1)," "))))</f>
        <v>20.83</v>
      </c>
      <c r="E33" s="269"/>
      <c r="F33" s="87">
        <f ca="1">IF(N33=0,IF(N32=1,F26+F27+F28+F29+F30+F31+F32," "),IF(M1=1,P33,IF(M1=2,Q33," ")))</f>
        <v>20.978519444444437</v>
      </c>
      <c r="G33" s="87">
        <v>0</v>
      </c>
      <c r="H33" s="87">
        <f t="shared" ca="1" si="2"/>
        <v>41.808519444444435</v>
      </c>
      <c r="I33" s="87">
        <f t="shared" ca="1" si="3"/>
        <v>23.810000000000002</v>
      </c>
      <c r="J33" s="87">
        <f t="shared" ca="1" si="4"/>
        <v>23.974863888888891</v>
      </c>
      <c r="K33" s="87">
        <v>0</v>
      </c>
      <c r="L33" s="87">
        <f t="shared" ca="1" si="23"/>
        <v>47.784863888888893</v>
      </c>
      <c r="M33" s="2">
        <f t="shared" si="24"/>
        <v>8</v>
      </c>
      <c r="N33" s="2">
        <f ca="1">IF(M1=1,IF(M14&gt;7,1,0),IF(M1=2,IF(M14&gt;7,1,0),0))</f>
        <v>1</v>
      </c>
      <c r="O33" s="2">
        <f t="shared" ca="1" si="5"/>
        <v>20</v>
      </c>
      <c r="P33" s="134">
        <f t="shared" ca="1" si="6"/>
        <v>20.978519444444437</v>
      </c>
      <c r="Q33" s="134">
        <f t="shared" ca="1" si="7"/>
        <v>20.978519444444437</v>
      </c>
      <c r="R33" s="134">
        <f t="shared" ca="1" si="25"/>
        <v>854.18999999999971</v>
      </c>
      <c r="S33" s="134">
        <f t="shared" ca="1" si="26"/>
        <v>20.83</v>
      </c>
      <c r="T33" s="134">
        <f t="shared" ca="1" si="27"/>
        <v>20.83</v>
      </c>
      <c r="U33" s="134">
        <f ca="1">IF(N34=1,R32*D11*20/36000+R33*D11*10/36000,IF(N34=0,IF(N33=0,0,R33*D11*Q12/36000+R32*D11*20/36000+R33*D11*10/36000)))</f>
        <v>20.978519444444437</v>
      </c>
      <c r="V33" s="134">
        <f ca="1">IF(N34=1,R32*D11*20/36000+R33*D11*10/36000,IF(N34=0,IF(N33=0,0,R33*D11*Q12/36000+R32*D11*20/36000+R33*D11*10/36000)))</f>
        <v>20.978519444444437</v>
      </c>
      <c r="W33" s="134">
        <f t="shared" ca="1" si="28"/>
        <v>24.166666666666664</v>
      </c>
      <c r="X33" s="134">
        <f t="shared" ca="1" si="29"/>
        <v>20</v>
      </c>
      <c r="Y33" s="134">
        <f t="shared" ca="1" si="8"/>
        <v>976.19</v>
      </c>
      <c r="Z33" s="134">
        <f t="shared" ca="1" si="30"/>
        <v>23.974863888888891</v>
      </c>
      <c r="AA33" s="134">
        <f t="shared" ca="1" si="9"/>
        <v>23.974863888888891</v>
      </c>
      <c r="AB33" s="134">
        <f ca="1">IF(R34=0,R33*Q12,(R32*20+R33*10))</f>
        <v>26042.299999999992</v>
      </c>
      <c r="AC33" s="134">
        <f t="shared" ca="1" si="10"/>
        <v>0</v>
      </c>
      <c r="AD33" s="134">
        <f t="shared" ca="1" si="11"/>
        <v>0</v>
      </c>
      <c r="AE33" s="134">
        <f t="shared" ca="1" si="33"/>
        <v>0</v>
      </c>
      <c r="AF33" s="134">
        <f t="shared" ca="1" si="12"/>
        <v>0</v>
      </c>
      <c r="AG33" s="134">
        <f t="shared" ca="1" si="31"/>
        <v>0</v>
      </c>
      <c r="AH33" s="134">
        <f t="shared" ca="1" si="13"/>
        <v>0</v>
      </c>
      <c r="AI33" s="134">
        <f t="shared" ca="1" si="14"/>
        <v>854.18999999999971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15"/>
        <v>9</v>
      </c>
      <c r="AM33" s="132">
        <f t="shared" ca="1" si="16"/>
        <v>9</v>
      </c>
      <c r="AN33" s="2">
        <f t="shared" ca="1" si="17"/>
        <v>2024</v>
      </c>
      <c r="AO33" s="2">
        <f t="shared" ca="1" si="0"/>
        <v>2024</v>
      </c>
      <c r="AP33" s="2">
        <f t="shared" ca="1" si="18"/>
        <v>1</v>
      </c>
      <c r="AQ33" s="2">
        <f t="shared" ca="1" si="19"/>
        <v>30</v>
      </c>
      <c r="AR33" s="2">
        <f t="shared" si="20"/>
        <v>20</v>
      </c>
      <c r="AS33" s="2">
        <f t="shared" ca="1" si="32"/>
        <v>30</v>
      </c>
      <c r="AT33" s="2"/>
      <c r="AU33" s="2"/>
      <c r="AV33" s="2"/>
      <c r="AW33" s="2"/>
      <c r="AX33" s="2"/>
      <c r="AY33" s="2">
        <f t="shared" ca="1" si="21"/>
        <v>1</v>
      </c>
      <c r="AZ33" s="2"/>
      <c r="BA33" s="2"/>
      <c r="BB33" s="2"/>
      <c r="BC33" s="2"/>
      <c r="BD33" s="2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22"/>
        <v>9</v>
      </c>
      <c r="B34" s="494">
        <f t="shared" ca="1" si="1"/>
        <v>45585</v>
      </c>
      <c r="C34" s="494"/>
      <c r="D34" s="269">
        <f ca="1">IF(N34=0,IF(N33=1,D26+D27+D28+D29+D30+D31+D32+D33," "),IF(N34=0," ",IF(N35=1,D26,IF(N35=0,D10-D26*(M14-1)," "))))</f>
        <v>20.83</v>
      </c>
      <c r="E34" s="269"/>
      <c r="F34" s="87">
        <f ca="1">IF(N34=0,IF(N33=1,F26+F27+F28+F29+F30+F31+F32+F33," "),IF(M1=1,P34,IF(M1=2,Q34," ")))</f>
        <v>20.475127777777772</v>
      </c>
      <c r="G34" s="87">
        <v>0</v>
      </c>
      <c r="H34" s="87">
        <f t="shared" ca="1" si="2"/>
        <v>41.30512777777777</v>
      </c>
      <c r="I34" s="87">
        <f t="shared" ca="1" si="3"/>
        <v>23.810000000000002</v>
      </c>
      <c r="J34" s="87">
        <f t="shared" ca="1" si="4"/>
        <v>23.399455555555559</v>
      </c>
      <c r="K34" s="87">
        <v>0</v>
      </c>
      <c r="L34" s="87">
        <f t="shared" ca="1" si="23"/>
        <v>47.209455555555564</v>
      </c>
      <c r="M34" s="2">
        <f t="shared" si="24"/>
        <v>9</v>
      </c>
      <c r="N34" s="2">
        <f ca="1">IF(M1=1,IF(M14&gt;8,1,0),IF(M1=2,IF(M14&gt;8,1,0),0))</f>
        <v>1</v>
      </c>
      <c r="O34" s="2">
        <f t="shared" ca="1" si="5"/>
        <v>20</v>
      </c>
      <c r="P34" s="134">
        <f t="shared" ca="1" si="6"/>
        <v>20.475127777777772</v>
      </c>
      <c r="Q34" s="134">
        <f t="shared" ca="1" si="7"/>
        <v>20.475127777777772</v>
      </c>
      <c r="R34" s="134">
        <f t="shared" ca="1" si="25"/>
        <v>833.35999999999967</v>
      </c>
      <c r="S34" s="134">
        <f t="shared" ca="1" si="26"/>
        <v>20.83</v>
      </c>
      <c r="T34" s="134">
        <f t="shared" ca="1" si="27"/>
        <v>20.83</v>
      </c>
      <c r="U34" s="134">
        <f ca="1">IF(N35=1,R33*D11*20/36000+R34*D11*10/36000,IF(N35=0,IF(N34=0,0,R34*D11*Q12/36000+R33*D11*20/36000+R34*D11*10/36000)))</f>
        <v>20.475127777777772</v>
      </c>
      <c r="V34" s="134">
        <f ca="1">IF(N35=1,R33*D11*20/36000+R34*D11*10/36000,IF(N35=0,IF(N34=0,0,R34*D11*Q12/36000+R33*D11*20/36000+R34*D11*10/36000)))</f>
        <v>20.475127777777772</v>
      </c>
      <c r="W34" s="134">
        <f t="shared" ca="1" si="28"/>
        <v>24.166666666666664</v>
      </c>
      <c r="X34" s="134">
        <f t="shared" ca="1" si="29"/>
        <v>20</v>
      </c>
      <c r="Y34" s="134">
        <f t="shared" ca="1" si="8"/>
        <v>952.38000000000011</v>
      </c>
      <c r="Z34" s="134">
        <f t="shared" ca="1" si="30"/>
        <v>23.399455555555559</v>
      </c>
      <c r="AA34" s="134">
        <f t="shared" ca="1" si="9"/>
        <v>23.399455555555559</v>
      </c>
      <c r="AB34" s="134">
        <f ca="1">IF(R35=0,R34*Q12,(R33*20+R34*10))</f>
        <v>25417.399999999994</v>
      </c>
      <c r="AC34" s="134">
        <f t="shared" ca="1" si="10"/>
        <v>0</v>
      </c>
      <c r="AD34" s="134">
        <f t="shared" ca="1" si="11"/>
        <v>0</v>
      </c>
      <c r="AE34" s="134">
        <f t="shared" ca="1" si="33"/>
        <v>0</v>
      </c>
      <c r="AF34" s="134">
        <f t="shared" ca="1" si="12"/>
        <v>0</v>
      </c>
      <c r="AG34" s="134">
        <f t="shared" ca="1" si="31"/>
        <v>0</v>
      </c>
      <c r="AH34" s="134">
        <f t="shared" ca="1" si="13"/>
        <v>0</v>
      </c>
      <c r="AI34" s="134">
        <f t="shared" ca="1" si="14"/>
        <v>833.35999999999967</v>
      </c>
      <c r="AJ34" s="134">
        <f ca="1">IF(N35=1,AI33*G12*20/36000+AI34*G12*10/36000,IF(N35=0,IF(N34=0,0,AI34*G12*Q12/36000+AI33*G12*20/36000+AI34*G12*10/36000)))</f>
        <v>0</v>
      </c>
      <c r="AK34" s="134">
        <f ca="1">IF(N35=1,AI33*G12*20/36000+AI34*G12*10/36000,IF(N35=0,IF(N34=0,0,AI34*G12*Q12/36000+AI33*G12*20/36000+AI34*G12*10/36000)))</f>
        <v>0</v>
      </c>
      <c r="AL34" s="132">
        <f t="shared" ca="1" si="15"/>
        <v>10</v>
      </c>
      <c r="AM34" s="132">
        <f t="shared" ca="1" si="16"/>
        <v>10</v>
      </c>
      <c r="AN34" s="2">
        <f t="shared" ca="1" si="17"/>
        <v>2024</v>
      </c>
      <c r="AO34" s="2">
        <f t="shared" ca="1" si="0"/>
        <v>2024</v>
      </c>
      <c r="AP34" s="2">
        <f t="shared" ca="1" si="18"/>
        <v>1</v>
      </c>
      <c r="AQ34" s="2">
        <f t="shared" ca="1" si="19"/>
        <v>30</v>
      </c>
      <c r="AR34" s="2">
        <f t="shared" si="20"/>
        <v>20</v>
      </c>
      <c r="AS34" s="2">
        <f t="shared" ca="1" si="32"/>
        <v>30</v>
      </c>
      <c r="AT34" s="2"/>
      <c r="AU34" s="2"/>
      <c r="AV34" s="2"/>
      <c r="AW34" s="2"/>
      <c r="AX34" s="2"/>
      <c r="AY34" s="2">
        <f t="shared" ca="1" si="21"/>
        <v>1</v>
      </c>
      <c r="AZ34" s="2"/>
      <c r="BA34" s="2"/>
      <c r="BB34" s="2"/>
      <c r="BC34" s="2"/>
      <c r="BD34" s="2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22"/>
        <v>10</v>
      </c>
      <c r="B35" s="494">
        <f t="shared" ca="1" si="1"/>
        <v>45616</v>
      </c>
      <c r="C35" s="494"/>
      <c r="D35" s="269">
        <f ca="1">IF(N35=0,IF(N34=1,D26+D27+D28+D29+D30+D31+D32+D33+D34," "),IF(N35=0," ",IF(N36=1,D26,IF(N36=0,D10-D26*(M14-1)," "))))</f>
        <v>20.83</v>
      </c>
      <c r="E35" s="269"/>
      <c r="F35" s="87">
        <f ca="1">IF(N35=0,IF(N34=1,F26+F27+F28+F29+F30+F31+F32+F33+F34," "),IF(M1=1,P35,IF(M1=2,Q35," ")))</f>
        <v>19.971736111111102</v>
      </c>
      <c r="G35" s="87">
        <v>0</v>
      </c>
      <c r="H35" s="87">
        <f t="shared" ca="1" si="2"/>
        <v>40.801736111111097</v>
      </c>
      <c r="I35" s="87">
        <f t="shared" ca="1" si="3"/>
        <v>23.810000000000002</v>
      </c>
      <c r="J35" s="87">
        <f t="shared" ca="1" si="4"/>
        <v>22.824047222222227</v>
      </c>
      <c r="K35" s="87">
        <v>0</v>
      </c>
      <c r="L35" s="87">
        <f t="shared" ca="1" si="23"/>
        <v>46.634047222222229</v>
      </c>
      <c r="M35" s="2">
        <f t="shared" si="24"/>
        <v>10</v>
      </c>
      <c r="N35" s="2">
        <f ca="1">IF(M1=1,IF(M14&gt;9,1,0),IF(M1=2,IF(M14&gt;9,1,0),0))</f>
        <v>1</v>
      </c>
      <c r="O35" s="2">
        <f t="shared" ca="1" si="5"/>
        <v>20</v>
      </c>
      <c r="P35" s="134">
        <f t="shared" ca="1" si="6"/>
        <v>19.971736111111102</v>
      </c>
      <c r="Q35" s="134">
        <f t="shared" ca="1" si="7"/>
        <v>19.971736111111102</v>
      </c>
      <c r="R35" s="134">
        <f t="shared" ca="1" si="25"/>
        <v>812.52999999999963</v>
      </c>
      <c r="S35" s="134">
        <f t="shared" ca="1" si="26"/>
        <v>20.83</v>
      </c>
      <c r="T35" s="134">
        <f t="shared" ca="1" si="27"/>
        <v>20.83</v>
      </c>
      <c r="U35" s="134">
        <f ca="1">IF(N36=1,R34*D11*20/36000+R35*D11*10/36000,IF(N36=0,IF(N35=0,0,R35*D11*Q12/36000+29*D11*20/36000+R35*D11*10/36000)))</f>
        <v>19.971736111111102</v>
      </c>
      <c r="V35" s="134">
        <f ca="1">IF(N36=1,R34*D11*20/36000+R35*D11*10/36000,IF(N36=0,IF(N35=0,0,R35*D11*Q12/36000+29*D11*20/36000+R35*D11*10/36000)))</f>
        <v>19.971736111111102</v>
      </c>
      <c r="W35" s="134">
        <f t="shared" ca="1" si="28"/>
        <v>24.166666666666664</v>
      </c>
      <c r="X35" s="134">
        <f t="shared" ca="1" si="29"/>
        <v>20</v>
      </c>
      <c r="Y35" s="134">
        <f t="shared" ca="1" si="8"/>
        <v>928.57000000000016</v>
      </c>
      <c r="Z35" s="134">
        <f t="shared" ca="1" si="30"/>
        <v>22.824047222222227</v>
      </c>
      <c r="AA35" s="134">
        <f t="shared" ca="1" si="9"/>
        <v>22.824047222222227</v>
      </c>
      <c r="AB35" s="134">
        <f ca="1">IF(R36=0,R35*Q12,(R34*20+R35*10))</f>
        <v>24792.499999999989</v>
      </c>
      <c r="AC35" s="134">
        <f t="shared" ca="1" si="10"/>
        <v>0</v>
      </c>
      <c r="AD35" s="134">
        <f t="shared" ca="1" si="11"/>
        <v>0</v>
      </c>
      <c r="AE35" s="134">
        <f t="shared" ca="1" si="33"/>
        <v>0</v>
      </c>
      <c r="AF35" s="134">
        <f t="shared" ca="1" si="12"/>
        <v>0</v>
      </c>
      <c r="AG35" s="134">
        <f t="shared" ca="1" si="31"/>
        <v>0</v>
      </c>
      <c r="AH35" s="134">
        <f t="shared" ca="1" si="13"/>
        <v>0</v>
      </c>
      <c r="AI35" s="134">
        <f t="shared" ca="1" si="14"/>
        <v>812.52999999999963</v>
      </c>
      <c r="AJ35" s="134">
        <f ca="1">IF(N36=1,AI34*G12*20/36000+AI35*G12*10/36000,IF(N36=0,IF(N35=0,0,AI35*G12*Q12/36000+29*G12*20/36000+AI35*G12*10/36000)))</f>
        <v>0</v>
      </c>
      <c r="AK35" s="134">
        <f ca="1">IF(N36=1,AI34*G12*20/36000+AI35*G12*10/36000,IF(N36=0,IF(N35=0,0,AI35*G12*Q12/36000+29*G12*20/36000+AI35*G12*10/36000)))</f>
        <v>0</v>
      </c>
      <c r="AL35" s="132">
        <f t="shared" ca="1" si="15"/>
        <v>11</v>
      </c>
      <c r="AM35" s="132">
        <f t="shared" ca="1" si="16"/>
        <v>11</v>
      </c>
      <c r="AN35" s="2">
        <f t="shared" ca="1" si="17"/>
        <v>2024</v>
      </c>
      <c r="AO35" s="2">
        <f t="shared" ca="1" si="0"/>
        <v>2024</v>
      </c>
      <c r="AP35" s="2">
        <f t="shared" ca="1" si="18"/>
        <v>1</v>
      </c>
      <c r="AQ35" s="2">
        <f t="shared" ca="1" si="19"/>
        <v>30</v>
      </c>
      <c r="AR35" s="2">
        <f t="shared" si="20"/>
        <v>20</v>
      </c>
      <c r="AS35" s="2">
        <f t="shared" ca="1" si="32"/>
        <v>30</v>
      </c>
      <c r="AT35" s="2"/>
      <c r="AU35" s="2"/>
      <c r="AV35" s="2"/>
      <c r="AW35" s="2"/>
      <c r="AX35" s="2"/>
      <c r="AY35" s="2">
        <f t="shared" ca="1" si="21"/>
        <v>1</v>
      </c>
      <c r="AZ35" s="2"/>
      <c r="BA35" s="2"/>
      <c r="BB35" s="2"/>
      <c r="BC35" s="2"/>
      <c r="BD35" s="2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>A35+1</f>
        <v>11</v>
      </c>
      <c r="B36" s="494">
        <f t="shared" ca="1" si="1"/>
        <v>45646</v>
      </c>
      <c r="C36" s="494"/>
      <c r="D36" s="269">
        <f ca="1">IF(N36=0,IF(N35=1,D26+D27+D28+D29+D30+D31+D32+D33+D34+D35," "),IF(N36=0," ",IF(N37=1,D26,IF(N37=0,D10-D26*(M14-1)," "))))</f>
        <v>20.83</v>
      </c>
      <c r="E36" s="269"/>
      <c r="F36" s="87">
        <f ca="1">IF(N36=0,IF(N35=1,F26+F27+F28+F29+F30+F31+F32+F33+F34+F35," "),IF(M1=1,P36,IF(M1=2,Q36," ")))</f>
        <v>19.468344444444433</v>
      </c>
      <c r="G36" s="87">
        <v>0</v>
      </c>
      <c r="H36" s="87">
        <f t="shared" ca="1" si="2"/>
        <v>40.298344444444432</v>
      </c>
      <c r="I36" s="87">
        <f t="shared" ca="1" si="3"/>
        <v>23.810000000000002</v>
      </c>
      <c r="J36" s="87">
        <f t="shared" ca="1" si="4"/>
        <v>22.248638888888895</v>
      </c>
      <c r="K36" s="87">
        <v>0</v>
      </c>
      <c r="L36" s="87">
        <f t="shared" ca="1" si="23"/>
        <v>46.058638888888893</v>
      </c>
      <c r="M36" s="2">
        <f>M35+1</f>
        <v>11</v>
      </c>
      <c r="N36" s="2">
        <f ca="1">IF(M1=1,IF(M14&gt;10,1,0),IF(M1=2,IF(M14&gt;10,1,0),0))</f>
        <v>1</v>
      </c>
      <c r="O36" s="2">
        <f t="shared" ca="1" si="5"/>
        <v>20</v>
      </c>
      <c r="P36" s="134">
        <f t="shared" ca="1" si="6"/>
        <v>19.468344444444433</v>
      </c>
      <c r="Q36" s="134">
        <f t="shared" ca="1" si="7"/>
        <v>19.468344444444433</v>
      </c>
      <c r="R36" s="134">
        <f ca="1">IF(N36=0,0,R35-D35)</f>
        <v>791.69999999999959</v>
      </c>
      <c r="S36" s="134">
        <f t="shared" ca="1" si="26"/>
        <v>20.83</v>
      </c>
      <c r="T36" s="134">
        <f t="shared" ca="1" si="27"/>
        <v>20.83</v>
      </c>
      <c r="U36" s="134">
        <f ca="1">IF(N37=1,R35*D11*20/36000+R36*D11*10/36000,IF(N37=0,IF(N36=0,0,R36*D11*Q12/36000+R35*D11*20/36000+R36*D11*10/36000)))</f>
        <v>19.468344444444433</v>
      </c>
      <c r="V36" s="134">
        <f ca="1">IF(N37=1,R35*D11*20/36000+R36*D11*10/36000,IF(N37=0,IF(N36=0,0,R36*D11*Q12/36000+R35*D11*20/36000+R36*D11*10/36000)))</f>
        <v>19.468344444444433</v>
      </c>
      <c r="W36" s="134">
        <f t="shared" ca="1" si="28"/>
        <v>24.166666666666664</v>
      </c>
      <c r="X36" s="134">
        <f t="shared" ca="1" si="29"/>
        <v>20</v>
      </c>
      <c r="Y36" s="134">
        <f t="shared" ca="1" si="8"/>
        <v>904.76000000000022</v>
      </c>
      <c r="Z36" s="134">
        <f t="shared" ca="1" si="30"/>
        <v>22.248638888888895</v>
      </c>
      <c r="AA36" s="134">
        <f t="shared" ca="1" si="9"/>
        <v>22.248638888888895</v>
      </c>
      <c r="AB36" s="134">
        <f ca="1">IF(R37=0,R36*Q12,(R35*20+R36*10))</f>
        <v>24167.599999999991</v>
      </c>
      <c r="AC36" s="134">
        <f t="shared" ca="1" si="10"/>
        <v>0</v>
      </c>
      <c r="AD36" s="134">
        <f t="shared" ca="1" si="11"/>
        <v>0</v>
      </c>
      <c r="AE36" s="134">
        <f t="shared" ca="1" si="33"/>
        <v>0</v>
      </c>
      <c r="AF36" s="134">
        <f t="shared" ca="1" si="12"/>
        <v>0</v>
      </c>
      <c r="AG36" s="134">
        <f t="shared" ca="1" si="31"/>
        <v>0</v>
      </c>
      <c r="AH36" s="134">
        <f t="shared" ca="1" si="13"/>
        <v>0</v>
      </c>
      <c r="AI36" s="134">
        <f t="shared" ca="1" si="14"/>
        <v>791.69999999999959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15"/>
        <v>12</v>
      </c>
      <c r="AM36" s="132">
        <f t="shared" ca="1" si="16"/>
        <v>12</v>
      </c>
      <c r="AN36" s="2">
        <f t="shared" ca="1" si="17"/>
        <v>2024</v>
      </c>
      <c r="AO36" s="2">
        <f t="shared" ca="1" si="0"/>
        <v>2024</v>
      </c>
      <c r="AP36" s="2">
        <f t="shared" ca="1" si="18"/>
        <v>1</v>
      </c>
      <c r="AQ36" s="2">
        <f t="shared" ca="1" si="19"/>
        <v>30</v>
      </c>
      <c r="AR36" s="2">
        <f t="shared" si="20"/>
        <v>20</v>
      </c>
      <c r="AS36" s="2">
        <f t="shared" ca="1" si="32"/>
        <v>30</v>
      </c>
      <c r="AT36" s="2"/>
      <c r="AU36" s="2"/>
      <c r="AV36" s="2"/>
      <c r="AW36" s="2"/>
      <c r="AX36" s="2"/>
      <c r="AY36" s="2">
        <f t="shared" ca="1" si="21"/>
        <v>1</v>
      </c>
      <c r="AZ36" s="2"/>
      <c r="BA36" s="2"/>
      <c r="BB36" s="2"/>
      <c r="BC36" s="2"/>
      <c r="BD36" s="2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4">
        <f t="shared" si="22"/>
        <v>12</v>
      </c>
      <c r="B37" s="494">
        <f t="shared" ca="1" si="1"/>
        <v>45677</v>
      </c>
      <c r="C37" s="494"/>
      <c r="D37" s="269">
        <f ca="1">IF(N37=0,IF(N36=1,D26+D27+D28+D29+D30+D31+D32+D33+D34+D35+D36," "),IF(N37=0," ",IF(N38=1,D26,IF(N38=0,D10-D26*(M14-1)," "))))</f>
        <v>20.83</v>
      </c>
      <c r="E37" s="269"/>
      <c r="F37" s="87">
        <f ca="1">IF(N37=0,IF(N36=1,F26+F27+F28+F29+F30+F31+F32+F33+F34+F35+F36," "),IF(M1=1,P37,IF(M1=2,Q37," ")))</f>
        <v>18.964952777777768</v>
      </c>
      <c r="G37" s="87">
        <v>0</v>
      </c>
      <c r="H37" s="87">
        <f t="shared" ca="1" si="2"/>
        <v>39.794952777777766</v>
      </c>
      <c r="I37" s="87">
        <f t="shared" ca="1" si="3"/>
        <v>23.810000000000002</v>
      </c>
      <c r="J37" s="87">
        <f t="shared" ca="1" si="4"/>
        <v>21.673230555555563</v>
      </c>
      <c r="K37" s="87">
        <v>0</v>
      </c>
      <c r="L37" s="87">
        <f t="shared" ca="1" si="23"/>
        <v>45.483230555555565</v>
      </c>
      <c r="M37" s="2">
        <f t="shared" si="24"/>
        <v>12</v>
      </c>
      <c r="N37" s="2">
        <f ca="1">IF(M1=1,IF(M14&gt;11,1,0),IF(M1=2,IF(M14&gt;11,1,0),0))</f>
        <v>1</v>
      </c>
      <c r="O37" s="2">
        <f t="shared" ca="1" si="5"/>
        <v>20</v>
      </c>
      <c r="P37" s="134">
        <f t="shared" ca="1" si="6"/>
        <v>18.964952777777768</v>
      </c>
      <c r="Q37" s="134">
        <f t="shared" ca="1" si="7"/>
        <v>18.964952777777768</v>
      </c>
      <c r="R37" s="134">
        <f t="shared" ca="1" si="25"/>
        <v>770.86999999999955</v>
      </c>
      <c r="S37" s="134">
        <f t="shared" ca="1" si="26"/>
        <v>20.83</v>
      </c>
      <c r="T37" s="134">
        <f t="shared" ca="1" si="27"/>
        <v>20.83</v>
      </c>
      <c r="U37" s="134">
        <f ca="1">IF(N38=1,R36*D11*20/36000+R37*D11*10/36000,IF(N38=0,IF(N37=0,0,R37*D11*Q12/36000+R36*D11*20/36000+R37*D11*10/36000)))</f>
        <v>18.964952777777768</v>
      </c>
      <c r="V37" s="134">
        <f ca="1">IF(N38=1,R36*D11*20/36000+R37*D11*10/36000,IF(N38=0,IF(N37=0,0,R37*D11*Q12/36000+R36*D11*20/36000+R37*D11*10/36000)))</f>
        <v>18.964952777777768</v>
      </c>
      <c r="W37" s="134">
        <f t="shared" ca="1" si="28"/>
        <v>24.166666666666664</v>
      </c>
      <c r="X37" s="134">
        <f t="shared" ca="1" si="29"/>
        <v>20</v>
      </c>
      <c r="Y37" s="134">
        <f t="shared" ca="1" si="8"/>
        <v>880.95000000000027</v>
      </c>
      <c r="Z37" s="134">
        <f t="shared" ca="1" si="30"/>
        <v>21.673230555555563</v>
      </c>
      <c r="AA37" s="134">
        <f t="shared" ca="1" si="9"/>
        <v>21.673230555555563</v>
      </c>
      <c r="AB37" s="134">
        <f ca="1">IF(R38=0,R37*Q12,(R36*20+R37*10))</f>
        <v>23542.69999999999</v>
      </c>
      <c r="AC37" s="134">
        <f t="shared" ca="1" si="10"/>
        <v>0</v>
      </c>
      <c r="AD37" s="134">
        <f t="shared" ca="1" si="11"/>
        <v>0</v>
      </c>
      <c r="AE37" s="134">
        <f t="shared" ca="1" si="33"/>
        <v>0</v>
      </c>
      <c r="AF37" s="134">
        <f t="shared" ca="1" si="12"/>
        <v>0</v>
      </c>
      <c r="AG37" s="134">
        <f t="shared" ca="1" si="31"/>
        <v>0</v>
      </c>
      <c r="AH37" s="134">
        <f t="shared" ca="1" si="13"/>
        <v>0</v>
      </c>
      <c r="AI37" s="134">
        <f t="shared" ca="1" si="14"/>
        <v>770.86999999999955</v>
      </c>
      <c r="AJ37" s="134">
        <f ca="1">IF(N38=1,AI36*G12*20/36000+AI37*G12*10/36000,IF(N38=0,IF(N37=0,0,AI37*G12*Q12/36000+AI36*G12*20/36000+AI37*G12*10/36000)))</f>
        <v>0</v>
      </c>
      <c r="AK37" s="134">
        <f ca="1">IF(N38=1,AI36*G12*20/36000+AI37*G12*10/36000,IF(N38=0,IF(N37=0,0,AI37*G12*Q12/36000+AI36*G12*20/36000+AI37*G12*10/36000)))</f>
        <v>0</v>
      </c>
      <c r="AL37" s="132">
        <f t="shared" ca="1" si="15"/>
        <v>13</v>
      </c>
      <c r="AM37" s="132">
        <f t="shared" ca="1" si="16"/>
        <v>1</v>
      </c>
      <c r="AN37" s="2">
        <f t="shared" ca="1" si="17"/>
        <v>2024</v>
      </c>
      <c r="AO37" s="2">
        <f t="shared" ca="1" si="0"/>
        <v>2025</v>
      </c>
      <c r="AP37" s="2">
        <f t="shared" ca="1" si="18"/>
        <v>1</v>
      </c>
      <c r="AQ37" s="2">
        <f t="shared" ca="1" si="19"/>
        <v>30</v>
      </c>
      <c r="AR37" s="2">
        <f t="shared" si="20"/>
        <v>20</v>
      </c>
      <c r="AS37" s="2">
        <f t="shared" ca="1" si="32"/>
        <v>30</v>
      </c>
      <c r="AT37" s="2"/>
      <c r="AU37" s="2"/>
      <c r="AV37" s="2"/>
      <c r="AW37" s="2"/>
      <c r="AX37" s="2"/>
      <c r="AY37" s="2">
        <f t="shared" ca="1" si="21"/>
        <v>1</v>
      </c>
      <c r="AZ37" s="2"/>
      <c r="BA37" s="2"/>
      <c r="BB37" s="2"/>
      <c r="BC37" s="2"/>
      <c r="BD37" s="2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19">
        <f t="shared" si="22"/>
        <v>13</v>
      </c>
      <c r="B38" s="494">
        <f t="shared" ca="1" si="1"/>
        <v>45708</v>
      </c>
      <c r="C38" s="494"/>
      <c r="D38" s="269">
        <f ca="1">IF(N38=0,IF(N37=1,D26+D27+D28+D29+D30+D31+D32+D33+D34+D35+D36+D37," "),IF(N38=0," ",IF(N39=1,D26,IF(N39=0,D10-D26*(M14-1)," "))))</f>
        <v>20.83</v>
      </c>
      <c r="E38" s="269"/>
      <c r="F38" s="87">
        <f ca="1">IF(N38=0,IF(N37=1,F26+F27+F28+F29+F30+F31+F32+F33+F34+F35+F36+F37," "),IF(M1=1,P38,IF(M1=2,Q38," ")))</f>
        <v>18.461561111111099</v>
      </c>
      <c r="G38" s="87">
        <v>0</v>
      </c>
      <c r="H38" s="87">
        <f t="shared" ca="1" si="2"/>
        <v>39.291561111111093</v>
      </c>
      <c r="I38" s="87">
        <f t="shared" ca="1" si="3"/>
        <v>23.810000000000002</v>
      </c>
      <c r="J38" s="87">
        <f t="shared" ca="1" si="4"/>
        <v>21.097822222222227</v>
      </c>
      <c r="K38" s="87">
        <v>0</v>
      </c>
      <c r="L38" s="87">
        <f t="shared" ca="1" si="23"/>
        <v>44.907822222222229</v>
      </c>
      <c r="M38" s="2">
        <f t="shared" si="24"/>
        <v>13</v>
      </c>
      <c r="N38" s="2">
        <f ca="1">IF(M1=1,IF(M14&gt;12,1,0),IF(M1=2,IF(M14&gt;12,1,0),0))</f>
        <v>1</v>
      </c>
      <c r="O38" s="2">
        <f t="shared" ca="1" si="5"/>
        <v>20</v>
      </c>
      <c r="P38" s="134">
        <f t="shared" ca="1" si="6"/>
        <v>18.461561111111099</v>
      </c>
      <c r="Q38" s="134">
        <f t="shared" ca="1" si="7"/>
        <v>18.461561111111099</v>
      </c>
      <c r="R38" s="134">
        <f t="shared" ca="1" si="25"/>
        <v>750.03999999999951</v>
      </c>
      <c r="S38" s="134">
        <f t="shared" ca="1" si="26"/>
        <v>20.83</v>
      </c>
      <c r="T38" s="134">
        <f t="shared" ca="1" si="27"/>
        <v>20.83</v>
      </c>
      <c r="U38" s="134">
        <f ca="1">IF(N39=1,R37*D$11*20/36000+R38*D$11*10/36000,IF(N39=0,IF(N38=0,0,IF(D$16&gt;20,R37*D$11*20/36000+R38*D$11*(Q$12-20)/36000,R38*D$11*Q$12/36000))))</f>
        <v>18.461561111111099</v>
      </c>
      <c r="V38" s="134">
        <f ca="1">IF(N39=1,R37*D$11*20/36000+R38*D$11*10/36000,IF(N39=0,IF(N38=0,0,IF(D$16&gt;20,R37*D$11*20/36000+R38*D$11*(Q$12-20)/36000,R38*D$11*Q$12/36000))))</f>
        <v>18.461561111111099</v>
      </c>
      <c r="W38" s="134">
        <f t="shared" ca="1" si="28"/>
        <v>24.166666666666664</v>
      </c>
      <c r="X38" s="134">
        <f t="shared" ca="1" si="29"/>
        <v>20</v>
      </c>
      <c r="Y38" s="134">
        <f t="shared" ca="1" si="8"/>
        <v>857.14000000000033</v>
      </c>
      <c r="Z38" s="134">
        <f ca="1">IF(N39=1,Y37*D$11*20/36000+Y38*D$11*10/36000,IF(N39=0,IF(N38=0,0,IF(D$16&gt;20,Y37*D$11*20/36000+Y38*D$11*(Q$12-20)/36000,Y38*D$11*Q$12/36000))))</f>
        <v>21.097822222222227</v>
      </c>
      <c r="AA38" s="134">
        <f t="shared" ca="1" si="9"/>
        <v>21.097822222222227</v>
      </c>
      <c r="AB38" s="134">
        <f ca="1">IF(R39=0,R38*Q12,(R37*20+R38*10))</f>
        <v>22917.799999999985</v>
      </c>
      <c r="AC38" s="134">
        <f t="shared" ca="1" si="10"/>
        <v>0</v>
      </c>
      <c r="AD38" s="134">
        <f t="shared" ca="1" si="11"/>
        <v>0</v>
      </c>
      <c r="AE38" s="134">
        <f t="shared" ca="1" si="33"/>
        <v>0</v>
      </c>
      <c r="AF38" s="134">
        <f t="shared" ca="1" si="12"/>
        <v>0</v>
      </c>
      <c r="AG38" s="134">
        <f t="shared" ca="1" si="31"/>
        <v>0</v>
      </c>
      <c r="AH38" s="134">
        <f t="shared" ca="1" si="13"/>
        <v>0</v>
      </c>
      <c r="AI38" s="134">
        <f t="shared" ca="1" si="14"/>
        <v>750.03999999999951</v>
      </c>
      <c r="AJ38" s="134">
        <f ca="1">IF(N39=1,AI37*G12*20/36000+AI38*G12*10/36000,IF(N39=0,IF(N38=0,0,AI38*G12*Q12/36000)))</f>
        <v>0</v>
      </c>
      <c r="AK38" s="134">
        <f ca="1">IF(N39=1,AI37*G12*20/36000+AI38*G12*10/36000,IF(N39=0,IF(N38=0,0,AI38*G12*Q12/36000)))</f>
        <v>0</v>
      </c>
      <c r="AL38" s="132">
        <f t="shared" ca="1" si="15"/>
        <v>2</v>
      </c>
      <c r="AM38" s="132">
        <f t="shared" ca="1" si="16"/>
        <v>2</v>
      </c>
      <c r="AN38" s="2">
        <f t="shared" ca="1" si="17"/>
        <v>2025</v>
      </c>
      <c r="AO38" s="2">
        <f t="shared" ca="1" si="0"/>
        <v>2025</v>
      </c>
      <c r="AP38" s="2">
        <f t="shared" ca="1" si="18"/>
        <v>0</v>
      </c>
      <c r="AQ38" s="2">
        <f t="shared" ca="1" si="19"/>
        <v>28</v>
      </c>
      <c r="AR38" s="2">
        <f t="shared" si="20"/>
        <v>20</v>
      </c>
      <c r="AS38" s="2">
        <f t="shared" ca="1" si="32"/>
        <v>30</v>
      </c>
      <c r="AT38" s="2"/>
      <c r="AU38" s="2"/>
      <c r="AV38" s="2"/>
      <c r="AW38" s="2"/>
      <c r="AX38" s="2"/>
      <c r="AY38" s="2">
        <f t="shared" ca="1" si="21"/>
        <v>1</v>
      </c>
      <c r="AZ38" s="2"/>
      <c r="BA38" s="2"/>
      <c r="BB38" s="2"/>
      <c r="BC38" s="2"/>
      <c r="BD38" s="2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22"/>
        <v>14</v>
      </c>
      <c r="B39" s="494">
        <f t="shared" ca="1" si="1"/>
        <v>45736</v>
      </c>
      <c r="C39" s="494"/>
      <c r="D39" s="269">
        <f ca="1">IF(N39=0,IF(N38=1,D26+D27+D28+D29+D30+D31+D32+D33+D34+D35+D36+D37+D38," "),IF(N39=0," ",IF(N40=1,D26,IF(N40=0,D10-D26*(M14-1)," "))))</f>
        <v>20.83</v>
      </c>
      <c r="E39" s="269"/>
      <c r="F39" s="87">
        <f ca="1">IF(N39=0,IF(N38=1,F26+F27+F28+F29+F30+F31+F32+F33+F34+F35+F36+F37+F38," "),IF(M1=1,P39,IF(M1=2,Q39," ")))</f>
        <v>17.958169444444433</v>
      </c>
      <c r="G39" s="87">
        <v>0</v>
      </c>
      <c r="H39" s="87">
        <f t="shared" ca="1" si="2"/>
        <v>38.788169444444435</v>
      </c>
      <c r="I39" s="87">
        <f t="shared" ca="1" si="3"/>
        <v>23.810000000000002</v>
      </c>
      <c r="J39" s="87">
        <f t="shared" ca="1" si="4"/>
        <v>20.522413888888899</v>
      </c>
      <c r="K39" s="87">
        <v>0</v>
      </c>
      <c r="L39" s="87">
        <f t="shared" ca="1" si="23"/>
        <v>44.332413888888901</v>
      </c>
      <c r="M39" s="2">
        <f t="shared" si="24"/>
        <v>14</v>
      </c>
      <c r="N39" s="2">
        <f ca="1">IF(M1=1,IF(M14&gt;13,1,0),IF(M1=2,IF(M14&gt;13,1,0),0))</f>
        <v>1</v>
      </c>
      <c r="O39" s="2">
        <f t="shared" ca="1" si="5"/>
        <v>20</v>
      </c>
      <c r="P39" s="134">
        <f t="shared" ca="1" si="6"/>
        <v>17.958169444444433</v>
      </c>
      <c r="Q39" s="134">
        <f t="shared" ca="1" si="7"/>
        <v>17.958169444444433</v>
      </c>
      <c r="R39" s="134">
        <f t="shared" ca="1" si="25"/>
        <v>729.20999999999947</v>
      </c>
      <c r="S39" s="134">
        <f t="shared" ca="1" si="26"/>
        <v>20.83</v>
      </c>
      <c r="T39" s="134">
        <f t="shared" ca="1" si="27"/>
        <v>20.83</v>
      </c>
      <c r="U39" s="134">
        <f ca="1">IF(N40=1,R38*D11*20/36000+R39*D11*10/36000,IF(N40=0,IF(N39=0,0,R39*D11*Q12/36000+R38*D11*20/36000+R39*D11*10/36000)))</f>
        <v>17.958169444444433</v>
      </c>
      <c r="V39" s="134">
        <f ca="1">IF(N40=1,R38*D11*20/36000+R39*D11*10/36000,IF(N40=0,IF(N39=0,0,R39*D11*Q12/36000+R38*D11*20/36000+R39*D11*10/36000)))</f>
        <v>17.958169444444433</v>
      </c>
      <c r="W39" s="134">
        <f t="shared" ca="1" si="28"/>
        <v>24.166666666666664</v>
      </c>
      <c r="X39" s="134">
        <f t="shared" ca="1" si="29"/>
        <v>20</v>
      </c>
      <c r="Y39" s="134">
        <f t="shared" ca="1" si="8"/>
        <v>833.33000000000038</v>
      </c>
      <c r="Z39" s="134">
        <f t="shared" ca="1" si="30"/>
        <v>20.522413888888899</v>
      </c>
      <c r="AA39" s="134">
        <f t="shared" ca="1" si="9"/>
        <v>20.522413888888899</v>
      </c>
      <c r="AB39" s="134">
        <f ca="1">IF(R40=0,R39*Q12,(R38*20+R39*10))</f>
        <v>22292.899999999987</v>
      </c>
      <c r="AC39" s="134">
        <f t="shared" ca="1" si="10"/>
        <v>0</v>
      </c>
      <c r="AD39" s="134">
        <f t="shared" ca="1" si="11"/>
        <v>0</v>
      </c>
      <c r="AE39" s="134">
        <f t="shared" ca="1" si="33"/>
        <v>0</v>
      </c>
      <c r="AF39" s="134">
        <f t="shared" ca="1" si="12"/>
        <v>0</v>
      </c>
      <c r="AG39" s="134">
        <f t="shared" ca="1" si="31"/>
        <v>0</v>
      </c>
      <c r="AH39" s="134">
        <f t="shared" ca="1" si="13"/>
        <v>0</v>
      </c>
      <c r="AI39" s="134">
        <f t="shared" ca="1" si="14"/>
        <v>729.20999999999947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15"/>
        <v>3</v>
      </c>
      <c r="AM39" s="132">
        <f t="shared" ca="1" si="16"/>
        <v>3</v>
      </c>
      <c r="AN39" s="2">
        <f t="shared" ca="1" si="17"/>
        <v>2025</v>
      </c>
      <c r="AO39" s="2">
        <f t="shared" ca="1" si="0"/>
        <v>2025</v>
      </c>
      <c r="AP39" s="2">
        <f t="shared" ca="1" si="18"/>
        <v>0</v>
      </c>
      <c r="AQ39" s="2">
        <f t="shared" ca="1" si="19"/>
        <v>30</v>
      </c>
      <c r="AR39" s="2">
        <f t="shared" si="20"/>
        <v>20</v>
      </c>
      <c r="AS39" s="2">
        <f t="shared" ca="1" si="32"/>
        <v>28</v>
      </c>
      <c r="AT39" s="2"/>
      <c r="AU39" s="2"/>
      <c r="AV39" s="2"/>
      <c r="AW39" s="2"/>
      <c r="AX39" s="2"/>
      <c r="AY39" s="2">
        <f t="shared" ca="1" si="21"/>
        <v>1</v>
      </c>
      <c r="AZ39" s="2"/>
      <c r="BA39" s="2"/>
      <c r="BB39" s="2"/>
      <c r="BC39" s="2"/>
      <c r="BD39" s="2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22"/>
        <v>15</v>
      </c>
      <c r="B40" s="494">
        <f t="shared" ca="1" si="1"/>
        <v>45767</v>
      </c>
      <c r="C40" s="494"/>
      <c r="D40" s="269">
        <f ca="1">IF(N40=0,IF(N39=1,D26+D27+D28+D29+D30+D31+D32+D33+D34+D35+D36+D37+D38+D39," "),IF(N40=0," ",IF(N41=1,D26,IF(N41=0,D10-D26*(M14-1)," "))))</f>
        <v>20.83</v>
      </c>
      <c r="E40" s="269"/>
      <c r="F40" s="87">
        <f ca="1">IF(N40=0,IF(N39=1,F26+F27+F28+F29+F30+F31+F32+F33+F34+F35+F36+F37+F38+F39," "),IF(M1=1,P40,IF(M1=2,Q40," ")))</f>
        <v>17.454777777777764</v>
      </c>
      <c r="G40" s="87">
        <v>0</v>
      </c>
      <c r="H40" s="87">
        <f t="shared" ca="1" si="2"/>
        <v>38.284777777777762</v>
      </c>
      <c r="I40" s="87">
        <f t="shared" ca="1" si="3"/>
        <v>23.810000000000002</v>
      </c>
      <c r="J40" s="87">
        <f t="shared" ca="1" si="4"/>
        <v>19.947005555555563</v>
      </c>
      <c r="K40" s="87">
        <v>0</v>
      </c>
      <c r="L40" s="87">
        <f t="shared" ca="1" si="23"/>
        <v>43.757005555555565</v>
      </c>
      <c r="M40" s="2">
        <f t="shared" si="24"/>
        <v>15</v>
      </c>
      <c r="N40" s="2">
        <f ca="1">IF(M1=1,IF(M14&gt;14,1,0),IF(M1=2,IF(M14&gt;14,1,0),0))</f>
        <v>1</v>
      </c>
      <c r="O40" s="2">
        <f t="shared" ca="1" si="5"/>
        <v>20</v>
      </c>
      <c r="P40" s="134">
        <f t="shared" ca="1" si="6"/>
        <v>17.454777777777764</v>
      </c>
      <c r="Q40" s="134">
        <f t="shared" ca="1" si="7"/>
        <v>17.454777777777764</v>
      </c>
      <c r="R40" s="134">
        <f t="shared" ca="1" si="25"/>
        <v>708.37999999999943</v>
      </c>
      <c r="S40" s="134">
        <f t="shared" ca="1" si="26"/>
        <v>20.83</v>
      </c>
      <c r="T40" s="134">
        <f t="shared" ca="1" si="27"/>
        <v>20.83</v>
      </c>
      <c r="U40" s="134">
        <f ca="1">IF(N41=1,R39*D11*20/36000+R40*D11*10/36000,IF(N41=0,IF(N40=0,0,R40*D11*Q12/36000+R39*D11*20/36000+R40*D11*10/36000)))</f>
        <v>17.454777777777764</v>
      </c>
      <c r="V40" s="134">
        <f ca="1">IF(N41=1,R39*D11*20/36000+R40*D11*10/36000,IF(N41=0,IF(N40=0,0,R40*D11*Q12/36000+R39*D11*20/36000+R40*D11*10/36000)))</f>
        <v>17.454777777777764</v>
      </c>
      <c r="W40" s="134">
        <f t="shared" ca="1" si="28"/>
        <v>24.166666666666664</v>
      </c>
      <c r="X40" s="134">
        <f t="shared" ca="1" si="29"/>
        <v>20</v>
      </c>
      <c r="Y40" s="134">
        <f t="shared" ca="1" si="8"/>
        <v>809.52000000000044</v>
      </c>
      <c r="Z40" s="134">
        <f t="shared" ca="1" si="30"/>
        <v>19.947005555555563</v>
      </c>
      <c r="AA40" s="134">
        <f t="shared" ca="1" si="9"/>
        <v>19.947005555555563</v>
      </c>
      <c r="AB40" s="134">
        <f ca="1">IF(R41=0,R40*Q12,(R39*20+R40*10))</f>
        <v>21667.999999999985</v>
      </c>
      <c r="AC40" s="134">
        <f t="shared" ca="1" si="10"/>
        <v>0</v>
      </c>
      <c r="AD40" s="134">
        <f t="shared" ca="1" si="11"/>
        <v>0</v>
      </c>
      <c r="AE40" s="134">
        <f t="shared" ca="1" si="33"/>
        <v>0</v>
      </c>
      <c r="AF40" s="134">
        <f t="shared" ca="1" si="12"/>
        <v>0</v>
      </c>
      <c r="AG40" s="134">
        <f t="shared" ca="1" si="31"/>
        <v>0</v>
      </c>
      <c r="AH40" s="134">
        <f t="shared" ca="1" si="13"/>
        <v>0</v>
      </c>
      <c r="AI40" s="134">
        <f t="shared" ca="1" si="14"/>
        <v>708.37999999999943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15"/>
        <v>4</v>
      </c>
      <c r="AM40" s="132">
        <f t="shared" ca="1" si="16"/>
        <v>4</v>
      </c>
      <c r="AN40" s="2">
        <f t="shared" ca="1" si="17"/>
        <v>2025</v>
      </c>
      <c r="AO40" s="2">
        <f t="shared" ca="1" si="0"/>
        <v>2025</v>
      </c>
      <c r="AP40" s="2">
        <f t="shared" ca="1" si="18"/>
        <v>0</v>
      </c>
      <c r="AQ40" s="2">
        <f t="shared" ca="1" si="19"/>
        <v>30</v>
      </c>
      <c r="AR40" s="2">
        <f t="shared" si="20"/>
        <v>20</v>
      </c>
      <c r="AS40" s="2">
        <f t="shared" ca="1" si="32"/>
        <v>30</v>
      </c>
      <c r="AT40" s="2"/>
      <c r="AU40" s="2"/>
      <c r="AV40" s="2"/>
      <c r="AW40" s="2"/>
      <c r="AX40" s="2"/>
      <c r="AY40" s="2">
        <f t="shared" ca="1" si="21"/>
        <v>1</v>
      </c>
      <c r="AZ40" s="2"/>
      <c r="BA40" s="2"/>
      <c r="BB40" s="2"/>
      <c r="BC40" s="2"/>
      <c r="BD40" s="2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22"/>
        <v>16</v>
      </c>
      <c r="B41" s="494">
        <f t="shared" ca="1" si="1"/>
        <v>45797</v>
      </c>
      <c r="C41" s="494"/>
      <c r="D41" s="269">
        <f ca="1">IF(N41=0,IF(N40=1,D26+D27+D28+D29+D30+D31+D32+D33+D34+D35+D36+D37+D38+D39+D40," "),IF(N41=0," ",IF(N42=1,D26,IF(N42=0,D10-D26*(M14-1)," "))))</f>
        <v>20.83</v>
      </c>
      <c r="E41" s="269"/>
      <c r="F41" s="87">
        <f ca="1">IF(N41=0,IF(N40=1,F26+F27+F28+F29+F30+F31+F32+F33+F34+F35+F36+F37+F38+F39+F40," "),IF(M1=1,P41,IF(M1=2,Q41," ")))</f>
        <v>16.951386111111098</v>
      </c>
      <c r="G41" s="87">
        <v>0</v>
      </c>
      <c r="H41" s="87">
        <f t="shared" ca="1" si="2"/>
        <v>37.781386111111097</v>
      </c>
      <c r="I41" s="87">
        <f t="shared" ca="1" si="3"/>
        <v>23.810000000000002</v>
      </c>
      <c r="J41" s="87">
        <f t="shared" ca="1" si="4"/>
        <v>19.371597222222235</v>
      </c>
      <c r="K41" s="87">
        <v>0</v>
      </c>
      <c r="L41" s="87">
        <f t="shared" ca="1" si="23"/>
        <v>43.181597222222237</v>
      </c>
      <c r="M41" s="2">
        <f t="shared" si="24"/>
        <v>16</v>
      </c>
      <c r="N41" s="2">
        <f ca="1">IF(M1=1,IF(M14&gt;15,1,0),IF(M1=2,IF(M14&gt;15,1,0),0))</f>
        <v>1</v>
      </c>
      <c r="O41" s="2">
        <f t="shared" ca="1" si="5"/>
        <v>20</v>
      </c>
      <c r="P41" s="134">
        <f t="shared" ca="1" si="6"/>
        <v>16.951386111111098</v>
      </c>
      <c r="Q41" s="134">
        <f t="shared" ca="1" si="7"/>
        <v>16.951386111111098</v>
      </c>
      <c r="R41" s="134">
        <f t="shared" ca="1" si="25"/>
        <v>687.54999999999939</v>
      </c>
      <c r="S41" s="134">
        <f t="shared" ca="1" si="26"/>
        <v>20.83</v>
      </c>
      <c r="T41" s="134">
        <f t="shared" ca="1" si="27"/>
        <v>20.83</v>
      </c>
      <c r="U41" s="134">
        <f ca="1">IF(N42=1,R40*D11*20/36000+R41*D11*10/36000,IF(N42=0,IF(N41=0,0,R41*D11*Q12/36000+R40*D11*20/36000+R41*D11*10/36000)))</f>
        <v>16.951386111111098</v>
      </c>
      <c r="V41" s="134">
        <f ca="1">IF(N42=1,R40*D11*20/36000+R41*D11*10/36000,IF(N42=0,IF(N41=0,0,R41*D11*Q12/36000+R40*D11*20/36000+R41*D11*10/36000)))</f>
        <v>16.951386111111098</v>
      </c>
      <c r="W41" s="134">
        <f t="shared" ca="1" si="28"/>
        <v>24.166666666666664</v>
      </c>
      <c r="X41" s="134">
        <f t="shared" ca="1" si="29"/>
        <v>20</v>
      </c>
      <c r="Y41" s="134">
        <f t="shared" ca="1" si="8"/>
        <v>785.71000000000049</v>
      </c>
      <c r="Z41" s="134">
        <f t="shared" ca="1" si="30"/>
        <v>19.371597222222235</v>
      </c>
      <c r="AA41" s="134">
        <f t="shared" ca="1" si="9"/>
        <v>19.371597222222235</v>
      </c>
      <c r="AB41" s="134">
        <f ca="1">IF(R42=0,R41*Q12,(R40*20+R41*10))</f>
        <v>21043.09999999998</v>
      </c>
      <c r="AC41" s="134">
        <f t="shared" ca="1" si="10"/>
        <v>0</v>
      </c>
      <c r="AD41" s="134">
        <f t="shared" ca="1" si="11"/>
        <v>0</v>
      </c>
      <c r="AE41" s="134">
        <f t="shared" ca="1" si="33"/>
        <v>0</v>
      </c>
      <c r="AF41" s="134">
        <f t="shared" ca="1" si="12"/>
        <v>0</v>
      </c>
      <c r="AG41" s="134">
        <f t="shared" ca="1" si="31"/>
        <v>0</v>
      </c>
      <c r="AH41" s="134">
        <f t="shared" ca="1" si="13"/>
        <v>0</v>
      </c>
      <c r="AI41" s="134">
        <f t="shared" ca="1" si="14"/>
        <v>687.54999999999939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15"/>
        <v>5</v>
      </c>
      <c r="AM41" s="132">
        <f t="shared" ca="1" si="16"/>
        <v>5</v>
      </c>
      <c r="AN41" s="2">
        <f t="shared" ca="1" si="17"/>
        <v>2025</v>
      </c>
      <c r="AO41" s="2">
        <f t="shared" ca="1" si="0"/>
        <v>2025</v>
      </c>
      <c r="AP41" s="2">
        <f t="shared" ca="1" si="18"/>
        <v>0</v>
      </c>
      <c r="AQ41" s="2">
        <f t="shared" ca="1" si="19"/>
        <v>30</v>
      </c>
      <c r="AR41" s="2">
        <f t="shared" si="20"/>
        <v>20</v>
      </c>
      <c r="AS41" s="2">
        <f t="shared" ca="1" si="32"/>
        <v>30</v>
      </c>
      <c r="AT41" s="2"/>
      <c r="AU41" s="2"/>
      <c r="AV41" s="2"/>
      <c r="AW41" s="2"/>
      <c r="AX41" s="2"/>
      <c r="AY41" s="2">
        <f t="shared" ca="1" si="21"/>
        <v>1</v>
      </c>
      <c r="AZ41" s="2"/>
      <c r="BA41" s="2"/>
      <c r="BB41" s="2"/>
      <c r="BC41" s="2"/>
      <c r="BD41" s="2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22"/>
        <v>17</v>
      </c>
      <c r="B42" s="494">
        <f t="shared" ca="1" si="1"/>
        <v>45828</v>
      </c>
      <c r="C42" s="494"/>
      <c r="D42" s="269">
        <f ca="1">IF(N42=0,IF(N41=1,D26+D27+D28+D29+D30+D31+D32+D33+D34+D35+D36+D37+D38+D39+D40+D41," "),IF(N42=0," ",IF(N43=1,D26,IF(N43=0,D10-D26*(M14-1)," "))))</f>
        <v>20.83</v>
      </c>
      <c r="E42" s="269"/>
      <c r="F42" s="87">
        <f ca="1">IF(N42=0,IF(N41=1,F26+F27+F28+F29+F30+F31+F32+F33+F34+F35+F37+F36+F38+F39+F40+F41," "),IF(M1=1,P42,IF(M1=2,Q42," ")))</f>
        <v>16.447994444444429</v>
      </c>
      <c r="G42" s="87">
        <v>0</v>
      </c>
      <c r="H42" s="87">
        <f t="shared" ca="1" si="2"/>
        <v>37.277994444444431</v>
      </c>
      <c r="I42" s="87">
        <f t="shared" ca="1" si="3"/>
        <v>23.810000000000002</v>
      </c>
      <c r="J42" s="87">
        <f t="shared" ca="1" si="4"/>
        <v>18.796188888888903</v>
      </c>
      <c r="K42" s="87">
        <v>0</v>
      </c>
      <c r="L42" s="87">
        <f t="shared" ca="1" si="23"/>
        <v>42.606188888888909</v>
      </c>
      <c r="M42" s="2">
        <f t="shared" si="24"/>
        <v>17</v>
      </c>
      <c r="N42" s="2">
        <f ca="1">IF(M1=1,IF(M14&gt;16,1,0),IF(M1=2,IF(M14&gt;16,1,0),0))</f>
        <v>1</v>
      </c>
      <c r="O42" s="2">
        <f t="shared" ca="1" si="5"/>
        <v>20</v>
      </c>
      <c r="P42" s="134">
        <f t="shared" ca="1" si="6"/>
        <v>16.447994444444429</v>
      </c>
      <c r="Q42" s="134">
        <f t="shared" ca="1" si="7"/>
        <v>16.447994444444429</v>
      </c>
      <c r="R42" s="134">
        <f t="shared" ca="1" si="25"/>
        <v>666.71999999999935</v>
      </c>
      <c r="S42" s="134">
        <f t="shared" ca="1" si="26"/>
        <v>20.83</v>
      </c>
      <c r="T42" s="134">
        <f t="shared" ca="1" si="27"/>
        <v>20.83</v>
      </c>
      <c r="U42" s="134">
        <f ca="1">IF(N43=1,R41*D11*20/36000+R42*D11*10/36000,IF(N43=0,IF(N42=0,0,R42*D11*Q12/36000+R41*D11*20/36000+R42*D11*10/36000)))</f>
        <v>16.447994444444429</v>
      </c>
      <c r="V42" s="134">
        <f ca="1">IF(N43=1,R41*D11*20/36000+R42*D11*10/36000,IF(N43=0,IF(N42=0,0,R42*D11*Q12/36000+R41*D11*20/36000+R42*D11*10/36000)))</f>
        <v>16.447994444444429</v>
      </c>
      <c r="W42" s="134">
        <f t="shared" ca="1" si="28"/>
        <v>24.166666666666664</v>
      </c>
      <c r="X42" s="134">
        <f t="shared" ca="1" si="29"/>
        <v>20</v>
      </c>
      <c r="Y42" s="134">
        <f t="shared" ca="1" si="8"/>
        <v>761.90000000000055</v>
      </c>
      <c r="Z42" s="134">
        <f t="shared" ca="1" si="30"/>
        <v>18.796188888888903</v>
      </c>
      <c r="AA42" s="134">
        <f t="shared" ca="1" si="9"/>
        <v>18.796188888888903</v>
      </c>
      <c r="AB42" s="134">
        <f ca="1">IF(R43=0,R42*Q12,(R41*20+R42*10))</f>
        <v>20418.199999999983</v>
      </c>
      <c r="AC42" s="134">
        <f t="shared" ca="1" si="10"/>
        <v>0</v>
      </c>
      <c r="AD42" s="134">
        <f t="shared" ca="1" si="11"/>
        <v>0</v>
      </c>
      <c r="AE42" s="134">
        <f t="shared" ca="1" si="33"/>
        <v>0</v>
      </c>
      <c r="AF42" s="134">
        <f t="shared" ca="1" si="12"/>
        <v>0</v>
      </c>
      <c r="AG42" s="134">
        <f t="shared" ca="1" si="31"/>
        <v>0</v>
      </c>
      <c r="AH42" s="134">
        <f t="shared" ca="1" si="13"/>
        <v>0</v>
      </c>
      <c r="AI42" s="134">
        <f t="shared" ca="1" si="14"/>
        <v>666.71999999999935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15"/>
        <v>6</v>
      </c>
      <c r="AM42" s="132">
        <f t="shared" ca="1" si="16"/>
        <v>6</v>
      </c>
      <c r="AN42" s="2">
        <f t="shared" ca="1" si="17"/>
        <v>2025</v>
      </c>
      <c r="AO42" s="2">
        <f t="shared" ca="1" si="0"/>
        <v>2025</v>
      </c>
      <c r="AP42" s="2">
        <f t="shared" ca="1" si="18"/>
        <v>0</v>
      </c>
      <c r="AQ42" s="2">
        <f t="shared" ca="1" si="19"/>
        <v>30</v>
      </c>
      <c r="AR42" s="2">
        <f t="shared" si="20"/>
        <v>20</v>
      </c>
      <c r="AS42" s="2">
        <f t="shared" ca="1" si="32"/>
        <v>30</v>
      </c>
      <c r="AT42" s="2"/>
      <c r="AU42" s="2"/>
      <c r="AV42" s="2"/>
      <c r="AW42" s="2"/>
      <c r="AX42" s="2"/>
      <c r="AY42" s="2">
        <f t="shared" ca="1" si="21"/>
        <v>1</v>
      </c>
      <c r="AZ42" s="2"/>
      <c r="BA42" s="2"/>
      <c r="BB42" s="2"/>
      <c r="BC42" s="2"/>
      <c r="BD42" s="2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4">
        <f t="shared" si="22"/>
        <v>18</v>
      </c>
      <c r="B43" s="494">
        <f t="shared" ca="1" si="1"/>
        <v>45858</v>
      </c>
      <c r="C43" s="494"/>
      <c r="D43" s="269">
        <f ca="1">IF(N43=0,IF(N42=1,D26+D27+D28+D29+D30+D31+D32+D33+D34+D35+D36+D37+D38+D39+D40+D41+D42," "),IF(N43=0," ",IF(N44=1,D26,IF(N44=0,D10-D26*(M14-1)," "))))</f>
        <v>20.83</v>
      </c>
      <c r="E43" s="269"/>
      <c r="F43" s="87">
        <f ca="1">IF(N43=0,IF(N42=1,F26+F27+F28+F29+F30+F31+F32+F33+F34+F35+F36+F37+F38+F39+F40+F41+F42," "),IF(M1=1,P43,IF(M1=2,Q43," ")))</f>
        <v>15.944602777777762</v>
      </c>
      <c r="G43" s="87">
        <v>0</v>
      </c>
      <c r="H43" s="87">
        <f t="shared" ca="1" si="2"/>
        <v>36.774602777777758</v>
      </c>
      <c r="I43" s="87">
        <f t="shared" ca="1" si="3"/>
        <v>23.810000000000002</v>
      </c>
      <c r="J43" s="87">
        <f t="shared" ca="1" si="4"/>
        <v>18.220780555555571</v>
      </c>
      <c r="K43" s="87">
        <v>0</v>
      </c>
      <c r="L43" s="87">
        <f t="shared" ca="1" si="23"/>
        <v>42.030780555555573</v>
      </c>
      <c r="M43" s="2">
        <f t="shared" si="24"/>
        <v>18</v>
      </c>
      <c r="N43" s="2">
        <f ca="1">IF(M1=1,IF(M14&gt;17,1,0),IF(M1=2,IF(M14&gt;17,1,0),0))</f>
        <v>1</v>
      </c>
      <c r="O43" s="2">
        <f t="shared" ca="1" si="5"/>
        <v>20</v>
      </c>
      <c r="P43" s="134">
        <f t="shared" ca="1" si="6"/>
        <v>15.944602777777762</v>
      </c>
      <c r="Q43" s="134">
        <f t="shared" ca="1" si="7"/>
        <v>15.944602777777762</v>
      </c>
      <c r="R43" s="134">
        <f t="shared" ca="1" si="25"/>
        <v>645.8899999999993</v>
      </c>
      <c r="S43" s="134">
        <f t="shared" ca="1" si="26"/>
        <v>20.83</v>
      </c>
      <c r="T43" s="134">
        <f t="shared" ca="1" si="27"/>
        <v>20.83</v>
      </c>
      <c r="U43" s="134">
        <f ca="1">IF(N44=1,R42*D11*20/36000+R43*D11*10/36000,IF(N44=0,IF(N43=0,0,R43*D11*Q12/36000+R42*D11*20/36000+R43*D11*10/36000)))</f>
        <v>15.944602777777762</v>
      </c>
      <c r="V43" s="134">
        <f ca="1">IF(N44=1,R42*D11*20/36000+R43*D11*10/36000,IF(N44=0,IF(N43=0,0,R43*D11*Q12/36000+R42*D11*20/36000+R43*D11*10/36000)))</f>
        <v>15.944602777777762</v>
      </c>
      <c r="W43" s="134">
        <f t="shared" ca="1" si="28"/>
        <v>24.166666666666664</v>
      </c>
      <c r="X43" s="134">
        <f t="shared" ca="1" si="29"/>
        <v>20</v>
      </c>
      <c r="Y43" s="134">
        <f t="shared" ca="1" si="8"/>
        <v>738.0900000000006</v>
      </c>
      <c r="Z43" s="134">
        <f t="shared" ca="1" si="30"/>
        <v>18.220780555555571</v>
      </c>
      <c r="AA43" s="134">
        <f t="shared" ca="1" si="9"/>
        <v>18.220780555555571</v>
      </c>
      <c r="AB43" s="134">
        <f ca="1">IF(R44=0,R43*Q12,(R42*20+R43*10))</f>
        <v>19793.299999999981</v>
      </c>
      <c r="AC43" s="134">
        <f t="shared" ca="1" si="10"/>
        <v>0</v>
      </c>
      <c r="AD43" s="134">
        <f t="shared" ca="1" si="11"/>
        <v>0</v>
      </c>
      <c r="AE43" s="134">
        <f t="shared" ca="1" si="33"/>
        <v>0</v>
      </c>
      <c r="AF43" s="134">
        <f t="shared" ca="1" si="12"/>
        <v>0</v>
      </c>
      <c r="AG43" s="134">
        <f t="shared" ca="1" si="31"/>
        <v>0</v>
      </c>
      <c r="AH43" s="134">
        <f t="shared" ca="1" si="13"/>
        <v>0</v>
      </c>
      <c r="AI43" s="134">
        <f t="shared" ca="1" si="14"/>
        <v>645.8899999999993</v>
      </c>
      <c r="AJ43" s="134">
        <f ca="1">IF(N44=1,AI42*G12*20/36000+AI43*G12*10/36000,IF(N44=0,IF(N43=0,0,AI43*G12*Q12/36000+AI42*G12*20/36000+AI43*G12*10/36000)))</f>
        <v>0</v>
      </c>
      <c r="AK43" s="134">
        <f ca="1">IF(N44=1,AI42*G12*20/36000+AI43*G12*10/36000,IF(N44=0,IF(N43=0,0,AI43*G12*Q12/36000+AI42*G12*20/36000+AI43*G12*10/36000)))</f>
        <v>0</v>
      </c>
      <c r="AL43" s="132">
        <f t="shared" ca="1" si="15"/>
        <v>7</v>
      </c>
      <c r="AM43" s="132">
        <f t="shared" ca="1" si="16"/>
        <v>7</v>
      </c>
      <c r="AN43" s="2">
        <f t="shared" ca="1" si="17"/>
        <v>2025</v>
      </c>
      <c r="AO43" s="2">
        <f t="shared" ca="1" si="0"/>
        <v>2025</v>
      </c>
      <c r="AP43" s="2">
        <f t="shared" ca="1" si="18"/>
        <v>0</v>
      </c>
      <c r="AQ43" s="2">
        <f t="shared" ca="1" si="19"/>
        <v>30</v>
      </c>
      <c r="AR43" s="2">
        <f t="shared" si="20"/>
        <v>20</v>
      </c>
      <c r="AS43" s="2">
        <f t="shared" ca="1" si="32"/>
        <v>30</v>
      </c>
      <c r="AT43" s="2"/>
      <c r="AU43" s="2"/>
      <c r="AV43" s="2"/>
      <c r="AW43" s="2"/>
      <c r="AX43" s="2"/>
      <c r="AY43" s="2">
        <f t="shared" ca="1" si="21"/>
        <v>1</v>
      </c>
      <c r="AZ43" s="2"/>
      <c r="BA43" s="2"/>
      <c r="BB43" s="2"/>
      <c r="BC43" s="2"/>
      <c r="BD43" s="2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19">
        <f t="shared" si="22"/>
        <v>19</v>
      </c>
      <c r="B44" s="494">
        <f t="shared" ca="1" si="1"/>
        <v>45889</v>
      </c>
      <c r="C44" s="494"/>
      <c r="D44" s="269">
        <f ca="1">IF(N44=0,IF(N43=1,D26+D27+D28+D29+D30+D31+D32+D33+D34+D35+D36+D37+D38+D39+D40+D41+D42+D43," "),IF(N44=0," ",IF(N45=1,D26,IF(N45=0,D10-D26*(M14-1)," "))))</f>
        <v>20.83</v>
      </c>
      <c r="E44" s="269"/>
      <c r="F44" s="87">
        <f ca="1">IF(N44=0,IF(N43=1,F26+F27+F28+F29+F30+F31+F32+F33+F34+F35+F36+F37+F38+F39+F40+F41+F42+F43," "),IF(M1=1,P44,IF(M1=2,Q44," ")))</f>
        <v>15.441211111111095</v>
      </c>
      <c r="G44" s="87">
        <v>0</v>
      </c>
      <c r="H44" s="87">
        <f t="shared" ca="1" si="2"/>
        <v>36.271211111111093</v>
      </c>
      <c r="I44" s="87">
        <f t="shared" ca="1" si="3"/>
        <v>23.810000000000002</v>
      </c>
      <c r="J44" s="87">
        <f t="shared" ca="1" si="4"/>
        <v>17.645372222222235</v>
      </c>
      <c r="K44" s="87">
        <v>0</v>
      </c>
      <c r="L44" s="87">
        <f t="shared" ca="1" si="23"/>
        <v>41.455372222222238</v>
      </c>
      <c r="M44" s="2">
        <f t="shared" si="24"/>
        <v>19</v>
      </c>
      <c r="N44" s="2">
        <f ca="1">IF(M1=1,IF(M14&gt;18,1,0),IF(M1=2,IF(M14&gt;18,1,0),0))</f>
        <v>1</v>
      </c>
      <c r="O44" s="2">
        <f t="shared" ca="1" si="5"/>
        <v>20</v>
      </c>
      <c r="P44" s="134">
        <f t="shared" ca="1" si="6"/>
        <v>15.441211111111095</v>
      </c>
      <c r="Q44" s="134">
        <f t="shared" ca="1" si="7"/>
        <v>15.441211111111095</v>
      </c>
      <c r="R44" s="134">
        <f t="shared" ca="1" si="25"/>
        <v>625.05999999999926</v>
      </c>
      <c r="S44" s="134">
        <f t="shared" ca="1" si="26"/>
        <v>20.83</v>
      </c>
      <c r="T44" s="134">
        <f t="shared" ca="1" si="27"/>
        <v>20.83</v>
      </c>
      <c r="U44" s="134">
        <f ca="1">IF(N45=1,R43*D$11*20/36000+R44*D$11*10/36000,IF(N45=0,IF(N44=0,0,IF(D$16&gt;20,R43*D$11*20/36000+R44*D$11*(Q$12-20)/36000,R44*D$11*Q$12/36000))))</f>
        <v>15.441211111111095</v>
      </c>
      <c r="V44" s="134">
        <f ca="1">IF(N45=1,R43*D$11*20/36000+R44*D$11*10/36000,IF(N45=0,IF(N44=0,0,IF(D$16&gt;20,R43*D$11*20/36000+R44*D$11*(Q$12-20)/36000,R44*D$11*Q$12/36000))))</f>
        <v>15.441211111111095</v>
      </c>
      <c r="W44" s="134">
        <f t="shared" ca="1" si="28"/>
        <v>24.166666666666664</v>
      </c>
      <c r="X44" s="134">
        <f t="shared" ca="1" si="29"/>
        <v>20</v>
      </c>
      <c r="Y44" s="134">
        <f t="shared" ca="1" si="8"/>
        <v>714.28000000000065</v>
      </c>
      <c r="Z44" s="134">
        <f ca="1">IF(N45=1,Y43*D$11*20/36000+Y44*D$11*10/36000,IF(N45=0,IF(N44=0,0,IF(D$16&gt;20,Y43*D$11*20/36000+Y44*D$11*(Q$12-20)/36000,Y44*D$11*Q$12/36000))))</f>
        <v>17.645372222222235</v>
      </c>
      <c r="AA44" s="134">
        <f t="shared" ca="1" si="9"/>
        <v>17.645372222222235</v>
      </c>
      <c r="AB44" s="134">
        <f ca="1">IF(R45=0,R44*Q12,(R43*20+R44*10))</f>
        <v>19168.39999999998</v>
      </c>
      <c r="AC44" s="134">
        <f t="shared" ca="1" si="10"/>
        <v>0</v>
      </c>
      <c r="AD44" s="134">
        <f t="shared" ca="1" si="11"/>
        <v>0</v>
      </c>
      <c r="AE44" s="134">
        <f t="shared" ca="1" si="33"/>
        <v>0</v>
      </c>
      <c r="AF44" s="134">
        <f t="shared" ca="1" si="12"/>
        <v>0</v>
      </c>
      <c r="AG44" s="134">
        <f t="shared" ca="1" si="31"/>
        <v>0</v>
      </c>
      <c r="AH44" s="134">
        <f t="shared" ca="1" si="13"/>
        <v>0</v>
      </c>
      <c r="AI44" s="134">
        <f t="shared" ca="1" si="14"/>
        <v>625.05999999999926</v>
      </c>
      <c r="AJ44" s="134">
        <f ca="1">IF(N45=1,AI43*G$12*20/36000+AI44*G$12*10/36000,IF(N45=0,IF(N44=0,0,AI44*G$12*Q$12/36000)))</f>
        <v>0</v>
      </c>
      <c r="AK44" s="134">
        <f ca="1">IF(N45=1,AI43*G$12*20/36000+AI44*G$12*10/36000,IF(N45=0,IF(N44=0,0,AI44*G$12*Q$12/36000)))</f>
        <v>0</v>
      </c>
      <c r="AL44" s="132">
        <f t="shared" ca="1" si="15"/>
        <v>8</v>
      </c>
      <c r="AM44" s="132">
        <f t="shared" ca="1" si="16"/>
        <v>8</v>
      </c>
      <c r="AN44" s="2">
        <f t="shared" ca="1" si="17"/>
        <v>2025</v>
      </c>
      <c r="AO44" s="2">
        <f t="shared" ca="1" si="0"/>
        <v>2025</v>
      </c>
      <c r="AP44" s="2">
        <f t="shared" ca="1" si="18"/>
        <v>0</v>
      </c>
      <c r="AQ44" s="2">
        <f t="shared" ca="1" si="19"/>
        <v>30</v>
      </c>
      <c r="AR44" s="2">
        <f t="shared" si="20"/>
        <v>20</v>
      </c>
      <c r="AS44" s="2">
        <f t="shared" ca="1" si="32"/>
        <v>30</v>
      </c>
      <c r="AT44" s="2"/>
      <c r="AU44" s="2"/>
      <c r="AV44" s="2"/>
      <c r="AW44" s="2"/>
      <c r="AX44" s="2"/>
      <c r="AY44" s="2">
        <f t="shared" ca="1" si="21"/>
        <v>1</v>
      </c>
      <c r="AZ44" s="2"/>
      <c r="BA44" s="2"/>
      <c r="BB44" s="2"/>
      <c r="BC44" s="2"/>
      <c r="BD44" s="2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22"/>
        <v>20</v>
      </c>
      <c r="B45" s="494">
        <f t="shared" ca="1" si="1"/>
        <v>45920</v>
      </c>
      <c r="C45" s="494"/>
      <c r="D45" s="269">
        <f ca="1">IF(N45=0,IF(N44=1,D26+D27+D28+D29+D30+D31+D32+D33+D34+D35+D36+D37+D38+D39+D40+D41+D42+D43+D44," "),IF(N45=0," ",IF(N46=1,D26,IF(N46=0,D10-D26*(M14-1)," "))))</f>
        <v>20.83</v>
      </c>
      <c r="E45" s="269"/>
      <c r="F45" s="87">
        <f ca="1">IF(N45=0,IF(N44=1,F26+F27+F28+F29+F30+F31+F32+F33+F34+F35+F36+F37+F38+F39+F40+F41+F42+F43+F44," "),IF(M1=1,P45,IF(M1=2,Q45," ")))</f>
        <v>14.937819444444425</v>
      </c>
      <c r="G45" s="87">
        <v>0</v>
      </c>
      <c r="H45" s="87">
        <f t="shared" ca="1" si="2"/>
        <v>35.767819444444427</v>
      </c>
      <c r="I45" s="87">
        <f t="shared" ca="1" si="3"/>
        <v>23.810000000000002</v>
      </c>
      <c r="J45" s="87">
        <f t="shared" ca="1" si="4"/>
        <v>17.069963888888907</v>
      </c>
      <c r="K45" s="87">
        <v>0</v>
      </c>
      <c r="L45" s="87">
        <f t="shared" ca="1" si="23"/>
        <v>40.879963888888909</v>
      </c>
      <c r="M45" s="2">
        <f t="shared" si="24"/>
        <v>20</v>
      </c>
      <c r="N45" s="2">
        <f ca="1">IF(M1=1,IF(M14&gt;19,1,0),IF(M1=2,IF(M14&gt;19,1,0),0))</f>
        <v>1</v>
      </c>
      <c r="O45" s="2">
        <f t="shared" ca="1" si="5"/>
        <v>20</v>
      </c>
      <c r="P45" s="134">
        <f t="shared" ca="1" si="6"/>
        <v>14.937819444444425</v>
      </c>
      <c r="Q45" s="134">
        <f t="shared" ca="1" si="7"/>
        <v>14.937819444444425</v>
      </c>
      <c r="R45" s="134">
        <f t="shared" ca="1" si="25"/>
        <v>604.22999999999922</v>
      </c>
      <c r="S45" s="134">
        <f t="shared" ca="1" si="26"/>
        <v>20.83</v>
      </c>
      <c r="T45" s="134">
        <f t="shared" ca="1" si="27"/>
        <v>20.83</v>
      </c>
      <c r="U45" s="134">
        <f ca="1">IF(N46=1,R44*D11*20/36000+R45*D11*10/36000,IF(N46=0,IF(N45=0,0,R45*D11*Q12/36000+R44*D11*20/36000+R45*D11*10/36000)))</f>
        <v>14.937819444444425</v>
      </c>
      <c r="V45" s="134">
        <f ca="1">IF(N46=1,R44*D11*20/36000+R45*D11*10/36000,IF(N46=0,IF(N45=0,0,R45*D11*Q12/36000+R44*D11*20/36000+R45*D11*10/36000)))</f>
        <v>14.937819444444425</v>
      </c>
      <c r="W45" s="134">
        <f t="shared" ca="1" si="28"/>
        <v>24.166666666666664</v>
      </c>
      <c r="X45" s="134">
        <f t="shared" ca="1" si="29"/>
        <v>20</v>
      </c>
      <c r="Y45" s="134">
        <f t="shared" ca="1" si="8"/>
        <v>690.47000000000071</v>
      </c>
      <c r="Z45" s="134">
        <f t="shared" ca="1" si="30"/>
        <v>17.069963888888907</v>
      </c>
      <c r="AA45" s="134">
        <f t="shared" ca="1" si="9"/>
        <v>17.069963888888907</v>
      </c>
      <c r="AB45" s="134">
        <f ca="1">IF(R46=0,R45*Q12,(R44*20+R45*10))</f>
        <v>18543.499999999978</v>
      </c>
      <c r="AC45" s="134">
        <f t="shared" ca="1" si="10"/>
        <v>0</v>
      </c>
      <c r="AD45" s="134">
        <f t="shared" ca="1" si="11"/>
        <v>0</v>
      </c>
      <c r="AE45" s="134">
        <f t="shared" ca="1" si="33"/>
        <v>0</v>
      </c>
      <c r="AF45" s="134">
        <f t="shared" ca="1" si="12"/>
        <v>0</v>
      </c>
      <c r="AG45" s="134">
        <f t="shared" ca="1" si="31"/>
        <v>0</v>
      </c>
      <c r="AH45" s="134">
        <f t="shared" ca="1" si="13"/>
        <v>0</v>
      </c>
      <c r="AI45" s="134">
        <f t="shared" ca="1" si="14"/>
        <v>604.22999999999922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15"/>
        <v>9</v>
      </c>
      <c r="AM45" s="132">
        <f t="shared" ca="1" si="16"/>
        <v>9</v>
      </c>
      <c r="AN45" s="2">
        <f t="shared" ca="1" si="17"/>
        <v>2025</v>
      </c>
      <c r="AO45" s="2">
        <f t="shared" ca="1" si="0"/>
        <v>2025</v>
      </c>
      <c r="AP45" s="2">
        <f t="shared" ca="1" si="18"/>
        <v>0</v>
      </c>
      <c r="AQ45" s="2">
        <f t="shared" ca="1" si="19"/>
        <v>30</v>
      </c>
      <c r="AR45" s="2">
        <f t="shared" si="20"/>
        <v>20</v>
      </c>
      <c r="AS45" s="2">
        <f t="shared" ca="1" si="32"/>
        <v>30</v>
      </c>
      <c r="AT45" s="2"/>
      <c r="AU45" s="2"/>
      <c r="AV45" s="2"/>
      <c r="AW45" s="2"/>
      <c r="AX45" s="2"/>
      <c r="AY45" s="2">
        <f t="shared" ca="1" si="21"/>
        <v>1</v>
      </c>
      <c r="AZ45" s="2"/>
      <c r="BA45" s="2"/>
      <c r="BB45" s="2"/>
      <c r="BC45" s="2"/>
      <c r="BD45" s="2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22"/>
        <v>21</v>
      </c>
      <c r="B46" s="494">
        <f t="shared" ca="1" si="1"/>
        <v>45950</v>
      </c>
      <c r="C46" s="494"/>
      <c r="D46" s="269">
        <f ca="1">IF(N46=0,IF(N45=1,D26+D27+D28+D29+D30+D31+D32+D33+D34+D35+D36+D37+D38+D39+D40+D41+D42+D43+D44+D45," "),IF(N46=0," ",IF(N47=1,D26,IF(N47=0,D10-D26*(M14-1)," "))))</f>
        <v>20.83</v>
      </c>
      <c r="E46" s="269"/>
      <c r="F46" s="87">
        <f ca="1">IF(N46=0,IF(N45=1,F26+F27+F28+F29+F30+F31+F32+F33+F34+F35+F36+F37+F38+F39+F40+F41+F42+F43+F44+F45," "),IF(M1=1,P46,IF(M1=2,Q46," ")))</f>
        <v>14.43442777777776</v>
      </c>
      <c r="G46" s="87">
        <v>0</v>
      </c>
      <c r="H46" s="87">
        <f t="shared" ca="1" si="2"/>
        <v>35.264427777777755</v>
      </c>
      <c r="I46" s="87">
        <f t="shared" ca="1" si="3"/>
        <v>23.810000000000002</v>
      </c>
      <c r="J46" s="87">
        <f t="shared" ca="1" si="4"/>
        <v>16.494555555555571</v>
      </c>
      <c r="K46" s="87">
        <v>0</v>
      </c>
      <c r="L46" s="87">
        <f t="shared" ca="1" si="23"/>
        <v>40.304555555555574</v>
      </c>
      <c r="M46" s="2">
        <f t="shared" si="24"/>
        <v>21</v>
      </c>
      <c r="N46" s="2">
        <f ca="1">IF(M1=1,IF(M14&gt;20,1,0),IF(M1=2,IF(M14&gt;20,1,0),0))</f>
        <v>1</v>
      </c>
      <c r="O46" s="2">
        <f t="shared" ca="1" si="5"/>
        <v>20</v>
      </c>
      <c r="P46" s="134">
        <f t="shared" ca="1" si="6"/>
        <v>14.43442777777776</v>
      </c>
      <c r="Q46" s="134">
        <f t="shared" ca="1" si="7"/>
        <v>14.43442777777776</v>
      </c>
      <c r="R46" s="134">
        <f t="shared" ca="1" si="25"/>
        <v>583.39999999999918</v>
      </c>
      <c r="S46" s="134">
        <f t="shared" ca="1" si="26"/>
        <v>20.83</v>
      </c>
      <c r="T46" s="134">
        <f t="shared" ca="1" si="27"/>
        <v>20.83</v>
      </c>
      <c r="U46" s="134">
        <f ca="1">IF(N47=1,R45*D11*20/36000+R46*D11*10/36000,IF(N47=0,IF(N46=0,0,R46*D11*Q12/36000+R45*D11*20/36000+R46*D11*10/36000)))</f>
        <v>14.43442777777776</v>
      </c>
      <c r="V46" s="134">
        <f ca="1">IF(N47=1,R45*D11*20/36000+R46*D11*10/36000,IF(N47=0,IF(N46=0,0,R46*D11*Q12/36000+R45*D11*20/36000+R46*D11*10/36000)))</f>
        <v>14.43442777777776</v>
      </c>
      <c r="W46" s="134">
        <f t="shared" ca="1" si="28"/>
        <v>24.166666666666664</v>
      </c>
      <c r="X46" s="134">
        <f t="shared" ca="1" si="29"/>
        <v>20</v>
      </c>
      <c r="Y46" s="134">
        <f t="shared" ca="1" si="8"/>
        <v>666.66000000000076</v>
      </c>
      <c r="Z46" s="134">
        <f t="shared" ca="1" si="30"/>
        <v>16.494555555555571</v>
      </c>
      <c r="AA46" s="134">
        <f t="shared" ca="1" si="9"/>
        <v>16.494555555555571</v>
      </c>
      <c r="AB46" s="134">
        <f ca="1">IF(R47=0,R46*Q12,(R45*20+R46*10))</f>
        <v>17918.599999999977</v>
      </c>
      <c r="AC46" s="134">
        <f t="shared" ca="1" si="10"/>
        <v>0</v>
      </c>
      <c r="AD46" s="134">
        <f t="shared" ca="1" si="11"/>
        <v>0</v>
      </c>
      <c r="AE46" s="134">
        <f t="shared" ca="1" si="33"/>
        <v>0</v>
      </c>
      <c r="AF46" s="134">
        <f t="shared" ca="1" si="12"/>
        <v>0</v>
      </c>
      <c r="AG46" s="134">
        <f t="shared" ca="1" si="31"/>
        <v>0</v>
      </c>
      <c r="AH46" s="134">
        <f t="shared" ca="1" si="13"/>
        <v>0</v>
      </c>
      <c r="AI46" s="134">
        <f t="shared" ca="1" si="14"/>
        <v>583.39999999999918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15"/>
        <v>10</v>
      </c>
      <c r="AM46" s="132">
        <f t="shared" ca="1" si="16"/>
        <v>10</v>
      </c>
      <c r="AN46" s="2">
        <f t="shared" ca="1" si="17"/>
        <v>2025</v>
      </c>
      <c r="AO46" s="2">
        <f t="shared" ca="1" si="0"/>
        <v>2025</v>
      </c>
      <c r="AP46" s="2">
        <f t="shared" ca="1" si="18"/>
        <v>0</v>
      </c>
      <c r="AQ46" s="2">
        <f t="shared" ca="1" si="19"/>
        <v>30</v>
      </c>
      <c r="AR46" s="2">
        <f t="shared" si="20"/>
        <v>20</v>
      </c>
      <c r="AS46" s="2">
        <f t="shared" ca="1" si="32"/>
        <v>30</v>
      </c>
      <c r="AT46" s="2"/>
      <c r="AU46" s="2"/>
      <c r="AV46" s="2"/>
      <c r="AW46" s="2"/>
      <c r="AX46" s="2"/>
      <c r="AY46" s="2">
        <f t="shared" ca="1" si="21"/>
        <v>1</v>
      </c>
      <c r="AZ46" s="2"/>
      <c r="BA46" s="2"/>
      <c r="BB46" s="2"/>
      <c r="BC46" s="2"/>
      <c r="BD46" s="2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22"/>
        <v>22</v>
      </c>
      <c r="B47" s="494">
        <f t="shared" ca="1" si="1"/>
        <v>45981</v>
      </c>
      <c r="C47" s="494"/>
      <c r="D47" s="269">
        <f ca="1">IF(N47=0,IF(N46=1,D26+D27+D28+D29+D30+D31+D32+D33+D34+D35+D36+D37+D38+D39+D40+D41+D42+D43+D44+D45+D46," "),IF(N47=0," ",IF(N48=1,D26,IF(N48=0,D10-D26*(M14-1)," "))))</f>
        <v>20.83</v>
      </c>
      <c r="E47" s="269"/>
      <c r="F47" s="87">
        <f ca="1">IF(N47=0,IF(N46=1,F26+F27+F28+F29+F30+F31+F32+F33+F34+F35+F36+F37+F38+F39+F40+F41+F42+F43+F44+F45+F46," "),IF(M1=1,P47,IF(M1=2,Q47," ")))</f>
        <v>13.931036111111091</v>
      </c>
      <c r="G47" s="87">
        <v>0</v>
      </c>
      <c r="H47" s="87">
        <f t="shared" ca="1" si="2"/>
        <v>34.761036111111089</v>
      </c>
      <c r="I47" s="87">
        <f t="shared" ca="1" si="3"/>
        <v>23.810000000000002</v>
      </c>
      <c r="J47" s="87">
        <f t="shared" ca="1" si="4"/>
        <v>15.919147222222239</v>
      </c>
      <c r="K47" s="87">
        <v>0</v>
      </c>
      <c r="L47" s="87">
        <f t="shared" ca="1" si="23"/>
        <v>39.729147222222238</v>
      </c>
      <c r="M47" s="2">
        <f t="shared" si="24"/>
        <v>22</v>
      </c>
      <c r="N47" s="2">
        <f ca="1">IF(M1=1,IF(M14&gt;21,1,0),IF(M1=2,IF(M14&gt;21,1,0),0))</f>
        <v>1</v>
      </c>
      <c r="O47" s="2">
        <f t="shared" ca="1" si="5"/>
        <v>20</v>
      </c>
      <c r="P47" s="134">
        <f t="shared" ca="1" si="6"/>
        <v>13.931036111111091</v>
      </c>
      <c r="Q47" s="134">
        <f t="shared" ca="1" si="7"/>
        <v>13.931036111111091</v>
      </c>
      <c r="R47" s="134">
        <f t="shared" ca="1" si="25"/>
        <v>562.56999999999914</v>
      </c>
      <c r="S47" s="134">
        <f t="shared" ca="1" si="26"/>
        <v>20.83</v>
      </c>
      <c r="T47" s="134">
        <f t="shared" ca="1" si="27"/>
        <v>20.83</v>
      </c>
      <c r="U47" s="134">
        <f ca="1">IF(N48=1,R46*D11*20/36000+R47*D11*10/36000,IF(N48=0,IF(N47=0,0,R47*D11*Q12/36000+R46*D11*20/36000+R47*D11*10/36000)))</f>
        <v>13.931036111111091</v>
      </c>
      <c r="V47" s="134">
        <f ca="1">IF(N48=1,R46*D11*20/36000+R47*D11*10/36000,IF(N48=0,IF(N47=0,0,R47*D11*Q12/36000+R46*D11*20/36000+R47*D11*10/36000)))</f>
        <v>13.931036111111091</v>
      </c>
      <c r="W47" s="134">
        <f t="shared" ca="1" si="28"/>
        <v>24.166666666666664</v>
      </c>
      <c r="X47" s="134">
        <f t="shared" ca="1" si="29"/>
        <v>20</v>
      </c>
      <c r="Y47" s="134">
        <f t="shared" ca="1" si="8"/>
        <v>642.85000000000082</v>
      </c>
      <c r="Z47" s="134">
        <f t="shared" ca="1" si="30"/>
        <v>15.919147222222239</v>
      </c>
      <c r="AA47" s="134">
        <f t="shared" ca="1" si="9"/>
        <v>15.919147222222239</v>
      </c>
      <c r="AB47" s="134">
        <f ca="1">IF(R48=0,R47*Q12,(R46*20+R47*10))</f>
        <v>17293.699999999975</v>
      </c>
      <c r="AC47" s="134">
        <f t="shared" ca="1" si="10"/>
        <v>0</v>
      </c>
      <c r="AD47" s="134">
        <f t="shared" ca="1" si="11"/>
        <v>0</v>
      </c>
      <c r="AE47" s="134">
        <f t="shared" ca="1" si="33"/>
        <v>0</v>
      </c>
      <c r="AF47" s="134">
        <f t="shared" ca="1" si="12"/>
        <v>0</v>
      </c>
      <c r="AG47" s="134">
        <f t="shared" ca="1" si="31"/>
        <v>0</v>
      </c>
      <c r="AH47" s="134">
        <f t="shared" ca="1" si="13"/>
        <v>0</v>
      </c>
      <c r="AI47" s="134">
        <f t="shared" ca="1" si="14"/>
        <v>562.56999999999914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15"/>
        <v>11</v>
      </c>
      <c r="AM47" s="132">
        <f t="shared" ca="1" si="16"/>
        <v>11</v>
      </c>
      <c r="AN47" s="2">
        <f t="shared" ca="1" si="17"/>
        <v>2025</v>
      </c>
      <c r="AO47" s="2">
        <f t="shared" ca="1" si="0"/>
        <v>2025</v>
      </c>
      <c r="AP47" s="2">
        <f t="shared" ca="1" si="18"/>
        <v>0</v>
      </c>
      <c r="AQ47" s="2">
        <f ca="1">IF(AM47=2,IF(AP47=1,29,28),30)</f>
        <v>30</v>
      </c>
      <c r="AR47" s="2">
        <f t="shared" si="20"/>
        <v>20</v>
      </c>
      <c r="AS47" s="2">
        <f t="shared" ca="1" si="32"/>
        <v>30</v>
      </c>
      <c r="AT47" s="2"/>
      <c r="AU47" s="2"/>
      <c r="AV47" s="2"/>
      <c r="AW47" s="2"/>
      <c r="AX47" s="2"/>
      <c r="AY47" s="2">
        <f t="shared" ca="1" si="21"/>
        <v>1</v>
      </c>
      <c r="AZ47" s="2"/>
      <c r="BA47" s="2"/>
      <c r="BB47" s="2"/>
      <c r="BC47" s="2"/>
      <c r="BD47" s="2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>A47+1</f>
        <v>23</v>
      </c>
      <c r="B48" s="494">
        <f t="shared" ca="1" si="1"/>
        <v>46011</v>
      </c>
      <c r="C48" s="494"/>
      <c r="D48" s="269">
        <f ca="1">IF(N48=0,IF(N47=1,D26+D27+D28+D29+D30+D31+D32+D33+D34+D35+D36+D37+D38+D39+D40+D41+D42+D43+D44+D45+D46+D47," "),IF(N48=0," ",IF(N49=1,D26,IF(N49=0,D10-D26*(M14-1)," "))))</f>
        <v>20.83</v>
      </c>
      <c r="E48" s="269"/>
      <c r="F48" s="87">
        <f ca="1">IF(N48=0,IF(N47=1,F26+F27+F28+F29+F30+F31+F32+F33+F34+F35+F36+F37+F38+F39+F40+F41+F42+F43+F44+F45+F46+F47," "),IF(M1=1,P48,IF(M1=2,Q48," ")))</f>
        <v>13.427644444444425</v>
      </c>
      <c r="G48" s="87">
        <v>0</v>
      </c>
      <c r="H48" s="87">
        <f t="shared" ca="1" si="2"/>
        <v>34.257644444444423</v>
      </c>
      <c r="I48" s="87">
        <f t="shared" ca="1" si="3"/>
        <v>23.810000000000002</v>
      </c>
      <c r="J48" s="87">
        <f t="shared" ca="1" si="4"/>
        <v>15.343738888888909</v>
      </c>
      <c r="K48" s="87">
        <v>0</v>
      </c>
      <c r="L48" s="87">
        <f t="shared" ca="1" si="23"/>
        <v>39.15373888888891</v>
      </c>
      <c r="M48" s="2">
        <f>M47+1</f>
        <v>23</v>
      </c>
      <c r="N48" s="2">
        <f ca="1">IF(M1=1,IF(M14&gt;22,1,0),IF(M1=2,IF(M14&gt;22,1,0),0))</f>
        <v>1</v>
      </c>
      <c r="O48" s="2">
        <f t="shared" ca="1" si="5"/>
        <v>20</v>
      </c>
      <c r="P48" s="134">
        <f t="shared" ca="1" si="6"/>
        <v>13.427644444444425</v>
      </c>
      <c r="Q48" s="134">
        <f t="shared" ca="1" si="7"/>
        <v>13.427644444444425</v>
      </c>
      <c r="R48" s="134">
        <f ca="1">IF(N48=0,0,R47-D47)</f>
        <v>541.7399999999991</v>
      </c>
      <c r="S48" s="134">
        <f t="shared" ca="1" si="26"/>
        <v>20.83</v>
      </c>
      <c r="T48" s="134">
        <f t="shared" ca="1" si="27"/>
        <v>20.83</v>
      </c>
      <c r="U48" s="134">
        <f ca="1">IF(N49=1,R47*D11*20/36000+R48*D11*10/36000,IF(N49=0,IF(N48=0,0,R48*D11*Q12/36000+R47*D11*20/36000+R48*D11*10/36000)))</f>
        <v>13.427644444444425</v>
      </c>
      <c r="V48" s="134">
        <f ca="1">IF(N49=1,R47*D11*20/36000+R48*D11*10/36000,IF(N49=0,IF(N48=0,0,R48*D11*Q12/36000+R47*D11*20/36000+R48*D11*10/36000)))</f>
        <v>13.427644444444425</v>
      </c>
      <c r="W48" s="134">
        <f t="shared" ca="1" si="28"/>
        <v>24.166666666666664</v>
      </c>
      <c r="X48" s="134">
        <f t="shared" ca="1" si="29"/>
        <v>20</v>
      </c>
      <c r="Y48" s="134">
        <f t="shared" ca="1" si="8"/>
        <v>619.04000000000087</v>
      </c>
      <c r="Z48" s="134">
        <f t="shared" ca="1" si="30"/>
        <v>15.343738888888909</v>
      </c>
      <c r="AA48" s="134">
        <f t="shared" ca="1" si="9"/>
        <v>15.343738888888909</v>
      </c>
      <c r="AB48" s="134">
        <f ca="1">IF(R49=0,R48*Q12,(R47*20+R48*10))</f>
        <v>16668.799999999974</v>
      </c>
      <c r="AC48" s="134">
        <f t="shared" ca="1" si="10"/>
        <v>0</v>
      </c>
      <c r="AD48" s="134">
        <f t="shared" ca="1" si="11"/>
        <v>0</v>
      </c>
      <c r="AE48" s="134">
        <f t="shared" ca="1" si="33"/>
        <v>0</v>
      </c>
      <c r="AF48" s="134">
        <f t="shared" ca="1" si="12"/>
        <v>0</v>
      </c>
      <c r="AG48" s="134">
        <f t="shared" ca="1" si="31"/>
        <v>0</v>
      </c>
      <c r="AH48" s="134">
        <f t="shared" ca="1" si="13"/>
        <v>0</v>
      </c>
      <c r="AI48" s="134">
        <f t="shared" ca="1" si="14"/>
        <v>541.7399999999991</v>
      </c>
      <c r="AJ48" s="134">
        <f ca="1">IF(N49=1,AI47*G12*20/36000+AI48*G12*10/36000,IF(N49=0,IF(N48=0,0,AI48*G12*Q12/36000+AI47*G12*20/36000+AI48*G12*10/36000)))</f>
        <v>0</v>
      </c>
      <c r="AK48" s="134">
        <f ca="1">IF(N49=1,AI47*G12*20/36000+AI48*G12*10/36000,IF(N49=0,IF(N48=0,0,AI48*G12*Q12/36000+AI47*G12*20/36000+AI48*G12*10/36000)))</f>
        <v>0</v>
      </c>
      <c r="AL48" s="132">
        <f t="shared" ca="1" si="15"/>
        <v>12</v>
      </c>
      <c r="AM48" s="132">
        <f t="shared" ca="1" si="16"/>
        <v>12</v>
      </c>
      <c r="AN48" s="2">
        <f t="shared" ca="1" si="17"/>
        <v>2025</v>
      </c>
      <c r="AO48" s="2">
        <f t="shared" ca="1" si="0"/>
        <v>2025</v>
      </c>
      <c r="AP48" s="2">
        <f t="shared" ca="1" si="18"/>
        <v>0</v>
      </c>
      <c r="AQ48" s="2">
        <f t="shared" ca="1" si="19"/>
        <v>30</v>
      </c>
      <c r="AR48" s="2">
        <f t="shared" si="20"/>
        <v>20</v>
      </c>
      <c r="AS48" s="2">
        <f t="shared" ca="1" si="32"/>
        <v>30</v>
      </c>
      <c r="AT48" s="2"/>
      <c r="AU48" s="2"/>
      <c r="AV48" s="2"/>
      <c r="AW48" s="2"/>
      <c r="AX48" s="2"/>
      <c r="AY48" s="2">
        <f t="shared" ca="1" si="21"/>
        <v>1</v>
      </c>
      <c r="AZ48" s="2"/>
      <c r="BA48" s="2"/>
      <c r="BB48" s="2"/>
      <c r="BC48" s="2"/>
      <c r="BD48" s="2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4" customFormat="1" ht="15" customHeight="1">
      <c r="A49" s="4">
        <f t="shared" si="22"/>
        <v>24</v>
      </c>
      <c r="B49" s="494">
        <f t="shared" ca="1" si="1"/>
        <v>46042</v>
      </c>
      <c r="C49" s="494"/>
      <c r="D49" s="269">
        <f ca="1">IF(N49=0,IF(N48=1,SUM(D$26:E48)," "),IF(N49=0," ",IF(N50=1,D$26,IF(N50=0,D$10-D$26*(M$14-1)," "))))</f>
        <v>20.83</v>
      </c>
      <c r="E49" s="269"/>
      <c r="F49" s="87">
        <f ca="1">IF(N49=0,IF(N48=1,SUM(F$26:F48)," "),IF(M$1=1,P49,IF(M$1=2,Q49," ")))</f>
        <v>12.924252777777756</v>
      </c>
      <c r="G49" s="87">
        <v>0</v>
      </c>
      <c r="H49" s="87">
        <f t="shared" ca="1" si="2"/>
        <v>33.754252777777751</v>
      </c>
      <c r="I49" s="87">
        <f t="shared" ca="1" si="3"/>
        <v>23.810000000000002</v>
      </c>
      <c r="J49" s="87">
        <f t="shared" ca="1" si="4"/>
        <v>14.768330555555577</v>
      </c>
      <c r="K49" s="87">
        <v>0</v>
      </c>
      <c r="L49" s="87">
        <f t="shared" ca="1" si="23"/>
        <v>38.578330555555581</v>
      </c>
      <c r="M49" s="2">
        <f t="shared" si="24"/>
        <v>24</v>
      </c>
      <c r="N49" s="2">
        <f ca="1">IF(M$1=1,IF(M$14&gt;M48,1,0),IF(M$1=2,IF(M$14&gt;M48,1,0),0))</f>
        <v>1</v>
      </c>
      <c r="O49" s="2">
        <f t="shared" ca="1" si="5"/>
        <v>20</v>
      </c>
      <c r="P49" s="134">
        <f t="shared" ca="1" si="6"/>
        <v>12.924252777777756</v>
      </c>
      <c r="Q49" s="134">
        <f t="shared" ca="1" si="7"/>
        <v>12.924252777777756</v>
      </c>
      <c r="R49" s="134">
        <f t="shared" ca="1" si="25"/>
        <v>520.90999999999906</v>
      </c>
      <c r="S49" s="134">
        <f t="shared" ca="1" si="26"/>
        <v>20.83</v>
      </c>
      <c r="T49" s="134">
        <f t="shared" ca="1" si="27"/>
        <v>20.83</v>
      </c>
      <c r="U49" s="134">
        <f ca="1">IF(N50=1,R48*D$11*20/36000+R49*D$11*10/36000,IF(N50=0,IF(N49=0,0,R49*D$11*Q$12/36000+R48*D$11*20/36000+R49*D$11*10/36000)))</f>
        <v>12.924252777777756</v>
      </c>
      <c r="V49" s="134">
        <f ca="1">IF(N50=1,R48*D$11*20/36000+R49*D$11*10/36000,IF(N50=0,IF(N49=0,0,R49*D$11*Q$12/36000+R48*D$11*20/36000+R49*D$11*10/36000)))</f>
        <v>12.924252777777756</v>
      </c>
      <c r="W49" s="134">
        <f t="shared" ca="1" si="28"/>
        <v>24.166666666666664</v>
      </c>
      <c r="X49" s="134">
        <f t="shared" ca="1" si="29"/>
        <v>20</v>
      </c>
      <c r="Y49" s="134">
        <f t="shared" ca="1" si="8"/>
        <v>595.23000000000093</v>
      </c>
      <c r="Z49" s="134">
        <f t="shared" ca="1" si="30"/>
        <v>14.768330555555577</v>
      </c>
      <c r="AA49" s="134">
        <f t="shared" ca="1" si="9"/>
        <v>14.768330555555577</v>
      </c>
      <c r="AB49" s="134">
        <f t="shared" ref="AB49:AB61" ca="1" si="34">IF(R50=0,R49*Q$12,(R48*20+R49*10))</f>
        <v>16043.899999999972</v>
      </c>
      <c r="AC49" s="134">
        <f t="shared" ca="1" si="10"/>
        <v>0</v>
      </c>
      <c r="AD49" s="134">
        <f t="shared" ca="1" si="11"/>
        <v>0</v>
      </c>
      <c r="AE49" s="134">
        <f t="shared" ca="1" si="33"/>
        <v>0</v>
      </c>
      <c r="AF49" s="134">
        <f t="shared" ca="1" si="12"/>
        <v>0</v>
      </c>
      <c r="AG49" s="134">
        <f t="shared" ca="1" si="31"/>
        <v>0</v>
      </c>
      <c r="AH49" s="134">
        <f t="shared" ca="1" si="13"/>
        <v>0</v>
      </c>
      <c r="AI49" s="134">
        <f t="shared" ca="1" si="14"/>
        <v>520.90999999999906</v>
      </c>
      <c r="AJ49" s="134">
        <f ca="1">IF(N50=1,AI48*G$12*20/36000+AI49*G$12*10/36000,IF(N50=0,IF(N49=0,0,AI49*G$12*Q$12/36000+AI48*G$12*20/36000+AI49*G$12*10/36000)))</f>
        <v>0</v>
      </c>
      <c r="AK49" s="134">
        <f ca="1">IF(N50=1,AI48*G$12*20/36000+AI49*G$12*10/36000,IF(N50=0,IF(N49=0,0,AI49*G$12*Q$12/36000+AI48*G$12*20/36000+AI49*G$12*10/36000)))</f>
        <v>0</v>
      </c>
      <c r="AL49" s="132">
        <f t="shared" ca="1" si="15"/>
        <v>13</v>
      </c>
      <c r="AM49" s="132">
        <f t="shared" ca="1" si="16"/>
        <v>1</v>
      </c>
      <c r="AN49" s="2">
        <f t="shared" ca="1" si="17"/>
        <v>2025</v>
      </c>
      <c r="AO49" s="2">
        <f t="shared" ca="1" si="0"/>
        <v>2026</v>
      </c>
      <c r="AP49" s="2">
        <f t="shared" ca="1" si="18"/>
        <v>0</v>
      </c>
      <c r="AQ49" s="2">
        <f t="shared" ca="1" si="19"/>
        <v>30</v>
      </c>
      <c r="AR49" s="2">
        <f t="shared" si="20"/>
        <v>20</v>
      </c>
      <c r="AS49" s="2">
        <f t="shared" ca="1" si="32"/>
        <v>30</v>
      </c>
      <c r="AT49" s="2"/>
      <c r="AU49" s="2"/>
      <c r="AV49" s="2"/>
      <c r="AW49" s="2"/>
      <c r="AX49" s="2"/>
      <c r="AY49" s="2">
        <f t="shared" ca="1" si="21"/>
        <v>1</v>
      </c>
      <c r="AZ49" s="2"/>
      <c r="BA49" s="2"/>
      <c r="BB49" s="2"/>
      <c r="BC49" s="2"/>
      <c r="BD49" s="2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</row>
    <row r="50" spans="1:141" s="25" customFormat="1" ht="15" customHeight="1">
      <c r="A50" s="4">
        <v>25</v>
      </c>
      <c r="B50" s="494">
        <f t="shared" ca="1" si="1"/>
        <v>46073</v>
      </c>
      <c r="C50" s="494"/>
      <c r="D50" s="269">
        <f ca="1">IF(N50=0,IF(N49=1,SUM(D$26:E49)," "),IF(N50=0," ",IF(N51=1,D$26,IF(N51=0,D$10-D$26*(M$14-1)," "))))</f>
        <v>20.83</v>
      </c>
      <c r="E50" s="269"/>
      <c r="F50" s="87">
        <f ca="1">IF(N50=0,IF(N49=1,SUM(F$26:F49)," "),IF(M$1=1,P50,IF(M$1=2,Q50," ")))</f>
        <v>12.420861111111089</v>
      </c>
      <c r="G50" s="87">
        <v>0</v>
      </c>
      <c r="H50" s="87">
        <f t="shared" ca="1" si="2"/>
        <v>33.250861111111085</v>
      </c>
      <c r="I50" s="87">
        <f t="shared" ca="1" si="3"/>
        <v>23.810000000000002</v>
      </c>
      <c r="J50" s="87">
        <f t="shared" ca="1" si="4"/>
        <v>14.192922222222245</v>
      </c>
      <c r="K50" s="87">
        <v>0</v>
      </c>
      <c r="L50" s="87">
        <f t="shared" ca="1" si="23"/>
        <v>38.002922222222246</v>
      </c>
      <c r="M50" s="2">
        <v>25</v>
      </c>
      <c r="N50" s="2">
        <f t="shared" ref="N50:N86" ca="1" si="35">IF(M$1=1,IF(M$14&gt;M49,1,0),IF(M$1=2,IF(M$14&gt;M49,1,0),0))</f>
        <v>1</v>
      </c>
      <c r="O50" s="2">
        <f t="shared" ca="1" si="5"/>
        <v>20</v>
      </c>
      <c r="P50" s="134">
        <f t="shared" ca="1" si="6"/>
        <v>12.420861111111089</v>
      </c>
      <c r="Q50" s="134">
        <f t="shared" ca="1" si="7"/>
        <v>12.420861111111089</v>
      </c>
      <c r="R50" s="134">
        <f ca="1">IF(N50=0,0,R49-D49)</f>
        <v>500.07999999999907</v>
      </c>
      <c r="S50" s="134">
        <f t="shared" ca="1" si="26"/>
        <v>20.83</v>
      </c>
      <c r="T50" s="134">
        <f t="shared" ca="1" si="27"/>
        <v>20.83</v>
      </c>
      <c r="U50" s="134">
        <f ca="1">IF(N51=1,R49*D$11*20/36000+R50*D$11*10/36000,IF(N51=0,IF(N50=0,0,IF(D$16&gt;20,R49*D$11*20/36000+R50*D$11*(Q$12-20)/36000,R50*D$11*Q$12/36000))))</f>
        <v>12.420861111111089</v>
      </c>
      <c r="V50" s="134">
        <f ca="1">IF(N51=1,R49*D$11*20/36000+R50*D$11*10/36000,IF(N51=0,IF(N50=0,0,IF(D$16&gt;20,R49*D$11*20/36000+R50*D$11*(Q$12-20)/36000,R50*D$11*Q$12/36000))))</f>
        <v>12.420861111111089</v>
      </c>
      <c r="W50" s="134">
        <f t="shared" ca="1" si="28"/>
        <v>24.166666666666664</v>
      </c>
      <c r="X50" s="134">
        <f t="shared" ca="1" si="29"/>
        <v>20</v>
      </c>
      <c r="Y50" s="134">
        <f t="shared" ca="1" si="8"/>
        <v>571.42000000000098</v>
      </c>
      <c r="Z50" s="134">
        <f ca="1">IF(N51=1,Y49*D$11*20/36000+Y50*D$11*10/36000,IF(N51=0,IF(N50=0,0,IF(D$16&gt;20,Y49*D$11*20/36000+Y50*D$11*(Q$12-20)/36000,Y50*D$11*Q$12/36000))))</f>
        <v>14.192922222222245</v>
      </c>
      <c r="AA50" s="134">
        <f t="shared" ca="1" si="9"/>
        <v>14.192922222222245</v>
      </c>
      <c r="AB50" s="134">
        <f t="shared" ca="1" si="34"/>
        <v>15418.999999999971</v>
      </c>
      <c r="AC50" s="134">
        <f t="shared" ca="1" si="10"/>
        <v>0</v>
      </c>
      <c r="AD50" s="134">
        <f t="shared" ca="1" si="11"/>
        <v>0</v>
      </c>
      <c r="AE50" s="134">
        <f t="shared" ca="1" si="33"/>
        <v>0</v>
      </c>
      <c r="AF50" s="134">
        <f t="shared" ca="1" si="12"/>
        <v>0</v>
      </c>
      <c r="AG50" s="134">
        <f t="shared" ca="1" si="31"/>
        <v>0</v>
      </c>
      <c r="AH50" s="134">
        <f t="shared" ca="1" si="13"/>
        <v>0</v>
      </c>
      <c r="AI50" s="134">
        <f ca="1">R50</f>
        <v>500.07999999999907</v>
      </c>
      <c r="AJ50" s="134">
        <f ca="1">IF(N51=1,AI49*G$12*20/36000+AI50*G$12*10/36000,IF(N51=0,IF(N50=0,0,AI50*G$12*Q$12/36000)))</f>
        <v>0</v>
      </c>
      <c r="AK50" s="134">
        <f ca="1">IF(N51=1,AI49*G$12*20/36000+AI50*G$12*10/36000,IF(N51=0,IF(N50=0,0,AI50*G$12*Q$12/36000)))</f>
        <v>0</v>
      </c>
      <c r="AL50" s="132">
        <f t="shared" ca="1" si="15"/>
        <v>2</v>
      </c>
      <c r="AM50" s="132">
        <f t="shared" ca="1" si="16"/>
        <v>2</v>
      </c>
      <c r="AN50" s="2">
        <f t="shared" ca="1" si="17"/>
        <v>2026</v>
      </c>
      <c r="AO50" s="2">
        <f t="shared" ca="1" si="0"/>
        <v>2026</v>
      </c>
      <c r="AP50" s="2">
        <f t="shared" ca="1" si="18"/>
        <v>0</v>
      </c>
      <c r="AQ50" s="2">
        <f t="shared" ca="1" si="19"/>
        <v>28</v>
      </c>
      <c r="AR50" s="2">
        <f t="shared" si="20"/>
        <v>20</v>
      </c>
      <c r="AS50" s="2">
        <f t="shared" ca="1" si="32"/>
        <v>30</v>
      </c>
      <c r="AT50" s="2"/>
      <c r="AU50" s="2"/>
      <c r="AV50" s="2"/>
      <c r="AW50" s="2"/>
      <c r="AX50" s="2"/>
      <c r="AY50" s="2">
        <f t="shared" ca="1" si="21"/>
        <v>1</v>
      </c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</row>
    <row r="51" spans="1:141" s="24" customFormat="1" ht="15" customHeight="1">
      <c r="A51" s="4">
        <v>26</v>
      </c>
      <c r="B51" s="494">
        <f t="shared" ca="1" si="1"/>
        <v>46101</v>
      </c>
      <c r="C51" s="494"/>
      <c r="D51" s="269">
        <f ca="1">IF(N51=0,IF(N50=1,SUM(D$26:E50)," "),IF(N51=0," ",IF(N52=1,D$26,IF(N52=0,D$10-D$26*(M$14-1)," "))))</f>
        <v>20.83</v>
      </c>
      <c r="E51" s="269"/>
      <c r="F51" s="87">
        <f ca="1">IF(N51=0,IF(N50=1,SUM(F$26:F50)," "),IF(M$1=1,P51,IF(M$1=2,Q51," ")))</f>
        <v>11.917469444444421</v>
      </c>
      <c r="G51" s="87">
        <v>0</v>
      </c>
      <c r="H51" s="87">
        <f t="shared" ca="1" si="2"/>
        <v>32.74746944444442</v>
      </c>
      <c r="I51" s="87">
        <f t="shared" ca="1" si="3"/>
        <v>23.810000000000002</v>
      </c>
      <c r="J51" s="87">
        <f t="shared" ca="1" si="4"/>
        <v>13.617513888888912</v>
      </c>
      <c r="K51" s="87">
        <v>0</v>
      </c>
      <c r="L51" s="87">
        <f t="shared" ca="1" si="23"/>
        <v>37.42751388888891</v>
      </c>
      <c r="M51" s="2">
        <v>26</v>
      </c>
      <c r="N51" s="2">
        <f t="shared" ca="1" si="35"/>
        <v>1</v>
      </c>
      <c r="O51" s="2">
        <f t="shared" ca="1" si="5"/>
        <v>20</v>
      </c>
      <c r="P51" s="134">
        <f t="shared" ca="1" si="6"/>
        <v>11.917469444444421</v>
      </c>
      <c r="Q51" s="134">
        <f t="shared" ca="1" si="7"/>
        <v>11.917469444444421</v>
      </c>
      <c r="R51" s="134">
        <f t="shared" ref="R51:R61" ca="1" si="36">IF(N51=0,0,R50-D50)</f>
        <v>479.24999999999909</v>
      </c>
      <c r="S51" s="134">
        <f t="shared" ca="1" si="26"/>
        <v>20.83</v>
      </c>
      <c r="T51" s="134">
        <f t="shared" ca="1" si="27"/>
        <v>20.83</v>
      </c>
      <c r="U51" s="134">
        <f t="shared" ref="U51:U61" ca="1" si="37">IF(N52=1,R50*D$11*20/36000+R51*D$11*10/36000,IF(N52=0,IF(N51=0,0,R51*D$11*Q$12/36000+R50*D$11*20/36000+R51*D$11*10/36000)))</f>
        <v>11.917469444444421</v>
      </c>
      <c r="V51" s="134">
        <f t="shared" ref="V51:V61" ca="1" si="38">IF(N52=1,R50*D$11*20/36000+R51*D$11*10/36000,IF(N52=0,IF(N51=0,0,R51*D$11*Q$12/36000+R50*D$11*20/36000+R51*D$11*10/36000)))</f>
        <v>11.917469444444421</v>
      </c>
      <c r="W51" s="134">
        <f t="shared" ca="1" si="28"/>
        <v>24.166666666666664</v>
      </c>
      <c r="X51" s="134">
        <f t="shared" ca="1" si="29"/>
        <v>20</v>
      </c>
      <c r="Y51" s="134">
        <f t="shared" ca="1" si="8"/>
        <v>547.61000000000104</v>
      </c>
      <c r="Z51" s="134">
        <f t="shared" ca="1" si="30"/>
        <v>13.617513888888912</v>
      </c>
      <c r="AA51" s="134">
        <f t="shared" ca="1" si="9"/>
        <v>13.617513888888912</v>
      </c>
      <c r="AB51" s="134">
        <f t="shared" ca="1" si="34"/>
        <v>14794.099999999973</v>
      </c>
      <c r="AC51" s="134">
        <f t="shared" ca="1" si="10"/>
        <v>0</v>
      </c>
      <c r="AD51" s="134">
        <f t="shared" ca="1" si="11"/>
        <v>0</v>
      </c>
      <c r="AE51" s="134">
        <f t="shared" ca="1" si="33"/>
        <v>0</v>
      </c>
      <c r="AF51" s="134">
        <f t="shared" ca="1" si="12"/>
        <v>0</v>
      </c>
      <c r="AG51" s="134">
        <f t="shared" ca="1" si="31"/>
        <v>0</v>
      </c>
      <c r="AH51" s="134">
        <f t="shared" ca="1" si="13"/>
        <v>0</v>
      </c>
      <c r="AI51" s="134">
        <f t="shared" ref="AI51:AI61" ca="1" si="39">R51</f>
        <v>479.24999999999909</v>
      </c>
      <c r="AJ51" s="134">
        <f t="shared" ref="AJ51:AJ73" ca="1" si="40">IF(N52=1,AI50*G$12*20/36000+AI51*G$12*10/36000,IF(N52=0,IF(N51=0,0,AI51*G$12*Q$12/36000+AI50*G$12*20/36000+AI51*G$12*10/36000)))</f>
        <v>0</v>
      </c>
      <c r="AK51" s="134">
        <f t="shared" ref="AK51:AK61" ca="1" si="41">IF(N52=1,AI50*G$12*20/36000+AI51*G$12*10/36000,IF(N52=0,IF(N51=0,0,AI51*G$12*Q$12/36000+AI50*G$12*20/36000+AI51*G$12*10/36000)))</f>
        <v>0</v>
      </c>
      <c r="AL51" s="132">
        <f t="shared" ca="1" si="15"/>
        <v>3</v>
      </c>
      <c r="AM51" s="132">
        <f t="shared" ca="1" si="16"/>
        <v>3</v>
      </c>
      <c r="AN51" s="2">
        <f t="shared" ca="1" si="17"/>
        <v>2026</v>
      </c>
      <c r="AO51" s="2">
        <f t="shared" ca="1" si="0"/>
        <v>2026</v>
      </c>
      <c r="AP51" s="2">
        <f t="shared" ca="1" si="18"/>
        <v>0</v>
      </c>
      <c r="AQ51" s="2">
        <f t="shared" ca="1" si="19"/>
        <v>30</v>
      </c>
      <c r="AR51" s="2">
        <f t="shared" si="20"/>
        <v>20</v>
      </c>
      <c r="AS51" s="2">
        <f t="shared" ca="1" si="32"/>
        <v>28</v>
      </c>
      <c r="AT51" s="2"/>
      <c r="AU51" s="2"/>
      <c r="AV51" s="2"/>
      <c r="AW51" s="2"/>
      <c r="AX51" s="2"/>
      <c r="AY51" s="2">
        <f t="shared" ca="1" si="21"/>
        <v>1</v>
      </c>
      <c r="AZ51" s="2"/>
      <c r="BA51" s="2"/>
      <c r="BB51" s="2"/>
      <c r="BC51" s="2"/>
      <c r="BD51" s="2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27</v>
      </c>
      <c r="B52" s="494">
        <f t="shared" ca="1" si="1"/>
        <v>46132</v>
      </c>
      <c r="C52" s="494"/>
      <c r="D52" s="269">
        <f ca="1">IF(N52=0,IF(N51=1,SUM(D$26:E51)," "),IF(N52=0," ",IF(N53=1,D$26,IF(N53=0,D$10-D$26*(M$14-1)," "))))</f>
        <v>20.83</v>
      </c>
      <c r="E52" s="269"/>
      <c r="F52" s="87">
        <f ca="1">IF(N52=0,IF(N51=1,SUM(F$26:F51)," "),IF(M$1=1,P52,IF(M$1=2,Q52," ")))</f>
        <v>11.414077777777756</v>
      </c>
      <c r="G52" s="87">
        <v>0</v>
      </c>
      <c r="H52" s="87">
        <f t="shared" ca="1" si="2"/>
        <v>32.244077777777754</v>
      </c>
      <c r="I52" s="87">
        <f t="shared" ca="1" si="3"/>
        <v>23.810000000000002</v>
      </c>
      <c r="J52" s="87">
        <f t="shared" ca="1" si="4"/>
        <v>13.04210555555558</v>
      </c>
      <c r="K52" s="87">
        <v>0</v>
      </c>
      <c r="L52" s="87">
        <f t="shared" ca="1" si="23"/>
        <v>36.852105555555582</v>
      </c>
      <c r="M52" s="2">
        <v>27</v>
      </c>
      <c r="N52" s="2">
        <f t="shared" ca="1" si="35"/>
        <v>1</v>
      </c>
      <c r="O52" s="2">
        <f t="shared" ca="1" si="5"/>
        <v>20</v>
      </c>
      <c r="P52" s="134">
        <f t="shared" ca="1" si="6"/>
        <v>11.414077777777756</v>
      </c>
      <c r="Q52" s="134">
        <f t="shared" ca="1" si="7"/>
        <v>11.414077777777756</v>
      </c>
      <c r="R52" s="134">
        <f t="shared" ca="1" si="36"/>
        <v>458.41999999999911</v>
      </c>
      <c r="S52" s="134">
        <f t="shared" ca="1" si="26"/>
        <v>20.83</v>
      </c>
      <c r="T52" s="134">
        <f t="shared" ca="1" si="27"/>
        <v>20.83</v>
      </c>
      <c r="U52" s="134">
        <f t="shared" ca="1" si="37"/>
        <v>11.414077777777756</v>
      </c>
      <c r="V52" s="134">
        <f t="shared" ca="1" si="38"/>
        <v>11.414077777777756</v>
      </c>
      <c r="W52" s="134">
        <f t="shared" ca="1" si="28"/>
        <v>24.166666666666664</v>
      </c>
      <c r="X52" s="134">
        <f t="shared" ca="1" si="29"/>
        <v>20</v>
      </c>
      <c r="Y52" s="134">
        <f t="shared" ca="1" si="8"/>
        <v>523.80000000000109</v>
      </c>
      <c r="Z52" s="134">
        <f t="shared" ca="1" si="30"/>
        <v>13.04210555555558</v>
      </c>
      <c r="AA52" s="134">
        <f t="shared" ca="1" si="9"/>
        <v>13.04210555555558</v>
      </c>
      <c r="AB52" s="134">
        <f t="shared" ca="1" si="34"/>
        <v>14169.199999999972</v>
      </c>
      <c r="AC52" s="134">
        <f t="shared" ca="1" si="10"/>
        <v>0</v>
      </c>
      <c r="AD52" s="134">
        <f t="shared" ca="1" si="11"/>
        <v>0</v>
      </c>
      <c r="AE52" s="134">
        <f t="shared" ca="1" si="33"/>
        <v>0</v>
      </c>
      <c r="AF52" s="134">
        <f t="shared" ca="1" si="12"/>
        <v>0</v>
      </c>
      <c r="AG52" s="134">
        <f t="shared" ca="1" si="31"/>
        <v>0</v>
      </c>
      <c r="AH52" s="134">
        <f t="shared" ca="1" si="13"/>
        <v>0</v>
      </c>
      <c r="AI52" s="134">
        <f t="shared" ca="1" si="39"/>
        <v>458.41999999999911</v>
      </c>
      <c r="AJ52" s="134">
        <f t="shared" ca="1" si="40"/>
        <v>0</v>
      </c>
      <c r="AK52" s="134">
        <f t="shared" ca="1" si="41"/>
        <v>0</v>
      </c>
      <c r="AL52" s="132">
        <f t="shared" ca="1" si="15"/>
        <v>4</v>
      </c>
      <c r="AM52" s="132">
        <f t="shared" ca="1" si="16"/>
        <v>4</v>
      </c>
      <c r="AN52" s="2">
        <f t="shared" ca="1" si="17"/>
        <v>2026</v>
      </c>
      <c r="AO52" s="2">
        <f t="shared" ca="1" si="0"/>
        <v>2026</v>
      </c>
      <c r="AP52" s="2">
        <f t="shared" ca="1" si="18"/>
        <v>0</v>
      </c>
      <c r="AQ52" s="2">
        <f t="shared" ca="1" si="19"/>
        <v>30</v>
      </c>
      <c r="AR52" s="2">
        <f t="shared" si="20"/>
        <v>20</v>
      </c>
      <c r="AS52" s="2">
        <f t="shared" ca="1" si="32"/>
        <v>30</v>
      </c>
      <c r="AT52" s="2"/>
      <c r="AU52" s="2"/>
      <c r="AV52" s="2"/>
      <c r="AW52" s="2"/>
      <c r="AX52" s="2"/>
      <c r="AY52" s="2">
        <f t="shared" ca="1" si="21"/>
        <v>1</v>
      </c>
      <c r="AZ52" s="2"/>
      <c r="BA52" s="2"/>
      <c r="BB52" s="2"/>
      <c r="BC52" s="2"/>
      <c r="BD52" s="2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28</v>
      </c>
      <c r="B53" s="494">
        <f t="shared" ca="1" si="1"/>
        <v>46162</v>
      </c>
      <c r="C53" s="494"/>
      <c r="D53" s="269">
        <f ca="1">IF(N53=0,IF(N52=1,SUM(D$26:E52)," "),IF(N53=0," ",IF(N54=1,D$26,IF(N54=0,D$10-D$26*(M$14-1)," "))))</f>
        <v>20.83</v>
      </c>
      <c r="E53" s="269"/>
      <c r="F53" s="87">
        <f ca="1">IF(N53=0,IF(N52=1,SUM(F$26:F52)," "),IF(M$1=1,P53,IF(M$1=2,Q53," ")))</f>
        <v>10.91068611111109</v>
      </c>
      <c r="G53" s="87">
        <v>0</v>
      </c>
      <c r="H53" s="87">
        <f t="shared" ca="1" si="2"/>
        <v>31.740686111111089</v>
      </c>
      <c r="I53" s="87">
        <f t="shared" ca="1" si="3"/>
        <v>23.810000000000002</v>
      </c>
      <c r="J53" s="87">
        <f t="shared" ca="1" si="4"/>
        <v>12.466697222222249</v>
      </c>
      <c r="K53" s="87">
        <v>0</v>
      </c>
      <c r="L53" s="87">
        <f t="shared" ca="1" si="23"/>
        <v>36.276697222222253</v>
      </c>
      <c r="M53" s="2">
        <v>28</v>
      </c>
      <c r="N53" s="2">
        <f t="shared" ca="1" si="35"/>
        <v>1</v>
      </c>
      <c r="O53" s="2">
        <f t="shared" ca="1" si="5"/>
        <v>20</v>
      </c>
      <c r="P53" s="134">
        <f t="shared" ca="1" si="6"/>
        <v>10.91068611111109</v>
      </c>
      <c r="Q53" s="134">
        <f t="shared" ca="1" si="7"/>
        <v>10.91068611111109</v>
      </c>
      <c r="R53" s="134">
        <f t="shared" ca="1" si="36"/>
        <v>437.58999999999912</v>
      </c>
      <c r="S53" s="134">
        <f t="shared" ca="1" si="26"/>
        <v>20.83</v>
      </c>
      <c r="T53" s="134">
        <f t="shared" ca="1" si="27"/>
        <v>20.83</v>
      </c>
      <c r="U53" s="134">
        <f t="shared" ca="1" si="37"/>
        <v>10.91068611111109</v>
      </c>
      <c r="V53" s="134">
        <f t="shared" ca="1" si="38"/>
        <v>10.91068611111109</v>
      </c>
      <c r="W53" s="134">
        <f t="shared" ca="1" si="28"/>
        <v>24.166666666666664</v>
      </c>
      <c r="X53" s="134">
        <f t="shared" ca="1" si="29"/>
        <v>20</v>
      </c>
      <c r="Y53" s="134">
        <f t="shared" ca="1" si="8"/>
        <v>499.99000000000109</v>
      </c>
      <c r="Z53" s="134">
        <f t="shared" ca="1" si="30"/>
        <v>12.466697222222249</v>
      </c>
      <c r="AA53" s="134">
        <f t="shared" ca="1" si="9"/>
        <v>12.466697222222249</v>
      </c>
      <c r="AB53" s="134">
        <f t="shared" ca="1" si="34"/>
        <v>13544.299999999974</v>
      </c>
      <c r="AC53" s="134">
        <f t="shared" ca="1" si="10"/>
        <v>0</v>
      </c>
      <c r="AD53" s="134">
        <f t="shared" ca="1" si="11"/>
        <v>0</v>
      </c>
      <c r="AE53" s="134">
        <f t="shared" ca="1" si="33"/>
        <v>0</v>
      </c>
      <c r="AF53" s="134">
        <f t="shared" ca="1" si="12"/>
        <v>0</v>
      </c>
      <c r="AG53" s="134">
        <f t="shared" ca="1" si="31"/>
        <v>0</v>
      </c>
      <c r="AH53" s="134">
        <f t="shared" ca="1" si="13"/>
        <v>0</v>
      </c>
      <c r="AI53" s="134">
        <f t="shared" ca="1" si="39"/>
        <v>437.58999999999912</v>
      </c>
      <c r="AJ53" s="134">
        <f t="shared" ca="1" si="40"/>
        <v>0</v>
      </c>
      <c r="AK53" s="134">
        <f t="shared" ca="1" si="41"/>
        <v>0</v>
      </c>
      <c r="AL53" s="132">
        <f t="shared" ca="1" si="15"/>
        <v>5</v>
      </c>
      <c r="AM53" s="132">
        <f t="shared" ca="1" si="16"/>
        <v>5</v>
      </c>
      <c r="AN53" s="2">
        <f t="shared" ca="1" si="17"/>
        <v>2026</v>
      </c>
      <c r="AO53" s="2">
        <f t="shared" ca="1" si="0"/>
        <v>2026</v>
      </c>
      <c r="AP53" s="2">
        <f t="shared" ca="1" si="18"/>
        <v>0</v>
      </c>
      <c r="AQ53" s="2">
        <f t="shared" ca="1" si="19"/>
        <v>30</v>
      </c>
      <c r="AR53" s="2">
        <f t="shared" si="20"/>
        <v>20</v>
      </c>
      <c r="AS53" s="2">
        <f t="shared" ca="1" si="32"/>
        <v>30</v>
      </c>
      <c r="AT53" s="2"/>
      <c r="AU53" s="2"/>
      <c r="AV53" s="2"/>
      <c r="AW53" s="2"/>
      <c r="AX53" s="2"/>
      <c r="AY53" s="2">
        <f t="shared" ca="1" si="21"/>
        <v>1</v>
      </c>
      <c r="AZ53" s="2"/>
      <c r="BA53" s="2"/>
      <c r="BB53" s="2"/>
      <c r="BC53" s="2"/>
      <c r="BD53" s="2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29</v>
      </c>
      <c r="B54" s="494">
        <f t="shared" ca="1" si="1"/>
        <v>46193</v>
      </c>
      <c r="C54" s="494"/>
      <c r="D54" s="269">
        <f ca="1">IF(N54=0,IF(N53=1,SUM(D$26:E53)," "),IF(N54=0," ",IF(N55=1,D$26,IF(N55=0,D$10-D$26*(M$14-1)," "))))</f>
        <v>20.83</v>
      </c>
      <c r="E54" s="269"/>
      <c r="F54" s="87">
        <f ca="1">IF(N54=0,IF(N53=1,SUM(F$26:F53)," "),IF(M$1=1,P54,IF(M$1=2,Q54," ")))</f>
        <v>10.407294444444423</v>
      </c>
      <c r="G54" s="87">
        <v>0</v>
      </c>
      <c r="H54" s="87">
        <f t="shared" ca="1" si="2"/>
        <v>31.237294444444423</v>
      </c>
      <c r="I54" s="87">
        <f t="shared" ca="1" si="3"/>
        <v>23.810000000000002</v>
      </c>
      <c r="J54" s="87">
        <f t="shared" ca="1" si="4"/>
        <v>11.891288888888917</v>
      </c>
      <c r="K54" s="87">
        <v>0</v>
      </c>
      <c r="L54" s="87">
        <f t="shared" ca="1" si="23"/>
        <v>35.701288888888918</v>
      </c>
      <c r="M54" s="2">
        <v>29</v>
      </c>
      <c r="N54" s="2">
        <f t="shared" ca="1" si="35"/>
        <v>1</v>
      </c>
      <c r="O54" s="2">
        <f t="shared" ca="1" si="5"/>
        <v>20</v>
      </c>
      <c r="P54" s="134">
        <f t="shared" ca="1" si="6"/>
        <v>10.407294444444423</v>
      </c>
      <c r="Q54" s="134">
        <f t="shared" ca="1" si="7"/>
        <v>10.407294444444423</v>
      </c>
      <c r="R54" s="134">
        <f t="shared" ca="1" si="36"/>
        <v>416.75999999999914</v>
      </c>
      <c r="S54" s="134">
        <f t="shared" ca="1" si="26"/>
        <v>20.83</v>
      </c>
      <c r="T54" s="134">
        <f t="shared" ca="1" si="27"/>
        <v>20.83</v>
      </c>
      <c r="U54" s="134">
        <f t="shared" ca="1" si="37"/>
        <v>10.407294444444423</v>
      </c>
      <c r="V54" s="134">
        <f t="shared" ca="1" si="38"/>
        <v>10.407294444444423</v>
      </c>
      <c r="W54" s="134">
        <f t="shared" ca="1" si="28"/>
        <v>24.166666666666664</v>
      </c>
      <c r="X54" s="134">
        <f t="shared" ca="1" si="29"/>
        <v>20</v>
      </c>
      <c r="Y54" s="134">
        <f t="shared" ca="1" si="8"/>
        <v>476.18000000000109</v>
      </c>
      <c r="Z54" s="134">
        <f t="shared" ca="1" si="30"/>
        <v>11.891288888888917</v>
      </c>
      <c r="AA54" s="134">
        <f t="shared" ca="1" si="9"/>
        <v>11.891288888888917</v>
      </c>
      <c r="AB54" s="134">
        <f t="shared" ca="1" si="34"/>
        <v>12919.399999999974</v>
      </c>
      <c r="AC54" s="134">
        <f t="shared" ca="1" si="10"/>
        <v>0</v>
      </c>
      <c r="AD54" s="134">
        <f t="shared" ca="1" si="11"/>
        <v>0</v>
      </c>
      <c r="AE54" s="134">
        <f t="shared" ca="1" si="33"/>
        <v>0</v>
      </c>
      <c r="AF54" s="134">
        <f t="shared" ca="1" si="12"/>
        <v>0</v>
      </c>
      <c r="AG54" s="134">
        <f t="shared" ca="1" si="31"/>
        <v>0</v>
      </c>
      <c r="AH54" s="134">
        <f t="shared" ca="1" si="13"/>
        <v>0</v>
      </c>
      <c r="AI54" s="134">
        <f t="shared" ca="1" si="39"/>
        <v>416.75999999999914</v>
      </c>
      <c r="AJ54" s="134">
        <f t="shared" ca="1" si="40"/>
        <v>0</v>
      </c>
      <c r="AK54" s="134">
        <f t="shared" ca="1" si="41"/>
        <v>0</v>
      </c>
      <c r="AL54" s="132">
        <f t="shared" ca="1" si="15"/>
        <v>6</v>
      </c>
      <c r="AM54" s="132">
        <f t="shared" ca="1" si="16"/>
        <v>6</v>
      </c>
      <c r="AN54" s="2">
        <f t="shared" ca="1" si="17"/>
        <v>2026</v>
      </c>
      <c r="AO54" s="2">
        <f t="shared" ca="1" si="0"/>
        <v>2026</v>
      </c>
      <c r="AP54" s="2">
        <f t="shared" ca="1" si="18"/>
        <v>0</v>
      </c>
      <c r="AQ54" s="2">
        <f t="shared" ca="1" si="19"/>
        <v>30</v>
      </c>
      <c r="AR54" s="2">
        <f t="shared" si="20"/>
        <v>20</v>
      </c>
      <c r="AS54" s="2">
        <f t="shared" ca="1" si="32"/>
        <v>30</v>
      </c>
      <c r="AT54" s="2"/>
      <c r="AU54" s="2"/>
      <c r="AV54" s="2"/>
      <c r="AW54" s="2"/>
      <c r="AX54" s="2"/>
      <c r="AY54" s="2">
        <f t="shared" ca="1" si="21"/>
        <v>1</v>
      </c>
      <c r="AZ54" s="2"/>
      <c r="BA54" s="2"/>
      <c r="BB54" s="2"/>
      <c r="BC54" s="2"/>
      <c r="BD54" s="2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30</v>
      </c>
      <c r="B55" s="494">
        <f t="shared" ca="1" si="1"/>
        <v>46223</v>
      </c>
      <c r="C55" s="494"/>
      <c r="D55" s="269">
        <f ca="1">IF(N55=0,IF(N54=1,SUM(D$26:E54)," "),IF(N55=0," ",IF(N56=1,D$26,IF(N56=0,D$10-D$26*(M$14-1)," "))))</f>
        <v>20.83</v>
      </c>
      <c r="E55" s="269"/>
      <c r="F55" s="87">
        <f ca="1">IF(N55=0,IF(N54=1,SUM(F$26:F54)," "),IF(M$1=1,P55,IF(M$1=2,Q55," ")))</f>
        <v>9.9039027777777573</v>
      </c>
      <c r="G55" s="87">
        <v>0</v>
      </c>
      <c r="H55" s="87">
        <f t="shared" ca="1" si="2"/>
        <v>30.733902777777757</v>
      </c>
      <c r="I55" s="87">
        <f t="shared" ca="1" si="3"/>
        <v>23.810000000000002</v>
      </c>
      <c r="J55" s="87">
        <f t="shared" ca="1" si="4"/>
        <v>11.315880555555584</v>
      </c>
      <c r="K55" s="87">
        <v>0</v>
      </c>
      <c r="L55" s="87">
        <f t="shared" ca="1" si="23"/>
        <v>35.125880555555582</v>
      </c>
      <c r="M55" s="2">
        <v>30</v>
      </c>
      <c r="N55" s="2">
        <f t="shared" ca="1" si="35"/>
        <v>1</v>
      </c>
      <c r="O55" s="2">
        <f t="shared" ca="1" si="5"/>
        <v>20</v>
      </c>
      <c r="P55" s="134">
        <f t="shared" ca="1" si="6"/>
        <v>9.9039027777777573</v>
      </c>
      <c r="Q55" s="134">
        <f t="shared" ca="1" si="7"/>
        <v>9.9039027777777573</v>
      </c>
      <c r="R55" s="134">
        <f t="shared" ca="1" si="36"/>
        <v>395.92999999999915</v>
      </c>
      <c r="S55" s="134">
        <f t="shared" ca="1" si="26"/>
        <v>20.83</v>
      </c>
      <c r="T55" s="134">
        <f t="shared" ca="1" si="27"/>
        <v>20.83</v>
      </c>
      <c r="U55" s="134">
        <f t="shared" ca="1" si="37"/>
        <v>9.9039027777777573</v>
      </c>
      <c r="V55" s="134">
        <f t="shared" ca="1" si="38"/>
        <v>9.9039027777777573</v>
      </c>
      <c r="W55" s="134">
        <f t="shared" ca="1" si="28"/>
        <v>24.166666666666664</v>
      </c>
      <c r="X55" s="134">
        <f t="shared" ca="1" si="29"/>
        <v>20</v>
      </c>
      <c r="Y55" s="134">
        <f t="shared" ca="1" si="8"/>
        <v>452.37000000000108</v>
      </c>
      <c r="Z55" s="134">
        <f t="shared" ca="1" si="30"/>
        <v>11.315880555555584</v>
      </c>
      <c r="AA55" s="134">
        <f t="shared" ca="1" si="9"/>
        <v>11.315880555555584</v>
      </c>
      <c r="AB55" s="134">
        <f t="shared" ca="1" si="34"/>
        <v>12294.499999999975</v>
      </c>
      <c r="AC55" s="134">
        <f t="shared" ca="1" si="10"/>
        <v>0</v>
      </c>
      <c r="AD55" s="134">
        <f t="shared" ca="1" si="11"/>
        <v>0</v>
      </c>
      <c r="AE55" s="134">
        <f t="shared" ca="1" si="33"/>
        <v>0</v>
      </c>
      <c r="AF55" s="134">
        <f t="shared" ca="1" si="12"/>
        <v>0</v>
      </c>
      <c r="AG55" s="134">
        <f t="shared" ca="1" si="31"/>
        <v>0</v>
      </c>
      <c r="AH55" s="134">
        <f t="shared" ca="1" si="13"/>
        <v>0</v>
      </c>
      <c r="AI55" s="134">
        <f t="shared" ca="1" si="39"/>
        <v>395.92999999999915</v>
      </c>
      <c r="AJ55" s="134">
        <f t="shared" ca="1" si="40"/>
        <v>0</v>
      </c>
      <c r="AK55" s="134">
        <f t="shared" ca="1" si="41"/>
        <v>0</v>
      </c>
      <c r="AL55" s="132">
        <f t="shared" ca="1" si="15"/>
        <v>7</v>
      </c>
      <c r="AM55" s="132">
        <f t="shared" ca="1" si="16"/>
        <v>7</v>
      </c>
      <c r="AN55" s="2">
        <f t="shared" ca="1" si="17"/>
        <v>2026</v>
      </c>
      <c r="AO55" s="2">
        <f t="shared" ca="1" si="0"/>
        <v>2026</v>
      </c>
      <c r="AP55" s="2">
        <f t="shared" ca="1" si="18"/>
        <v>0</v>
      </c>
      <c r="AQ55" s="2">
        <f t="shared" ca="1" si="19"/>
        <v>30</v>
      </c>
      <c r="AR55" s="2">
        <f t="shared" si="20"/>
        <v>20</v>
      </c>
      <c r="AS55" s="2">
        <f t="shared" ca="1" si="32"/>
        <v>30</v>
      </c>
      <c r="AT55" s="2"/>
      <c r="AU55" s="2"/>
      <c r="AV55" s="2"/>
      <c r="AW55" s="2"/>
      <c r="AX55" s="2"/>
      <c r="AY55" s="2">
        <f t="shared" ca="1" si="21"/>
        <v>1</v>
      </c>
      <c r="AZ55" s="2"/>
      <c r="BA55" s="2"/>
      <c r="BB55" s="2"/>
      <c r="BC55" s="2"/>
      <c r="BD55" s="2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31</v>
      </c>
      <c r="B56" s="494">
        <f t="shared" ca="1" si="1"/>
        <v>46254</v>
      </c>
      <c r="C56" s="494"/>
      <c r="D56" s="269">
        <f ca="1">IF(N56=0,IF(N55=1,SUM(D$26:E55)," "),IF(N56=0," ",IF(N57=1,D$26,IF(N57=0,D$10-D$26*(M$14-1)," "))))</f>
        <v>20.83</v>
      </c>
      <c r="E56" s="269"/>
      <c r="F56" s="87">
        <f ca="1">IF(N56=0,IF(N55=1,SUM(F$26:F55)," "),IF(M$1=1,P56,IF(M$1=2,Q56," ")))</f>
        <v>9.4005111111110899</v>
      </c>
      <c r="G56" s="87">
        <v>0</v>
      </c>
      <c r="H56" s="87">
        <f t="shared" ca="1" si="2"/>
        <v>30.230511111111088</v>
      </c>
      <c r="I56" s="87">
        <f t="shared" ca="1" si="3"/>
        <v>23.810000000000002</v>
      </c>
      <c r="J56" s="87">
        <f t="shared" ca="1" si="4"/>
        <v>10.74047222222225</v>
      </c>
      <c r="K56" s="87">
        <v>0</v>
      </c>
      <c r="L56" s="87">
        <f t="shared" ca="1" si="23"/>
        <v>34.550472222222254</v>
      </c>
      <c r="M56" s="2">
        <v>31</v>
      </c>
      <c r="N56" s="2">
        <f t="shared" ca="1" si="35"/>
        <v>1</v>
      </c>
      <c r="O56" s="2">
        <f t="shared" ca="1" si="5"/>
        <v>20</v>
      </c>
      <c r="P56" s="134">
        <f t="shared" ca="1" si="6"/>
        <v>9.4005111111110899</v>
      </c>
      <c r="Q56" s="134">
        <f t="shared" ca="1" si="7"/>
        <v>9.4005111111110899</v>
      </c>
      <c r="R56" s="134">
        <f t="shared" ca="1" si="36"/>
        <v>375.09999999999917</v>
      </c>
      <c r="S56" s="134">
        <f t="shared" ca="1" si="26"/>
        <v>20.83</v>
      </c>
      <c r="T56" s="134">
        <f t="shared" ca="1" si="27"/>
        <v>20.83</v>
      </c>
      <c r="U56" s="134">
        <f t="shared" ca="1" si="37"/>
        <v>9.4005111111110899</v>
      </c>
      <c r="V56" s="134">
        <f t="shared" ca="1" si="38"/>
        <v>9.4005111111110899</v>
      </c>
      <c r="W56" s="134">
        <f t="shared" ca="1" si="28"/>
        <v>24.166666666666664</v>
      </c>
      <c r="X56" s="134">
        <f t="shared" ca="1" si="29"/>
        <v>20</v>
      </c>
      <c r="Y56" s="134">
        <f t="shared" ca="1" si="8"/>
        <v>428.56000000000108</v>
      </c>
      <c r="Z56" s="134">
        <f t="shared" ca="1" si="30"/>
        <v>10.74047222222225</v>
      </c>
      <c r="AA56" s="134">
        <f t="shared" ca="1" si="9"/>
        <v>10.74047222222225</v>
      </c>
      <c r="AB56" s="134">
        <f t="shared" ca="1" si="34"/>
        <v>11669.599999999975</v>
      </c>
      <c r="AC56" s="134">
        <f t="shared" ca="1" si="10"/>
        <v>0</v>
      </c>
      <c r="AD56" s="134">
        <f t="shared" ca="1" si="11"/>
        <v>0</v>
      </c>
      <c r="AE56" s="134">
        <f t="shared" ca="1" si="33"/>
        <v>0</v>
      </c>
      <c r="AF56" s="134">
        <f t="shared" ca="1" si="12"/>
        <v>0</v>
      </c>
      <c r="AG56" s="134">
        <f t="shared" ca="1" si="31"/>
        <v>0</v>
      </c>
      <c r="AH56" s="134">
        <f t="shared" ca="1" si="13"/>
        <v>0</v>
      </c>
      <c r="AI56" s="134">
        <f t="shared" ca="1" si="39"/>
        <v>375.09999999999917</v>
      </c>
      <c r="AJ56" s="134">
        <f t="shared" ca="1" si="40"/>
        <v>0</v>
      </c>
      <c r="AK56" s="134">
        <f t="shared" ca="1" si="41"/>
        <v>0</v>
      </c>
      <c r="AL56" s="132">
        <f t="shared" ca="1" si="15"/>
        <v>8</v>
      </c>
      <c r="AM56" s="132">
        <f t="shared" ca="1" si="16"/>
        <v>8</v>
      </c>
      <c r="AN56" s="2">
        <f t="shared" ca="1" si="17"/>
        <v>2026</v>
      </c>
      <c r="AO56" s="2">
        <f t="shared" ca="1" si="0"/>
        <v>2026</v>
      </c>
      <c r="AP56" s="2">
        <f t="shared" ca="1" si="18"/>
        <v>0</v>
      </c>
      <c r="AQ56" s="2">
        <f t="shared" ca="1" si="19"/>
        <v>30</v>
      </c>
      <c r="AR56" s="2">
        <f t="shared" si="20"/>
        <v>20</v>
      </c>
      <c r="AS56" s="2">
        <f t="shared" ca="1" si="32"/>
        <v>30</v>
      </c>
      <c r="AT56" s="2"/>
      <c r="AU56" s="2"/>
      <c r="AV56" s="2"/>
      <c r="AW56" s="2"/>
      <c r="AX56" s="2"/>
      <c r="AY56" s="2">
        <f t="shared" ca="1" si="21"/>
        <v>1</v>
      </c>
      <c r="AZ56" s="2"/>
      <c r="BA56" s="2"/>
      <c r="BB56" s="2"/>
      <c r="BC56" s="2"/>
      <c r="BD56" s="2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32</v>
      </c>
      <c r="B57" s="494">
        <f t="shared" ca="1" si="1"/>
        <v>46285</v>
      </c>
      <c r="C57" s="494"/>
      <c r="D57" s="269">
        <f ca="1">IF(N57=0,IF(N56=1,SUM(D$26:E56)," "),IF(N57=0," ",IF(N58=1,D$26,IF(N58=0,D$10-D$26*(M$14-1)," "))))</f>
        <v>20.83</v>
      </c>
      <c r="E57" s="269"/>
      <c r="F57" s="87">
        <f ca="1">IF(N57=0,IF(N56=1,SUM(F$26:F56)," "),IF(M$1=1,P57,IF(M$1=2,Q57," ")))</f>
        <v>8.8971194444444244</v>
      </c>
      <c r="G57" s="87">
        <v>0</v>
      </c>
      <c r="H57" s="87">
        <f t="shared" ca="1" si="2"/>
        <v>29.727119444444423</v>
      </c>
      <c r="I57" s="87">
        <f t="shared" ca="1" si="3"/>
        <v>23.810000000000002</v>
      </c>
      <c r="J57" s="87">
        <f t="shared" ca="1" si="4"/>
        <v>10.165063888888914</v>
      </c>
      <c r="K57" s="87">
        <v>0</v>
      </c>
      <c r="L57" s="87">
        <f t="shared" ca="1" si="23"/>
        <v>33.975063888888918</v>
      </c>
      <c r="M57" s="2">
        <v>32</v>
      </c>
      <c r="N57" s="2">
        <f t="shared" ca="1" si="35"/>
        <v>1</v>
      </c>
      <c r="O57" s="2">
        <f t="shared" ca="1" si="5"/>
        <v>20</v>
      </c>
      <c r="P57" s="134">
        <f t="shared" ca="1" si="6"/>
        <v>8.8971194444444244</v>
      </c>
      <c r="Q57" s="134">
        <f t="shared" ca="1" si="7"/>
        <v>8.8971194444444244</v>
      </c>
      <c r="R57" s="134">
        <f t="shared" ca="1" si="36"/>
        <v>354.26999999999919</v>
      </c>
      <c r="S57" s="134">
        <f t="shared" ca="1" si="26"/>
        <v>20.83</v>
      </c>
      <c r="T57" s="134">
        <f t="shared" ca="1" si="27"/>
        <v>20.83</v>
      </c>
      <c r="U57" s="134">
        <f t="shared" ca="1" si="37"/>
        <v>8.8971194444444244</v>
      </c>
      <c r="V57" s="134">
        <f t="shared" ca="1" si="38"/>
        <v>8.8971194444444244</v>
      </c>
      <c r="W57" s="134">
        <f t="shared" ca="1" si="28"/>
        <v>24.166666666666664</v>
      </c>
      <c r="X57" s="134">
        <f t="shared" ca="1" si="29"/>
        <v>20</v>
      </c>
      <c r="Y57" s="134">
        <f t="shared" ca="1" si="8"/>
        <v>404.75000000000108</v>
      </c>
      <c r="Z57" s="134">
        <f t="shared" ca="1" si="30"/>
        <v>10.165063888888914</v>
      </c>
      <c r="AA57" s="134">
        <f t="shared" ca="1" si="9"/>
        <v>10.165063888888914</v>
      </c>
      <c r="AB57" s="134">
        <f t="shared" ca="1" si="34"/>
        <v>11044.699999999975</v>
      </c>
      <c r="AC57" s="134">
        <f t="shared" ca="1" si="10"/>
        <v>0</v>
      </c>
      <c r="AD57" s="134">
        <f t="shared" ca="1" si="11"/>
        <v>0</v>
      </c>
      <c r="AE57" s="134">
        <f t="shared" ca="1" si="33"/>
        <v>0</v>
      </c>
      <c r="AF57" s="134">
        <f t="shared" ca="1" si="12"/>
        <v>0</v>
      </c>
      <c r="AG57" s="134">
        <f t="shared" ca="1" si="31"/>
        <v>0</v>
      </c>
      <c r="AH57" s="134">
        <f t="shared" ca="1" si="13"/>
        <v>0</v>
      </c>
      <c r="AI57" s="134">
        <f t="shared" ca="1" si="39"/>
        <v>354.26999999999919</v>
      </c>
      <c r="AJ57" s="134">
        <f t="shared" ca="1" si="40"/>
        <v>0</v>
      </c>
      <c r="AK57" s="134">
        <f t="shared" ca="1" si="41"/>
        <v>0</v>
      </c>
      <c r="AL57" s="132">
        <f t="shared" ca="1" si="15"/>
        <v>9</v>
      </c>
      <c r="AM57" s="132">
        <f t="shared" ca="1" si="16"/>
        <v>9</v>
      </c>
      <c r="AN57" s="2">
        <f t="shared" ca="1" si="17"/>
        <v>2026</v>
      </c>
      <c r="AO57" s="2">
        <f t="shared" ca="1" si="0"/>
        <v>2026</v>
      </c>
      <c r="AP57" s="2">
        <f t="shared" ca="1" si="18"/>
        <v>0</v>
      </c>
      <c r="AQ57" s="2">
        <f t="shared" ca="1" si="19"/>
        <v>30</v>
      </c>
      <c r="AR57" s="2">
        <f t="shared" si="20"/>
        <v>20</v>
      </c>
      <c r="AS57" s="2">
        <f t="shared" ca="1" si="32"/>
        <v>30</v>
      </c>
      <c r="AT57" s="2"/>
      <c r="AU57" s="2"/>
      <c r="AV57" s="2"/>
      <c r="AW57" s="2"/>
      <c r="AX57" s="2"/>
      <c r="AY57" s="2">
        <f t="shared" ca="1" si="21"/>
        <v>1</v>
      </c>
      <c r="AZ57" s="2"/>
      <c r="BA57" s="2"/>
      <c r="BB57" s="2"/>
      <c r="BC57" s="2"/>
      <c r="BD57" s="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33</v>
      </c>
      <c r="B58" s="494">
        <f t="shared" ca="1" si="1"/>
        <v>46315</v>
      </c>
      <c r="C58" s="494"/>
      <c r="D58" s="269">
        <f ca="1">IF(N58=0,IF(N57=1,SUM(D$26:E57)," "),IF(N58=0," ",IF(N59=1,D$26,IF(N59=0,D$10-D$26*(M$14-1)," "))))</f>
        <v>20.83</v>
      </c>
      <c r="E58" s="269"/>
      <c r="F58" s="87">
        <f ca="1">IF(N58=0,IF(N57=1,SUM(F$26:F57)," "),IF(M$1=1,P58,IF(M$1=2,Q58," ")))</f>
        <v>8.393727777777757</v>
      </c>
      <c r="G58" s="87">
        <v>0</v>
      </c>
      <c r="H58" s="87">
        <f t="shared" ca="1" si="2"/>
        <v>29.223727777777754</v>
      </c>
      <c r="I58" s="87">
        <f t="shared" ca="1" si="3"/>
        <v>23.810000000000002</v>
      </c>
      <c r="J58" s="87">
        <f t="shared" ca="1" si="4"/>
        <v>9.5896555555555807</v>
      </c>
      <c r="K58" s="87">
        <v>0</v>
      </c>
      <c r="L58" s="87">
        <f t="shared" ca="1" si="23"/>
        <v>33.399655555555583</v>
      </c>
      <c r="M58" s="2">
        <v>33</v>
      </c>
      <c r="N58" s="2">
        <f t="shared" ca="1" si="35"/>
        <v>1</v>
      </c>
      <c r="O58" s="2">
        <f t="shared" ca="1" si="5"/>
        <v>20</v>
      </c>
      <c r="P58" s="134">
        <f t="shared" ca="1" si="6"/>
        <v>8.393727777777757</v>
      </c>
      <c r="Q58" s="134">
        <f t="shared" ca="1" si="7"/>
        <v>8.393727777777757</v>
      </c>
      <c r="R58" s="134">
        <f t="shared" ca="1" si="36"/>
        <v>333.4399999999992</v>
      </c>
      <c r="S58" s="134">
        <f t="shared" ca="1" si="26"/>
        <v>20.83</v>
      </c>
      <c r="T58" s="134">
        <f t="shared" ca="1" si="27"/>
        <v>20.83</v>
      </c>
      <c r="U58" s="134">
        <f t="shared" ca="1" si="37"/>
        <v>8.393727777777757</v>
      </c>
      <c r="V58" s="134">
        <f t="shared" ca="1" si="38"/>
        <v>8.393727777777757</v>
      </c>
      <c r="W58" s="134">
        <f t="shared" ca="1" si="28"/>
        <v>24.166666666666664</v>
      </c>
      <c r="X58" s="134">
        <f t="shared" ca="1" si="29"/>
        <v>20</v>
      </c>
      <c r="Y58" s="134">
        <f t="shared" ca="1" si="8"/>
        <v>380.94000000000108</v>
      </c>
      <c r="Z58" s="134">
        <f t="shared" ca="1" si="30"/>
        <v>9.5896555555555807</v>
      </c>
      <c r="AA58" s="134">
        <f t="shared" ca="1" si="9"/>
        <v>9.5896555555555807</v>
      </c>
      <c r="AB58" s="134">
        <f t="shared" ca="1" si="34"/>
        <v>10419.799999999976</v>
      </c>
      <c r="AC58" s="134">
        <f t="shared" ca="1" si="10"/>
        <v>0</v>
      </c>
      <c r="AD58" s="134">
        <f t="shared" ca="1" si="11"/>
        <v>0</v>
      </c>
      <c r="AE58" s="134">
        <f t="shared" ca="1" si="33"/>
        <v>0</v>
      </c>
      <c r="AF58" s="134">
        <f t="shared" ca="1" si="12"/>
        <v>0</v>
      </c>
      <c r="AG58" s="134">
        <f t="shared" ca="1" si="31"/>
        <v>0</v>
      </c>
      <c r="AH58" s="134">
        <f t="shared" ca="1" si="13"/>
        <v>0</v>
      </c>
      <c r="AI58" s="134">
        <f t="shared" ca="1" si="39"/>
        <v>333.4399999999992</v>
      </c>
      <c r="AJ58" s="134">
        <f t="shared" ca="1" si="40"/>
        <v>0</v>
      </c>
      <c r="AK58" s="134">
        <f t="shared" ca="1" si="41"/>
        <v>0</v>
      </c>
      <c r="AL58" s="132">
        <f t="shared" ca="1" si="15"/>
        <v>10</v>
      </c>
      <c r="AM58" s="132">
        <f t="shared" ca="1" si="16"/>
        <v>10</v>
      </c>
      <c r="AN58" s="2">
        <f t="shared" ca="1" si="17"/>
        <v>2026</v>
      </c>
      <c r="AO58" s="2">
        <f t="shared" ca="1" si="0"/>
        <v>2026</v>
      </c>
      <c r="AP58" s="2">
        <f t="shared" ca="1" si="18"/>
        <v>0</v>
      </c>
      <c r="AQ58" s="2">
        <f t="shared" ca="1" si="19"/>
        <v>30</v>
      </c>
      <c r="AR58" s="2">
        <f t="shared" si="20"/>
        <v>20</v>
      </c>
      <c r="AS58" s="2">
        <f t="shared" ca="1" si="32"/>
        <v>30</v>
      </c>
      <c r="AT58" s="2"/>
      <c r="AU58" s="2"/>
      <c r="AV58" s="2"/>
      <c r="AW58" s="2"/>
      <c r="AX58" s="2"/>
      <c r="AY58" s="2">
        <f t="shared" ca="1" si="21"/>
        <v>1</v>
      </c>
      <c r="AZ58" s="2"/>
      <c r="BA58" s="2"/>
      <c r="BB58" s="2"/>
      <c r="BC58" s="2"/>
      <c r="BD58" s="2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34</v>
      </c>
      <c r="B59" s="494">
        <f t="shared" ref="B59:B86" ca="1" si="42">IF(N59=0,IF(N58=1,"ИТОГО"," "),IF(A$14=D$14+1,IF(M59=A$14,IF(MONTH(B58)=2,IF(DAY(D$16)&gt;29,DATE(YEAR(B58),MONTH(B58),AS59),DATE(YEAR(B58),MONTH(B58),O59)),DATE(YEAR(B58),MONTH(B58),O59)),DATE(YEAR(B58),MONTH(B58)+1,O59)),DATE(YEAR(B58),MONTH(B58)+1,O59)))</f>
        <v>46346</v>
      </c>
      <c r="C59" s="494"/>
      <c r="D59" s="269">
        <f ca="1">IF(N59=0,IF(N58=1,SUM(D$26:E58)," "),IF(N59=0," ",IF(N60=1,D$26,IF(N60=0,D$10-D$26*(M$14-1)," "))))</f>
        <v>20.83</v>
      </c>
      <c r="E59" s="269"/>
      <c r="F59" s="87">
        <f ca="1">IF(N59=0,IF(N58=1,SUM(F$26:F58)," "),IF(M$1=1,P59,IF(M$1=2,Q59," ")))</f>
        <v>7.8903361111110915</v>
      </c>
      <c r="G59" s="87">
        <v>0</v>
      </c>
      <c r="H59" s="87">
        <f t="shared" ca="1" si="2"/>
        <v>28.720336111111088</v>
      </c>
      <c r="I59" s="87">
        <f t="shared" ref="I59:I86" ca="1" si="43">IF(N59=1,IF(N60=1,IF(M59&lt;=D$15,T59,AV$27),D$10-AV$27*M$16+AV$27),0)</f>
        <v>23.810000000000002</v>
      </c>
      <c r="J59" s="87">
        <f t="shared" ca="1" si="4"/>
        <v>9.0142472222222487</v>
      </c>
      <c r="K59" s="87">
        <v>0</v>
      </c>
      <c r="L59" s="87">
        <f t="shared" ca="1" si="23"/>
        <v>32.824247222222255</v>
      </c>
      <c r="M59" s="2">
        <v>34</v>
      </c>
      <c r="N59" s="2">
        <f t="shared" ca="1" si="35"/>
        <v>1</v>
      </c>
      <c r="O59" s="2">
        <f t="shared" ca="1" si="5"/>
        <v>20</v>
      </c>
      <c r="P59" s="134">
        <f t="shared" ca="1" si="6"/>
        <v>7.8903361111110915</v>
      </c>
      <c r="Q59" s="134">
        <f t="shared" ca="1" si="7"/>
        <v>7.8903361111110915</v>
      </c>
      <c r="R59" s="134">
        <f t="shared" ca="1" si="36"/>
        <v>312.60999999999922</v>
      </c>
      <c r="S59" s="134">
        <f t="shared" ca="1" si="26"/>
        <v>20.83</v>
      </c>
      <c r="T59" s="134">
        <f t="shared" ca="1" si="27"/>
        <v>20.83</v>
      </c>
      <c r="U59" s="134">
        <f t="shared" ca="1" si="37"/>
        <v>7.8903361111110915</v>
      </c>
      <c r="V59" s="134">
        <f t="shared" ca="1" si="38"/>
        <v>7.8903361111110915</v>
      </c>
      <c r="W59" s="134">
        <f t="shared" ca="1" si="28"/>
        <v>24.166666666666664</v>
      </c>
      <c r="X59" s="134">
        <f t="shared" ca="1" si="29"/>
        <v>20</v>
      </c>
      <c r="Y59" s="134">
        <f t="shared" ca="1" si="8"/>
        <v>357.13000000000108</v>
      </c>
      <c r="Z59" s="134">
        <f t="shared" ca="1" si="30"/>
        <v>9.0142472222222487</v>
      </c>
      <c r="AA59" s="134">
        <f t="shared" ca="1" si="9"/>
        <v>9.0142472222222487</v>
      </c>
      <c r="AB59" s="134">
        <f t="shared" ca="1" si="34"/>
        <v>9794.899999999976</v>
      </c>
      <c r="AC59" s="134">
        <f t="shared" ca="1" si="10"/>
        <v>0</v>
      </c>
      <c r="AD59" s="134">
        <f t="shared" ca="1" si="11"/>
        <v>0</v>
      </c>
      <c r="AE59" s="134">
        <f t="shared" ca="1" si="33"/>
        <v>0</v>
      </c>
      <c r="AF59" s="134">
        <f t="shared" ca="1" si="12"/>
        <v>0</v>
      </c>
      <c r="AG59" s="134">
        <f t="shared" ca="1" si="31"/>
        <v>0</v>
      </c>
      <c r="AH59" s="134">
        <f t="shared" ca="1" si="13"/>
        <v>0</v>
      </c>
      <c r="AI59" s="134">
        <f t="shared" ca="1" si="39"/>
        <v>312.60999999999922</v>
      </c>
      <c r="AJ59" s="134">
        <f t="shared" ca="1" si="40"/>
        <v>0</v>
      </c>
      <c r="AK59" s="134">
        <f t="shared" ca="1" si="41"/>
        <v>0</v>
      </c>
      <c r="AL59" s="132">
        <f t="shared" ca="1" si="15"/>
        <v>11</v>
      </c>
      <c r="AM59" s="132">
        <f t="shared" ca="1" si="16"/>
        <v>11</v>
      </c>
      <c r="AN59" s="2">
        <f t="shared" ca="1" si="17"/>
        <v>2026</v>
      </c>
      <c r="AO59" s="2">
        <f t="shared" ca="1" si="0"/>
        <v>2026</v>
      </c>
      <c r="AP59" s="2">
        <f t="shared" ca="1" si="18"/>
        <v>0</v>
      </c>
      <c r="AQ59" s="2">
        <f t="shared" ca="1" si="19"/>
        <v>30</v>
      </c>
      <c r="AR59" s="2">
        <f t="shared" si="20"/>
        <v>20</v>
      </c>
      <c r="AS59" s="2">
        <f t="shared" ca="1" si="32"/>
        <v>30</v>
      </c>
      <c r="AT59" s="2"/>
      <c r="AU59" s="2"/>
      <c r="AV59" s="2"/>
      <c r="AW59" s="2"/>
      <c r="AX59" s="2"/>
      <c r="AY59" s="2">
        <f t="shared" ca="1" si="21"/>
        <v>1</v>
      </c>
      <c r="AZ59" s="2"/>
      <c r="BA59" s="2"/>
      <c r="BB59" s="2"/>
      <c r="BC59" s="2"/>
      <c r="BD59" s="2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35</v>
      </c>
      <c r="B60" s="494">
        <f t="shared" ca="1" si="42"/>
        <v>46376</v>
      </c>
      <c r="C60" s="494"/>
      <c r="D60" s="269">
        <f ca="1">IF(N60=0,IF(N59=1,SUM(D$26:E59)," "),IF(N60=0," ",IF(N61=1,D$26,IF(N61=0,D$10-D$26*(M$14-1)," "))))</f>
        <v>20.83</v>
      </c>
      <c r="E60" s="269"/>
      <c r="F60" s="87">
        <f ca="1">IF(N60=0,IF(N59=1,SUM(F$26:F59)," "),IF(M$1=1,P60,IF(M$1=2,Q60," ")))</f>
        <v>7.3869444444444241</v>
      </c>
      <c r="G60" s="87">
        <v>0</v>
      </c>
      <c r="H60" s="87">
        <f t="shared" ca="1" si="2"/>
        <v>28.216944444444422</v>
      </c>
      <c r="I60" s="87">
        <f t="shared" ca="1" si="43"/>
        <v>23.810000000000002</v>
      </c>
      <c r="J60" s="87">
        <f t="shared" ca="1" si="4"/>
        <v>8.438838888888915</v>
      </c>
      <c r="K60" s="87">
        <v>0</v>
      </c>
      <c r="L60" s="87">
        <f t="shared" ca="1" si="23"/>
        <v>32.248838888888919</v>
      </c>
      <c r="M60" s="2">
        <v>35</v>
      </c>
      <c r="N60" s="2">
        <f t="shared" ca="1" si="35"/>
        <v>1</v>
      </c>
      <c r="O60" s="2">
        <f t="shared" ca="1" si="5"/>
        <v>20</v>
      </c>
      <c r="P60" s="134">
        <f t="shared" ca="1" si="6"/>
        <v>7.3869444444444241</v>
      </c>
      <c r="Q60" s="134">
        <f t="shared" ca="1" si="7"/>
        <v>7.3869444444444241</v>
      </c>
      <c r="R60" s="134">
        <f t="shared" ca="1" si="36"/>
        <v>291.77999999999923</v>
      </c>
      <c r="S60" s="134">
        <f t="shared" ca="1" si="26"/>
        <v>20.83</v>
      </c>
      <c r="T60" s="134">
        <f t="shared" ca="1" si="27"/>
        <v>20.83</v>
      </c>
      <c r="U60" s="134">
        <f t="shared" ca="1" si="37"/>
        <v>7.3869444444444241</v>
      </c>
      <c r="V60" s="134">
        <f t="shared" ca="1" si="38"/>
        <v>7.3869444444444241</v>
      </c>
      <c r="W60" s="134">
        <f t="shared" ca="1" si="28"/>
        <v>24.166666666666664</v>
      </c>
      <c r="X60" s="134">
        <f t="shared" ca="1" si="29"/>
        <v>20</v>
      </c>
      <c r="Y60" s="134">
        <f t="shared" ca="1" si="8"/>
        <v>333.32000000000107</v>
      </c>
      <c r="Z60" s="134">
        <f t="shared" ca="1" si="30"/>
        <v>8.438838888888915</v>
      </c>
      <c r="AA60" s="134">
        <f t="shared" ca="1" si="9"/>
        <v>8.438838888888915</v>
      </c>
      <c r="AB60" s="134">
        <f t="shared" ca="1" si="34"/>
        <v>9169.9999999999764</v>
      </c>
      <c r="AC60" s="134">
        <f t="shared" ca="1" si="10"/>
        <v>0</v>
      </c>
      <c r="AD60" s="134">
        <f t="shared" ca="1" si="11"/>
        <v>0</v>
      </c>
      <c r="AE60" s="134">
        <f t="shared" ca="1" si="33"/>
        <v>0</v>
      </c>
      <c r="AF60" s="134">
        <f t="shared" ca="1" si="12"/>
        <v>0</v>
      </c>
      <c r="AG60" s="134">
        <f t="shared" ca="1" si="31"/>
        <v>0</v>
      </c>
      <c r="AH60" s="134">
        <f t="shared" ca="1" si="13"/>
        <v>0</v>
      </c>
      <c r="AI60" s="134">
        <f t="shared" ca="1" si="39"/>
        <v>291.77999999999923</v>
      </c>
      <c r="AJ60" s="134">
        <f t="shared" ca="1" si="40"/>
        <v>0</v>
      </c>
      <c r="AK60" s="134">
        <f t="shared" ca="1" si="41"/>
        <v>0</v>
      </c>
      <c r="AL60" s="132">
        <f t="shared" ca="1" si="15"/>
        <v>12</v>
      </c>
      <c r="AM60" s="132">
        <f t="shared" ca="1" si="16"/>
        <v>12</v>
      </c>
      <c r="AN60" s="2">
        <f t="shared" ca="1" si="17"/>
        <v>2026</v>
      </c>
      <c r="AO60" s="2">
        <f t="shared" ca="1" si="0"/>
        <v>2026</v>
      </c>
      <c r="AP60" s="2">
        <f t="shared" ca="1" si="18"/>
        <v>0</v>
      </c>
      <c r="AQ60" s="2">
        <f t="shared" ca="1" si="19"/>
        <v>30</v>
      </c>
      <c r="AR60" s="2">
        <f t="shared" si="20"/>
        <v>20</v>
      </c>
      <c r="AS60" s="2">
        <f t="shared" ca="1" si="32"/>
        <v>30</v>
      </c>
      <c r="AT60" s="2"/>
      <c r="AU60" s="2"/>
      <c r="AV60" s="2"/>
      <c r="AW60" s="2"/>
      <c r="AX60" s="2"/>
      <c r="AY60" s="2">
        <f t="shared" ca="1" si="21"/>
        <v>1</v>
      </c>
      <c r="AZ60" s="2"/>
      <c r="BA60" s="2"/>
      <c r="BB60" s="2"/>
      <c r="BC60" s="2"/>
      <c r="BD60" s="2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36</v>
      </c>
      <c r="B61" s="494">
        <f t="shared" ca="1" si="42"/>
        <v>46407</v>
      </c>
      <c r="C61" s="494"/>
      <c r="D61" s="269">
        <f ca="1">IF(N61=0,IF(N60=1,SUM(D$26:E60)," "),IF(N61=0," ",IF(N62=1,D$26,IF(N62=0,D$10-D$26*(M$14-1)," "))))</f>
        <v>20.83</v>
      </c>
      <c r="E61" s="269"/>
      <c r="F61" s="87">
        <f ca="1">IF(N61=0,IF(N60=1,SUM(F$26:F60)," "),IF(M$1=1,P61,IF(M$1=2,Q61," ")))</f>
        <v>6.8835527777777585</v>
      </c>
      <c r="G61" s="87">
        <v>0</v>
      </c>
      <c r="H61" s="87">
        <f t="shared" ca="1" si="2"/>
        <v>27.713552777777757</v>
      </c>
      <c r="I61" s="87">
        <f t="shared" ca="1" si="43"/>
        <v>23.810000000000002</v>
      </c>
      <c r="J61" s="87">
        <f t="shared" ca="1" si="4"/>
        <v>7.8634305555555812</v>
      </c>
      <c r="K61" s="87">
        <v>0</v>
      </c>
      <c r="L61" s="87">
        <f t="shared" ca="1" si="23"/>
        <v>31.673430555555584</v>
      </c>
      <c r="M61" s="2">
        <v>36</v>
      </c>
      <c r="N61" s="2">
        <f t="shared" ca="1" si="35"/>
        <v>1</v>
      </c>
      <c r="O61" s="2">
        <f t="shared" ca="1" si="5"/>
        <v>20</v>
      </c>
      <c r="P61" s="134">
        <f t="shared" ca="1" si="6"/>
        <v>6.8835527777777585</v>
      </c>
      <c r="Q61" s="134">
        <f t="shared" ca="1" si="7"/>
        <v>6.8835527777777585</v>
      </c>
      <c r="R61" s="134">
        <f t="shared" ca="1" si="36"/>
        <v>270.94999999999925</v>
      </c>
      <c r="S61" s="134">
        <f t="shared" ca="1" si="26"/>
        <v>20.83</v>
      </c>
      <c r="T61" s="134">
        <f t="shared" ca="1" si="27"/>
        <v>20.83</v>
      </c>
      <c r="U61" s="134">
        <f t="shared" ca="1" si="37"/>
        <v>6.8835527777777585</v>
      </c>
      <c r="V61" s="134">
        <f t="shared" ca="1" si="38"/>
        <v>6.8835527777777585</v>
      </c>
      <c r="W61" s="134">
        <f t="shared" ca="1" si="28"/>
        <v>24.166666666666664</v>
      </c>
      <c r="X61" s="134">
        <f t="shared" ca="1" si="29"/>
        <v>20</v>
      </c>
      <c r="Y61" s="134">
        <f t="shared" ca="1" si="8"/>
        <v>309.51000000000107</v>
      </c>
      <c r="Z61" s="134">
        <f t="shared" ca="1" si="30"/>
        <v>7.8634305555555812</v>
      </c>
      <c r="AA61" s="134">
        <f t="shared" ca="1" si="9"/>
        <v>7.8634305555555812</v>
      </c>
      <c r="AB61" s="134">
        <f t="shared" ca="1" si="34"/>
        <v>8545.0999999999767</v>
      </c>
      <c r="AC61" s="134">
        <f t="shared" ca="1" si="10"/>
        <v>0</v>
      </c>
      <c r="AD61" s="134">
        <f t="shared" ca="1" si="11"/>
        <v>0</v>
      </c>
      <c r="AE61" s="134">
        <f t="shared" ca="1" si="33"/>
        <v>0</v>
      </c>
      <c r="AF61" s="134">
        <f t="shared" ca="1" si="12"/>
        <v>0</v>
      </c>
      <c r="AG61" s="134">
        <f t="shared" ca="1" si="31"/>
        <v>0</v>
      </c>
      <c r="AH61" s="134">
        <f t="shared" ca="1" si="13"/>
        <v>0</v>
      </c>
      <c r="AI61" s="134">
        <f t="shared" ca="1" si="39"/>
        <v>270.94999999999925</v>
      </c>
      <c r="AJ61" s="134">
        <f t="shared" ca="1" si="40"/>
        <v>0</v>
      </c>
      <c r="AK61" s="134">
        <f t="shared" ca="1" si="41"/>
        <v>0</v>
      </c>
      <c r="AL61" s="132">
        <f t="shared" ca="1" si="15"/>
        <v>13</v>
      </c>
      <c r="AM61" s="132">
        <f t="shared" ca="1" si="16"/>
        <v>1</v>
      </c>
      <c r="AN61" s="2">
        <f t="shared" ca="1" si="17"/>
        <v>2026</v>
      </c>
      <c r="AO61" s="2">
        <f t="shared" ca="1" si="0"/>
        <v>2027</v>
      </c>
      <c r="AP61" s="2">
        <f t="shared" ca="1" si="18"/>
        <v>0</v>
      </c>
      <c r="AQ61" s="2">
        <f t="shared" ca="1" si="19"/>
        <v>30</v>
      </c>
      <c r="AR61" s="2">
        <f t="shared" si="20"/>
        <v>20</v>
      </c>
      <c r="AS61" s="2">
        <f t="shared" ca="1" si="32"/>
        <v>30</v>
      </c>
      <c r="AT61" s="2"/>
      <c r="AU61" s="2"/>
      <c r="AV61" s="2"/>
      <c r="AW61" s="2"/>
      <c r="AX61" s="2"/>
      <c r="AY61" s="2">
        <f t="shared" ca="1" si="21"/>
        <v>1</v>
      </c>
      <c r="AZ61" s="2"/>
      <c r="BA61" s="2"/>
      <c r="BB61" s="2"/>
      <c r="BC61" s="2"/>
      <c r="BD61" s="2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37</v>
      </c>
      <c r="B62" s="494">
        <f t="shared" ca="1" si="42"/>
        <v>46438</v>
      </c>
      <c r="C62" s="494"/>
      <c r="D62" s="269">
        <f ca="1">IF(N62=0,IF(N61=1,SUM(D$26:E61)," "),IF(N62=0," ",IF(N63=1,D$26,IF(N63=0,D$10-D$26*(M$14-1)," "))))</f>
        <v>20.83</v>
      </c>
      <c r="E62" s="269"/>
      <c r="F62" s="87">
        <f ca="1">IF(N62=0,IF(N61=1,SUM(F$26:F61)," "),IF(M$1=1,P62,IF(M$1=2,Q62," ")))</f>
        <v>6.380161111111093</v>
      </c>
      <c r="G62" s="87">
        <v>0</v>
      </c>
      <c r="H62" s="87">
        <f t="shared" ca="1" si="2"/>
        <v>27.210161111111091</v>
      </c>
      <c r="I62" s="87">
        <f t="shared" ca="1" si="43"/>
        <v>23.810000000000002</v>
      </c>
      <c r="J62" s="87">
        <f t="shared" ca="1" si="4"/>
        <v>7.2880222222222475</v>
      </c>
      <c r="K62" s="87">
        <v>0</v>
      </c>
      <c r="L62" s="87">
        <f t="shared" ca="1" si="23"/>
        <v>31.098022222222248</v>
      </c>
      <c r="M62" s="2">
        <v>37</v>
      </c>
      <c r="N62" s="2">
        <f t="shared" ca="1" si="35"/>
        <v>1</v>
      </c>
      <c r="O62" s="2">
        <f t="shared" ca="1" si="5"/>
        <v>20</v>
      </c>
      <c r="P62" s="134">
        <f t="shared" ca="1" si="6"/>
        <v>6.380161111111093</v>
      </c>
      <c r="Q62" s="134">
        <f t="shared" ca="1" si="7"/>
        <v>6.380161111111093</v>
      </c>
      <c r="R62" s="134">
        <f ca="1">IF(N62=0,0,R61-D61)</f>
        <v>250.11999999999927</v>
      </c>
      <c r="S62" s="134">
        <f t="shared" ca="1" si="26"/>
        <v>20.83</v>
      </c>
      <c r="T62" s="134">
        <f t="shared" ca="1" si="27"/>
        <v>20.83</v>
      </c>
      <c r="U62" s="134">
        <f ca="1">IF(N63=1,R61*D$11*20/36000+R62*D$11*10/36000,IF(N63=0,IF(N62=0,0,IF(D$16&gt;20,R61*D$11*20/36000+R62*D$11*(Q$12-20)/36000,R62*D$11*Q$12/36000))))</f>
        <v>6.380161111111093</v>
      </c>
      <c r="V62" s="134">
        <f ca="1">IF(N63=1,R61*D$11*20/36000+R62*D$11*10/36000,IF(N63=0,IF(N62=0,0,IF(D$16&gt;20,R61*D$11*20/36000+R62*D$11*(Q$12-20)/36000,R62*D$11*Q$12/36000))))</f>
        <v>6.380161111111093</v>
      </c>
      <c r="W62" s="134">
        <f t="shared" ca="1" si="28"/>
        <v>24.166666666666664</v>
      </c>
      <c r="X62" s="134">
        <f t="shared" ca="1" si="29"/>
        <v>20</v>
      </c>
      <c r="Y62" s="134">
        <f t="shared" ca="1" si="8"/>
        <v>285.70000000000107</v>
      </c>
      <c r="Z62" s="134">
        <f ca="1">IF(N63=1,Y61*D$11*20/36000+Y62*D$11*10/36000,IF(N63=0,IF(N62=0,0,IF(D$16&gt;20,Y61*D$11*20/36000+Y62*D$11*(Q$12-20)/36000,Y62*D$11*Q$12/36000))))</f>
        <v>7.2880222222222475</v>
      </c>
      <c r="AA62" s="134">
        <f t="shared" ca="1" si="9"/>
        <v>7.2880222222222475</v>
      </c>
      <c r="AB62" s="134">
        <f ca="1">IF(R63=0,R62*Q$12,(R61*20+R62*10))</f>
        <v>7920.199999999978</v>
      </c>
      <c r="AC62" s="134">
        <f t="shared" ca="1" si="10"/>
        <v>0</v>
      </c>
      <c r="AD62" s="134">
        <f t="shared" ca="1" si="11"/>
        <v>0</v>
      </c>
      <c r="AE62" s="134">
        <f t="shared" ca="1" si="33"/>
        <v>0</v>
      </c>
      <c r="AF62" s="134">
        <f t="shared" ca="1" si="12"/>
        <v>0</v>
      </c>
      <c r="AG62" s="134">
        <f t="shared" ca="1" si="31"/>
        <v>0</v>
      </c>
      <c r="AH62" s="134">
        <f t="shared" ca="1" si="13"/>
        <v>0</v>
      </c>
      <c r="AI62" s="134">
        <f ca="1">R62</f>
        <v>250.11999999999927</v>
      </c>
      <c r="AJ62" s="134">
        <f ca="1">IF(N63=1,AI61*G$12*20/36000+AI62*G$12*10/36000,IF(N63=0,IF(N62=0,0,AI62*G$12*Q$12/36000)))</f>
        <v>0</v>
      </c>
      <c r="AK62" s="134">
        <f ca="1">IF(N63=1,AI61*G$12*20/36000+AI62*G$12*10/36000,IF(N63=0,IF(N62=0,0,AI62*G$12*Q$12/36000)))</f>
        <v>0</v>
      </c>
      <c r="AL62" s="132">
        <f t="shared" ca="1" si="15"/>
        <v>2</v>
      </c>
      <c r="AM62" s="132">
        <f t="shared" ca="1" si="16"/>
        <v>2</v>
      </c>
      <c r="AN62" s="2">
        <f t="shared" ca="1" si="17"/>
        <v>2027</v>
      </c>
      <c r="AO62" s="2">
        <f t="shared" ca="1" si="0"/>
        <v>2027</v>
      </c>
      <c r="AP62" s="2">
        <f t="shared" ca="1" si="18"/>
        <v>0</v>
      </c>
      <c r="AQ62" s="2">
        <f t="shared" ca="1" si="19"/>
        <v>28</v>
      </c>
      <c r="AR62" s="2">
        <f t="shared" si="20"/>
        <v>20</v>
      </c>
      <c r="AS62" s="2">
        <f t="shared" ca="1" si="32"/>
        <v>30</v>
      </c>
      <c r="AT62" s="2"/>
      <c r="AU62" s="2"/>
      <c r="AV62" s="2"/>
      <c r="AW62" s="2"/>
      <c r="AX62" s="2"/>
      <c r="AY62" s="2">
        <f t="shared" ca="1" si="21"/>
        <v>1</v>
      </c>
      <c r="AZ62" s="2"/>
      <c r="BA62" s="2"/>
      <c r="BB62" s="2"/>
      <c r="BC62" s="2"/>
      <c r="BD62" s="2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38</v>
      </c>
      <c r="B63" s="494">
        <f t="shared" ca="1" si="42"/>
        <v>46466</v>
      </c>
      <c r="C63" s="494"/>
      <c r="D63" s="269">
        <f ca="1">IF(N63=0,IF(N62=1,SUM(D$26:E62)," "),IF(N63=0," ",IF(N64=1,D$26,IF(N64=0,D$10-D$26*(M$14-1)," "))))</f>
        <v>20.83</v>
      </c>
      <c r="E63" s="269"/>
      <c r="F63" s="87">
        <f ca="1">IF(N63=0,IF(N62=1,SUM(F$26:F62)," "),IF(M$1=1,P63,IF(M$1=2,Q63," ")))</f>
        <v>5.8767694444444265</v>
      </c>
      <c r="G63" s="87">
        <v>0</v>
      </c>
      <c r="H63" s="87">
        <f t="shared" ca="1" si="2"/>
        <v>26.706769444444426</v>
      </c>
      <c r="I63" s="87">
        <f t="shared" ca="1" si="43"/>
        <v>23.810000000000002</v>
      </c>
      <c r="J63" s="87">
        <f t="shared" ca="1" si="4"/>
        <v>6.7126138888889146</v>
      </c>
      <c r="K63" s="87">
        <v>0</v>
      </c>
      <c r="L63" s="87">
        <f t="shared" ca="1" si="23"/>
        <v>30.522613888888916</v>
      </c>
      <c r="M63" s="2">
        <v>38</v>
      </c>
      <c r="N63" s="2">
        <f t="shared" ca="1" si="35"/>
        <v>1</v>
      </c>
      <c r="O63" s="2">
        <f t="shared" ca="1" si="5"/>
        <v>20</v>
      </c>
      <c r="P63" s="134">
        <f t="shared" ca="1" si="6"/>
        <v>5.8767694444444265</v>
      </c>
      <c r="Q63" s="134">
        <f t="shared" ca="1" si="7"/>
        <v>5.8767694444444265</v>
      </c>
      <c r="R63" s="134">
        <f t="shared" ref="R63:R73" ca="1" si="44">IF(N63=0,0,R62-D62)</f>
        <v>229.28999999999928</v>
      </c>
      <c r="S63" s="134">
        <f t="shared" ca="1" si="26"/>
        <v>20.83</v>
      </c>
      <c r="T63" s="134">
        <f t="shared" ca="1" si="27"/>
        <v>20.83</v>
      </c>
      <c r="U63" s="134">
        <f t="shared" ref="U63:U72" ca="1" si="45">IF(N64=1,R62*D$11*20/36000+R63*D$11*10/36000,IF(N64=0,IF(N63=0,0,R63*D$11*Q$12/36000+R62*D$11*20/36000+R63*D$11*10/36000)))</f>
        <v>5.8767694444444265</v>
      </c>
      <c r="V63" s="134">
        <f t="shared" ref="V63:V73" ca="1" si="46">IF(N64=1,R62*D$11*20/36000+R63*D$11*10/36000,IF(N64=0,IF(N63=0,0,R63*D$11*Q$12/36000+R62*D$11*20/36000+R63*D$11*10/36000)))</f>
        <v>5.8767694444444265</v>
      </c>
      <c r="W63" s="134">
        <f t="shared" ca="1" si="28"/>
        <v>24.166666666666664</v>
      </c>
      <c r="X63" s="134">
        <f t="shared" ca="1" si="29"/>
        <v>20</v>
      </c>
      <c r="Y63" s="134">
        <f t="shared" ca="1" si="8"/>
        <v>261.89000000000107</v>
      </c>
      <c r="Z63" s="134">
        <f t="shared" ca="1" si="30"/>
        <v>6.7126138888889146</v>
      </c>
      <c r="AA63" s="134">
        <f t="shared" ca="1" si="9"/>
        <v>6.7126138888889146</v>
      </c>
      <c r="AB63" s="134">
        <f t="shared" ref="AB63:AB73" ca="1" si="47">IF(R64=0,R63*Q$12,(R62*20+R63*10))</f>
        <v>7295.2999999999774</v>
      </c>
      <c r="AC63" s="134">
        <f t="shared" ca="1" si="10"/>
        <v>0</v>
      </c>
      <c r="AD63" s="134">
        <f t="shared" ca="1" si="11"/>
        <v>0</v>
      </c>
      <c r="AE63" s="134">
        <f t="shared" ca="1" si="33"/>
        <v>0</v>
      </c>
      <c r="AF63" s="134">
        <f t="shared" ca="1" si="12"/>
        <v>0</v>
      </c>
      <c r="AG63" s="134">
        <f t="shared" ca="1" si="31"/>
        <v>0</v>
      </c>
      <c r="AH63" s="134">
        <f t="shared" ca="1" si="13"/>
        <v>0</v>
      </c>
      <c r="AI63" s="134">
        <f t="shared" ref="AI63:AI73" ca="1" si="48">R63</f>
        <v>229.28999999999928</v>
      </c>
      <c r="AJ63" s="134">
        <f t="shared" ca="1" si="40"/>
        <v>0</v>
      </c>
      <c r="AK63" s="134">
        <f t="shared" ref="AK63:AK73" ca="1" si="49">IF(N64=1,AI62*G$12*20/36000+AI63*G$12*10/36000,IF(N64=0,IF(N63=0,0,AI63*G$12*Q$12/36000+AI62*G$12*20/36000+AI63*G$12*10/36000)))</f>
        <v>0</v>
      </c>
      <c r="AL63" s="132">
        <f t="shared" ca="1" si="15"/>
        <v>3</v>
      </c>
      <c r="AM63" s="132">
        <f t="shared" ca="1" si="16"/>
        <v>3</v>
      </c>
      <c r="AN63" s="2">
        <f t="shared" ca="1" si="17"/>
        <v>2027</v>
      </c>
      <c r="AO63" s="2">
        <f t="shared" ca="1" si="0"/>
        <v>2027</v>
      </c>
      <c r="AP63" s="2">
        <f t="shared" ca="1" si="18"/>
        <v>0</v>
      </c>
      <c r="AQ63" s="2">
        <f t="shared" ca="1" si="19"/>
        <v>30</v>
      </c>
      <c r="AR63" s="2">
        <f t="shared" si="20"/>
        <v>20</v>
      </c>
      <c r="AS63" s="2">
        <f t="shared" ca="1" si="32"/>
        <v>28</v>
      </c>
      <c r="AT63" s="2"/>
      <c r="AU63" s="2"/>
      <c r="AV63" s="2"/>
      <c r="AW63" s="2"/>
      <c r="AX63" s="2"/>
      <c r="AY63" s="2">
        <f t="shared" ca="1" si="21"/>
        <v>1</v>
      </c>
      <c r="AZ63" s="2"/>
      <c r="BA63" s="2"/>
      <c r="BB63" s="2"/>
      <c r="BC63" s="2"/>
      <c r="BD63" s="2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39</v>
      </c>
      <c r="B64" s="494">
        <f t="shared" ca="1" si="42"/>
        <v>46497</v>
      </c>
      <c r="C64" s="494"/>
      <c r="D64" s="269">
        <f ca="1">IF(N64=0,IF(N63=1,SUM(D$26:E63)," "),IF(N64=0," ",IF(N65=1,D$26,IF(N65=0,D$10-D$26*(M$14-1)," "))))</f>
        <v>20.83</v>
      </c>
      <c r="E64" s="269"/>
      <c r="F64" s="87">
        <f ca="1">IF(N64=0,IF(N63=1,SUM(F$26:F63)," "),IF(M$1=1,P64,IF(M$1=2,Q64," ")))</f>
        <v>5.37337777777776</v>
      </c>
      <c r="G64" s="87">
        <v>0</v>
      </c>
      <c r="H64" s="87">
        <f t="shared" ca="1" si="2"/>
        <v>26.20337777777776</v>
      </c>
      <c r="I64" s="87">
        <f t="shared" ca="1" si="43"/>
        <v>23.810000000000002</v>
      </c>
      <c r="J64" s="87">
        <f t="shared" ca="1" si="4"/>
        <v>6.1372055555555809</v>
      </c>
      <c r="K64" s="87">
        <v>0</v>
      </c>
      <c r="L64" s="87">
        <f t="shared" ca="1" si="23"/>
        <v>29.947205555555584</v>
      </c>
      <c r="M64" s="2">
        <v>39</v>
      </c>
      <c r="N64" s="2">
        <f t="shared" ca="1" si="35"/>
        <v>1</v>
      </c>
      <c r="O64" s="2">
        <f t="shared" ca="1" si="5"/>
        <v>20</v>
      </c>
      <c r="P64" s="134">
        <f t="shared" ca="1" si="6"/>
        <v>5.37337777777776</v>
      </c>
      <c r="Q64" s="134">
        <f t="shared" ca="1" si="7"/>
        <v>5.37337777777776</v>
      </c>
      <c r="R64" s="134">
        <f t="shared" ca="1" si="44"/>
        <v>208.4599999999993</v>
      </c>
      <c r="S64" s="134">
        <f t="shared" ca="1" si="26"/>
        <v>20.83</v>
      </c>
      <c r="T64" s="134">
        <f t="shared" ca="1" si="27"/>
        <v>20.83</v>
      </c>
      <c r="U64" s="134">
        <f t="shared" ca="1" si="45"/>
        <v>5.37337777777776</v>
      </c>
      <c r="V64" s="134">
        <f t="shared" ca="1" si="46"/>
        <v>5.37337777777776</v>
      </c>
      <c r="W64" s="134">
        <f t="shared" ca="1" si="28"/>
        <v>24.166666666666664</v>
      </c>
      <c r="X64" s="134">
        <f t="shared" ca="1" si="29"/>
        <v>20</v>
      </c>
      <c r="Y64" s="134">
        <f t="shared" ca="1" si="8"/>
        <v>238.08000000000106</v>
      </c>
      <c r="Z64" s="134">
        <f t="shared" ca="1" si="30"/>
        <v>6.1372055555555809</v>
      </c>
      <c r="AA64" s="134">
        <f t="shared" ca="1" si="9"/>
        <v>6.1372055555555809</v>
      </c>
      <c r="AB64" s="134">
        <f t="shared" ca="1" si="47"/>
        <v>6670.3999999999787</v>
      </c>
      <c r="AC64" s="134">
        <f t="shared" ca="1" si="10"/>
        <v>0</v>
      </c>
      <c r="AD64" s="134">
        <f t="shared" ca="1" si="11"/>
        <v>0</v>
      </c>
      <c r="AE64" s="134">
        <f t="shared" ca="1" si="33"/>
        <v>0</v>
      </c>
      <c r="AF64" s="134">
        <f t="shared" ca="1" si="12"/>
        <v>0</v>
      </c>
      <c r="AG64" s="134">
        <f t="shared" ca="1" si="31"/>
        <v>0</v>
      </c>
      <c r="AH64" s="134">
        <f t="shared" ca="1" si="13"/>
        <v>0</v>
      </c>
      <c r="AI64" s="134">
        <f t="shared" ca="1" si="48"/>
        <v>208.4599999999993</v>
      </c>
      <c r="AJ64" s="134">
        <f t="shared" ca="1" si="40"/>
        <v>0</v>
      </c>
      <c r="AK64" s="134">
        <f t="shared" ca="1" si="49"/>
        <v>0</v>
      </c>
      <c r="AL64" s="132">
        <f t="shared" ca="1" si="15"/>
        <v>4</v>
      </c>
      <c r="AM64" s="132">
        <f t="shared" ca="1" si="16"/>
        <v>4</v>
      </c>
      <c r="AN64" s="2">
        <f t="shared" ca="1" si="17"/>
        <v>2027</v>
      </c>
      <c r="AO64" s="2">
        <f t="shared" ca="1" si="0"/>
        <v>2027</v>
      </c>
      <c r="AP64" s="2">
        <f t="shared" ca="1" si="18"/>
        <v>0</v>
      </c>
      <c r="AQ64" s="2">
        <f t="shared" ca="1" si="19"/>
        <v>30</v>
      </c>
      <c r="AR64" s="2">
        <f t="shared" si="20"/>
        <v>20</v>
      </c>
      <c r="AS64" s="2">
        <f t="shared" ca="1" si="32"/>
        <v>30</v>
      </c>
      <c r="AT64" s="2"/>
      <c r="AU64" s="2"/>
      <c r="AV64" s="2"/>
      <c r="AW64" s="2"/>
      <c r="AX64" s="2"/>
      <c r="AY64" s="2">
        <f t="shared" ca="1" si="21"/>
        <v>1</v>
      </c>
      <c r="AZ64" s="2"/>
      <c r="BA64" s="2"/>
      <c r="BB64" s="2"/>
      <c r="BC64" s="2"/>
      <c r="BD64" s="2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40</v>
      </c>
      <c r="B65" s="494">
        <f t="shared" ca="1" si="42"/>
        <v>46527</v>
      </c>
      <c r="C65" s="494"/>
      <c r="D65" s="269">
        <f ca="1">IF(N65=0,IF(N64=1,SUM(D$26:E64)," "),IF(N65=0," ",IF(N66=1,D$26,IF(N66=0,D$10-D$26*(M$14-1)," "))))</f>
        <v>20.83</v>
      </c>
      <c r="E65" s="269"/>
      <c r="F65" s="87">
        <f ca="1">IF(N65=0,IF(N64=1,SUM(F$26:F64)," "),IF(M$1=1,P65,IF(M$1=2,Q65," ")))</f>
        <v>4.8699861111110945</v>
      </c>
      <c r="G65" s="87">
        <v>0</v>
      </c>
      <c r="H65" s="87">
        <f t="shared" ca="1" si="2"/>
        <v>25.699986111111095</v>
      </c>
      <c r="I65" s="87">
        <f t="shared" ca="1" si="43"/>
        <v>23.810000000000002</v>
      </c>
      <c r="J65" s="87">
        <f t="shared" ca="1" si="4"/>
        <v>5.561797222222248</v>
      </c>
      <c r="K65" s="87">
        <v>0</v>
      </c>
      <c r="L65" s="87">
        <f t="shared" ca="1" si="23"/>
        <v>29.371797222222249</v>
      </c>
      <c r="M65" s="2">
        <v>40</v>
      </c>
      <c r="N65" s="2">
        <f t="shared" ca="1" si="35"/>
        <v>1</v>
      </c>
      <c r="O65" s="2">
        <f t="shared" ca="1" si="5"/>
        <v>20</v>
      </c>
      <c r="P65" s="134">
        <f t="shared" ca="1" si="6"/>
        <v>4.8699861111110945</v>
      </c>
      <c r="Q65" s="134">
        <f t="shared" ca="1" si="7"/>
        <v>4.8699861111110945</v>
      </c>
      <c r="R65" s="134">
        <f t="shared" ca="1" si="44"/>
        <v>187.62999999999931</v>
      </c>
      <c r="S65" s="134">
        <f t="shared" ca="1" si="26"/>
        <v>20.83</v>
      </c>
      <c r="T65" s="134">
        <f t="shared" ca="1" si="27"/>
        <v>20.83</v>
      </c>
      <c r="U65" s="134">
        <f t="shared" ca="1" si="45"/>
        <v>4.8699861111110945</v>
      </c>
      <c r="V65" s="134">
        <f t="shared" ca="1" si="46"/>
        <v>4.8699861111110945</v>
      </c>
      <c r="W65" s="134">
        <f t="shared" ca="1" si="28"/>
        <v>24.166666666666664</v>
      </c>
      <c r="X65" s="134">
        <f t="shared" ca="1" si="29"/>
        <v>20</v>
      </c>
      <c r="Y65" s="134">
        <f t="shared" ca="1" si="8"/>
        <v>214.27000000000106</v>
      </c>
      <c r="Z65" s="134">
        <f t="shared" ca="1" si="30"/>
        <v>5.561797222222248</v>
      </c>
      <c r="AA65" s="134">
        <f t="shared" ca="1" si="9"/>
        <v>5.561797222222248</v>
      </c>
      <c r="AB65" s="134">
        <f t="shared" ca="1" si="47"/>
        <v>6045.4999999999791</v>
      </c>
      <c r="AC65" s="134">
        <f t="shared" ca="1" si="10"/>
        <v>0</v>
      </c>
      <c r="AD65" s="134">
        <f t="shared" ca="1" si="11"/>
        <v>0</v>
      </c>
      <c r="AE65" s="134">
        <f t="shared" ca="1" si="33"/>
        <v>0</v>
      </c>
      <c r="AF65" s="134">
        <f t="shared" ca="1" si="12"/>
        <v>0</v>
      </c>
      <c r="AG65" s="134">
        <f t="shared" ca="1" si="31"/>
        <v>0</v>
      </c>
      <c r="AH65" s="134">
        <f t="shared" ca="1" si="13"/>
        <v>0</v>
      </c>
      <c r="AI65" s="134">
        <f t="shared" ca="1" si="48"/>
        <v>187.62999999999931</v>
      </c>
      <c r="AJ65" s="134">
        <f t="shared" ca="1" si="40"/>
        <v>0</v>
      </c>
      <c r="AK65" s="134">
        <f t="shared" ca="1" si="49"/>
        <v>0</v>
      </c>
      <c r="AL65" s="132">
        <f t="shared" ca="1" si="15"/>
        <v>5</v>
      </c>
      <c r="AM65" s="132">
        <f t="shared" ca="1" si="16"/>
        <v>5</v>
      </c>
      <c r="AN65" s="2">
        <f t="shared" ca="1" si="17"/>
        <v>2027</v>
      </c>
      <c r="AO65" s="2">
        <f t="shared" ca="1" si="0"/>
        <v>2027</v>
      </c>
      <c r="AP65" s="2">
        <f t="shared" ca="1" si="18"/>
        <v>0</v>
      </c>
      <c r="AQ65" s="2">
        <f t="shared" ca="1" si="19"/>
        <v>30</v>
      </c>
      <c r="AR65" s="2">
        <f t="shared" si="20"/>
        <v>20</v>
      </c>
      <c r="AS65" s="2">
        <f t="shared" ca="1" si="32"/>
        <v>30</v>
      </c>
      <c r="AT65" s="2"/>
      <c r="AU65" s="2"/>
      <c r="AV65" s="2"/>
      <c r="AW65" s="2"/>
      <c r="AX65" s="2"/>
      <c r="AY65" s="2">
        <f t="shared" ca="1" si="21"/>
        <v>1</v>
      </c>
      <c r="AZ65" s="2"/>
      <c r="BA65" s="2"/>
      <c r="BB65" s="2"/>
      <c r="BC65" s="2"/>
      <c r="BD65" s="2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41</v>
      </c>
      <c r="B66" s="494">
        <f t="shared" ca="1" si="42"/>
        <v>46558</v>
      </c>
      <c r="C66" s="494"/>
      <c r="D66" s="269">
        <f ca="1">IF(N66=0,IF(N65=1,SUM(D$26:E65)," "),IF(N66=0," ",IF(N67=1,D$26,IF(N67=0,D$10-D$26*(M$14-1)," "))))</f>
        <v>20.83</v>
      </c>
      <c r="E66" s="269"/>
      <c r="F66" s="87">
        <f ca="1">IF(N66=0,IF(N65=1,SUM(F$26:F65)," "),IF(M$1=1,P66,IF(M$1=2,Q66," ")))</f>
        <v>4.3665944444444289</v>
      </c>
      <c r="G66" s="87">
        <v>0</v>
      </c>
      <c r="H66" s="87">
        <f t="shared" ca="1" si="2"/>
        <v>25.196594444444429</v>
      </c>
      <c r="I66" s="87">
        <f t="shared" ca="1" si="43"/>
        <v>23.810000000000002</v>
      </c>
      <c r="J66" s="87">
        <f t="shared" ca="1" si="4"/>
        <v>4.9863888888889143</v>
      </c>
      <c r="K66" s="87">
        <v>0</v>
      </c>
      <c r="L66" s="87">
        <f t="shared" ca="1" si="23"/>
        <v>28.796388888888917</v>
      </c>
      <c r="M66" s="2">
        <v>41</v>
      </c>
      <c r="N66" s="2">
        <f t="shared" ca="1" si="35"/>
        <v>1</v>
      </c>
      <c r="O66" s="2">
        <f t="shared" ca="1" si="5"/>
        <v>20</v>
      </c>
      <c r="P66" s="134">
        <f t="shared" ca="1" si="6"/>
        <v>4.3665944444444289</v>
      </c>
      <c r="Q66" s="134">
        <f t="shared" ca="1" si="7"/>
        <v>4.3665944444444289</v>
      </c>
      <c r="R66" s="134">
        <f t="shared" ca="1" si="44"/>
        <v>166.79999999999933</v>
      </c>
      <c r="S66" s="134">
        <f t="shared" ca="1" si="26"/>
        <v>20.83</v>
      </c>
      <c r="T66" s="134">
        <f t="shared" ca="1" si="27"/>
        <v>20.83</v>
      </c>
      <c r="U66" s="134">
        <f t="shared" ca="1" si="45"/>
        <v>4.3665944444444289</v>
      </c>
      <c r="V66" s="134">
        <f t="shared" ca="1" si="46"/>
        <v>4.3665944444444289</v>
      </c>
      <c r="W66" s="134">
        <f t="shared" ca="1" si="28"/>
        <v>24.166666666666664</v>
      </c>
      <c r="X66" s="134">
        <f t="shared" ca="1" si="29"/>
        <v>20</v>
      </c>
      <c r="Y66" s="134">
        <f t="shared" ca="1" si="8"/>
        <v>190.46000000000106</v>
      </c>
      <c r="Z66" s="134">
        <f t="shared" ca="1" si="30"/>
        <v>4.9863888888889143</v>
      </c>
      <c r="AA66" s="134">
        <f t="shared" ca="1" si="9"/>
        <v>4.9863888888889143</v>
      </c>
      <c r="AB66" s="134">
        <f t="shared" ca="1" si="47"/>
        <v>5420.5999999999794</v>
      </c>
      <c r="AC66" s="134">
        <f t="shared" ca="1" si="10"/>
        <v>0</v>
      </c>
      <c r="AD66" s="134">
        <f t="shared" ca="1" si="11"/>
        <v>0</v>
      </c>
      <c r="AE66" s="134">
        <f t="shared" ca="1" si="33"/>
        <v>0</v>
      </c>
      <c r="AF66" s="134">
        <f t="shared" ca="1" si="12"/>
        <v>0</v>
      </c>
      <c r="AG66" s="134">
        <f t="shared" ca="1" si="31"/>
        <v>0</v>
      </c>
      <c r="AH66" s="134">
        <f t="shared" ca="1" si="13"/>
        <v>0</v>
      </c>
      <c r="AI66" s="134">
        <f t="shared" ca="1" si="48"/>
        <v>166.79999999999933</v>
      </c>
      <c r="AJ66" s="134">
        <f t="shared" ca="1" si="40"/>
        <v>0</v>
      </c>
      <c r="AK66" s="134">
        <f t="shared" ca="1" si="49"/>
        <v>0</v>
      </c>
      <c r="AL66" s="132">
        <f t="shared" ca="1" si="15"/>
        <v>6</v>
      </c>
      <c r="AM66" s="132">
        <f t="shared" ca="1" si="16"/>
        <v>6</v>
      </c>
      <c r="AN66" s="2">
        <f t="shared" ca="1" si="17"/>
        <v>2027</v>
      </c>
      <c r="AO66" s="2">
        <f t="shared" ca="1" si="0"/>
        <v>2027</v>
      </c>
      <c r="AP66" s="2">
        <f t="shared" ca="1" si="18"/>
        <v>0</v>
      </c>
      <c r="AQ66" s="2">
        <f t="shared" ca="1" si="19"/>
        <v>30</v>
      </c>
      <c r="AR66" s="2">
        <f t="shared" si="20"/>
        <v>20</v>
      </c>
      <c r="AS66" s="2">
        <f t="shared" ca="1" si="32"/>
        <v>30</v>
      </c>
      <c r="AT66" s="2"/>
      <c r="AU66" s="2"/>
      <c r="AV66" s="2"/>
      <c r="AW66" s="2"/>
      <c r="AX66" s="2"/>
      <c r="AY66" s="2">
        <f t="shared" ca="1" si="21"/>
        <v>1</v>
      </c>
      <c r="AZ66" s="2"/>
      <c r="BA66" s="2"/>
      <c r="BB66" s="2"/>
      <c r="BC66" s="2"/>
      <c r="BD66" s="2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42</v>
      </c>
      <c r="B67" s="494">
        <f t="shared" ca="1" si="42"/>
        <v>46588</v>
      </c>
      <c r="C67" s="494"/>
      <c r="D67" s="269">
        <f ca="1">IF(N67=0,IF(N66=1,SUM(D$26:E66)," "),IF(N67=0," ",IF(N68=1,D$26,IF(N68=0,D$10-D$26*(M$14-1)," "))))</f>
        <v>20.83</v>
      </c>
      <c r="E67" s="269"/>
      <c r="F67" s="87">
        <f ca="1">IF(N67=0,IF(N66=1,SUM(F$26:F66)," "),IF(M$1=1,P67,IF(M$1=2,Q67," ")))</f>
        <v>3.8632027777777624</v>
      </c>
      <c r="G67" s="87">
        <v>0</v>
      </c>
      <c r="H67" s="87">
        <f t="shared" ca="1" si="2"/>
        <v>24.69320277777776</v>
      </c>
      <c r="I67" s="87">
        <f t="shared" ca="1" si="43"/>
        <v>23.810000000000002</v>
      </c>
      <c r="J67" s="87">
        <f t="shared" ca="1" si="4"/>
        <v>4.4109805555555814</v>
      </c>
      <c r="K67" s="87">
        <v>0</v>
      </c>
      <c r="L67" s="87">
        <f t="shared" ca="1" si="23"/>
        <v>28.220980555555585</v>
      </c>
      <c r="M67" s="2">
        <v>42</v>
      </c>
      <c r="N67" s="2">
        <f t="shared" ca="1" si="35"/>
        <v>1</v>
      </c>
      <c r="O67" s="2">
        <f t="shared" ca="1" si="5"/>
        <v>20</v>
      </c>
      <c r="P67" s="134">
        <f t="shared" ca="1" si="6"/>
        <v>3.8632027777777624</v>
      </c>
      <c r="Q67" s="134">
        <f t="shared" ca="1" si="7"/>
        <v>3.8632027777777624</v>
      </c>
      <c r="R67" s="134">
        <f t="shared" ca="1" si="44"/>
        <v>145.96999999999935</v>
      </c>
      <c r="S67" s="134">
        <f t="shared" ca="1" si="26"/>
        <v>20.83</v>
      </c>
      <c r="T67" s="134">
        <f t="shared" ca="1" si="27"/>
        <v>20.83</v>
      </c>
      <c r="U67" s="134">
        <f t="shared" ca="1" si="45"/>
        <v>3.8632027777777624</v>
      </c>
      <c r="V67" s="134">
        <f t="shared" ca="1" si="46"/>
        <v>3.8632027777777624</v>
      </c>
      <c r="W67" s="134">
        <f t="shared" ca="1" si="28"/>
        <v>24.166666666666664</v>
      </c>
      <c r="X67" s="134">
        <f t="shared" ca="1" si="29"/>
        <v>20</v>
      </c>
      <c r="Y67" s="134">
        <f t="shared" ca="1" si="8"/>
        <v>166.65000000000106</v>
      </c>
      <c r="Z67" s="134">
        <f t="shared" ca="1" si="30"/>
        <v>4.4109805555555814</v>
      </c>
      <c r="AA67" s="134">
        <f t="shared" ca="1" si="9"/>
        <v>4.4109805555555814</v>
      </c>
      <c r="AB67" s="134">
        <f t="shared" ca="1" si="47"/>
        <v>4795.6999999999798</v>
      </c>
      <c r="AC67" s="134">
        <f t="shared" ca="1" si="10"/>
        <v>0</v>
      </c>
      <c r="AD67" s="134">
        <f t="shared" ca="1" si="11"/>
        <v>0</v>
      </c>
      <c r="AE67" s="134">
        <f t="shared" ca="1" si="33"/>
        <v>0</v>
      </c>
      <c r="AF67" s="134">
        <f t="shared" ca="1" si="12"/>
        <v>0</v>
      </c>
      <c r="AG67" s="134">
        <f t="shared" ca="1" si="31"/>
        <v>0</v>
      </c>
      <c r="AH67" s="134">
        <f t="shared" ca="1" si="13"/>
        <v>0</v>
      </c>
      <c r="AI67" s="134">
        <f t="shared" ca="1" si="48"/>
        <v>145.96999999999935</v>
      </c>
      <c r="AJ67" s="134">
        <f t="shared" ca="1" si="40"/>
        <v>0</v>
      </c>
      <c r="AK67" s="134">
        <f t="shared" ca="1" si="49"/>
        <v>0</v>
      </c>
      <c r="AL67" s="132">
        <f t="shared" ca="1" si="15"/>
        <v>7</v>
      </c>
      <c r="AM67" s="132">
        <f t="shared" ca="1" si="16"/>
        <v>7</v>
      </c>
      <c r="AN67" s="2">
        <f t="shared" ca="1" si="17"/>
        <v>2027</v>
      </c>
      <c r="AO67" s="2">
        <f t="shared" ca="1" si="0"/>
        <v>2027</v>
      </c>
      <c r="AP67" s="2">
        <f t="shared" ca="1" si="18"/>
        <v>0</v>
      </c>
      <c r="AQ67" s="2">
        <f t="shared" ca="1" si="19"/>
        <v>30</v>
      </c>
      <c r="AR67" s="2">
        <f t="shared" si="20"/>
        <v>20</v>
      </c>
      <c r="AS67" s="2">
        <f t="shared" ca="1" si="32"/>
        <v>30</v>
      </c>
      <c r="AT67" s="2"/>
      <c r="AU67" s="2"/>
      <c r="AV67" s="2"/>
      <c r="AW67" s="2"/>
      <c r="AX67" s="2"/>
      <c r="AY67" s="2">
        <f t="shared" ca="1" si="21"/>
        <v>1</v>
      </c>
      <c r="AZ67" s="2"/>
      <c r="BA67" s="2"/>
      <c r="BB67" s="2"/>
      <c r="BC67" s="2"/>
      <c r="BD67" s="2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43</v>
      </c>
      <c r="B68" s="494">
        <f t="shared" ca="1" si="42"/>
        <v>46619</v>
      </c>
      <c r="C68" s="494"/>
      <c r="D68" s="269">
        <f ca="1">IF(N68=0,IF(N67=1,SUM(D$26:E67)," "),IF(N68=0," ",IF(N69=1,D$26,IF(N69=0,D$10-D$26*(M$14-1)," "))))</f>
        <v>20.83</v>
      </c>
      <c r="E68" s="269"/>
      <c r="F68" s="87">
        <f ca="1">IF(N68=0,IF(N67=1,SUM(F$26:F67)," "),IF(M$1=1,P68,IF(M$1=2,Q68," ")))</f>
        <v>3.3598111111110955</v>
      </c>
      <c r="G68" s="87">
        <v>0</v>
      </c>
      <c r="H68" s="87">
        <f t="shared" ca="1" si="2"/>
        <v>24.189811111111094</v>
      </c>
      <c r="I68" s="87">
        <f t="shared" ca="1" si="43"/>
        <v>23.810000000000002</v>
      </c>
      <c r="J68" s="87">
        <f t="shared" ca="1" si="4"/>
        <v>3.8355722222222477</v>
      </c>
      <c r="K68" s="87">
        <v>0</v>
      </c>
      <c r="L68" s="87">
        <f t="shared" ca="1" si="23"/>
        <v>27.645572222222249</v>
      </c>
      <c r="M68" s="2">
        <v>43</v>
      </c>
      <c r="N68" s="2">
        <f t="shared" ca="1" si="35"/>
        <v>1</v>
      </c>
      <c r="O68" s="2">
        <f t="shared" ca="1" si="5"/>
        <v>20</v>
      </c>
      <c r="P68" s="134">
        <f t="shared" ca="1" si="6"/>
        <v>3.3598111111110955</v>
      </c>
      <c r="Q68" s="134">
        <f t="shared" ca="1" si="7"/>
        <v>3.3598111111110955</v>
      </c>
      <c r="R68" s="134">
        <f t="shared" ca="1" si="44"/>
        <v>125.13999999999935</v>
      </c>
      <c r="S68" s="134">
        <f t="shared" ca="1" si="26"/>
        <v>20.83</v>
      </c>
      <c r="T68" s="134">
        <f t="shared" ca="1" si="27"/>
        <v>20.83</v>
      </c>
      <c r="U68" s="134">
        <f t="shared" ca="1" si="45"/>
        <v>3.3598111111110955</v>
      </c>
      <c r="V68" s="134">
        <f t="shared" ca="1" si="46"/>
        <v>3.3598111111110955</v>
      </c>
      <c r="W68" s="134">
        <f t="shared" ca="1" si="28"/>
        <v>24.166666666666664</v>
      </c>
      <c r="X68" s="134">
        <f t="shared" ca="1" si="29"/>
        <v>20</v>
      </c>
      <c r="Y68" s="134">
        <f t="shared" ca="1" si="8"/>
        <v>142.84000000000106</v>
      </c>
      <c r="Z68" s="134">
        <f t="shared" ca="1" si="30"/>
        <v>3.8355722222222477</v>
      </c>
      <c r="AA68" s="134">
        <f t="shared" ca="1" si="9"/>
        <v>3.8355722222222477</v>
      </c>
      <c r="AB68" s="134">
        <f t="shared" ca="1" si="47"/>
        <v>4170.7999999999802</v>
      </c>
      <c r="AC68" s="134">
        <f t="shared" ca="1" si="10"/>
        <v>0</v>
      </c>
      <c r="AD68" s="134">
        <f t="shared" ca="1" si="11"/>
        <v>0</v>
      </c>
      <c r="AE68" s="134">
        <f t="shared" ca="1" si="33"/>
        <v>0</v>
      </c>
      <c r="AF68" s="134">
        <f t="shared" ca="1" si="12"/>
        <v>0</v>
      </c>
      <c r="AG68" s="134">
        <f t="shared" ca="1" si="31"/>
        <v>0</v>
      </c>
      <c r="AH68" s="134">
        <f t="shared" ca="1" si="13"/>
        <v>0</v>
      </c>
      <c r="AI68" s="134">
        <f t="shared" ca="1" si="48"/>
        <v>125.13999999999935</v>
      </c>
      <c r="AJ68" s="134">
        <f t="shared" ca="1" si="40"/>
        <v>0</v>
      </c>
      <c r="AK68" s="134">
        <f t="shared" ca="1" si="49"/>
        <v>0</v>
      </c>
      <c r="AL68" s="132">
        <f t="shared" ca="1" si="15"/>
        <v>8</v>
      </c>
      <c r="AM68" s="132">
        <f t="shared" ca="1" si="16"/>
        <v>8</v>
      </c>
      <c r="AN68" s="2">
        <f t="shared" ca="1" si="17"/>
        <v>2027</v>
      </c>
      <c r="AO68" s="2">
        <f t="shared" ca="1" si="0"/>
        <v>2027</v>
      </c>
      <c r="AP68" s="2">
        <f t="shared" ca="1" si="18"/>
        <v>0</v>
      </c>
      <c r="AQ68" s="2">
        <f t="shared" ca="1" si="19"/>
        <v>30</v>
      </c>
      <c r="AR68" s="2">
        <f t="shared" si="20"/>
        <v>20</v>
      </c>
      <c r="AS68" s="2">
        <f t="shared" ca="1" si="32"/>
        <v>30</v>
      </c>
      <c r="AT68" s="2"/>
      <c r="AU68" s="2"/>
      <c r="AV68" s="2"/>
      <c r="AW68" s="2"/>
      <c r="AX68" s="2"/>
      <c r="AY68" s="2">
        <f t="shared" ca="1" si="21"/>
        <v>1</v>
      </c>
      <c r="AZ68" s="2"/>
      <c r="BA68" s="2"/>
      <c r="BB68" s="2"/>
      <c r="BC68" s="2"/>
      <c r="BD68" s="2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44</v>
      </c>
      <c r="B69" s="494">
        <f t="shared" ca="1" si="42"/>
        <v>46650</v>
      </c>
      <c r="C69" s="494"/>
      <c r="D69" s="269">
        <f ca="1">IF(N69=0,IF(N68=1,SUM(D$26:E68)," "),IF(N69=0," ",IF(N70=1,D$26,IF(N70=0,D$10-D$26*(M$14-1)," "))))</f>
        <v>20.83</v>
      </c>
      <c r="E69" s="269"/>
      <c r="F69" s="87">
        <f ca="1">IF(N69=0,IF(N68=1,SUM(F$26:F68)," "),IF(M$1=1,P69,IF(M$1=2,Q69," ")))</f>
        <v>2.8564194444444286</v>
      </c>
      <c r="G69" s="87">
        <v>0</v>
      </c>
      <c r="H69" s="87">
        <f t="shared" ca="1" si="2"/>
        <v>23.686419444444425</v>
      </c>
      <c r="I69" s="87">
        <f t="shared" ca="1" si="43"/>
        <v>23.810000000000002</v>
      </c>
      <c r="J69" s="87">
        <f t="shared" ca="1" si="4"/>
        <v>3.260163888888914</v>
      </c>
      <c r="K69" s="87">
        <v>0</v>
      </c>
      <c r="L69" s="87">
        <f t="shared" ca="1" si="23"/>
        <v>27.070163888888917</v>
      </c>
      <c r="M69" s="2">
        <v>44</v>
      </c>
      <c r="N69" s="2">
        <f t="shared" ca="1" si="35"/>
        <v>1</v>
      </c>
      <c r="O69" s="2">
        <f t="shared" ca="1" si="5"/>
        <v>20</v>
      </c>
      <c r="P69" s="134">
        <f t="shared" ca="1" si="6"/>
        <v>2.8564194444444286</v>
      </c>
      <c r="Q69" s="134">
        <f t="shared" ca="1" si="7"/>
        <v>2.8564194444444286</v>
      </c>
      <c r="R69" s="134">
        <f t="shared" ca="1" si="44"/>
        <v>104.30999999999935</v>
      </c>
      <c r="S69" s="134">
        <f t="shared" ca="1" si="26"/>
        <v>20.83</v>
      </c>
      <c r="T69" s="134">
        <f t="shared" ca="1" si="27"/>
        <v>20.83</v>
      </c>
      <c r="U69" s="134">
        <f t="shared" ca="1" si="45"/>
        <v>2.8564194444444286</v>
      </c>
      <c r="V69" s="134">
        <f t="shared" ca="1" si="46"/>
        <v>2.8564194444444286</v>
      </c>
      <c r="W69" s="134">
        <f t="shared" ca="1" si="28"/>
        <v>24.166666666666664</v>
      </c>
      <c r="X69" s="134">
        <f t="shared" ca="1" si="29"/>
        <v>20</v>
      </c>
      <c r="Y69" s="134">
        <f t="shared" ca="1" si="8"/>
        <v>119.03000000000105</v>
      </c>
      <c r="Z69" s="134">
        <f t="shared" ca="1" si="30"/>
        <v>3.260163888888914</v>
      </c>
      <c r="AA69" s="134">
        <f t="shared" ca="1" si="9"/>
        <v>3.260163888888914</v>
      </c>
      <c r="AB69" s="134">
        <f t="shared" ca="1" si="47"/>
        <v>3545.8999999999805</v>
      </c>
      <c r="AC69" s="134">
        <f t="shared" ca="1" si="10"/>
        <v>0</v>
      </c>
      <c r="AD69" s="134">
        <f t="shared" ca="1" si="11"/>
        <v>0</v>
      </c>
      <c r="AE69" s="134">
        <f t="shared" ca="1" si="33"/>
        <v>0</v>
      </c>
      <c r="AF69" s="134">
        <f t="shared" ca="1" si="12"/>
        <v>0</v>
      </c>
      <c r="AG69" s="134">
        <f t="shared" ca="1" si="31"/>
        <v>0</v>
      </c>
      <c r="AH69" s="134">
        <f t="shared" ca="1" si="13"/>
        <v>0</v>
      </c>
      <c r="AI69" s="134">
        <f t="shared" ca="1" si="48"/>
        <v>104.30999999999935</v>
      </c>
      <c r="AJ69" s="134">
        <f t="shared" ca="1" si="40"/>
        <v>0</v>
      </c>
      <c r="AK69" s="134">
        <f t="shared" ca="1" si="49"/>
        <v>0</v>
      </c>
      <c r="AL69" s="132">
        <f t="shared" ca="1" si="15"/>
        <v>9</v>
      </c>
      <c r="AM69" s="132">
        <f t="shared" ca="1" si="16"/>
        <v>9</v>
      </c>
      <c r="AN69" s="2">
        <f t="shared" ca="1" si="17"/>
        <v>2027</v>
      </c>
      <c r="AO69" s="2">
        <f t="shared" ca="1" si="0"/>
        <v>2027</v>
      </c>
      <c r="AP69" s="2">
        <f t="shared" ca="1" si="18"/>
        <v>0</v>
      </c>
      <c r="AQ69" s="2">
        <f t="shared" ca="1" si="19"/>
        <v>30</v>
      </c>
      <c r="AR69" s="2">
        <f t="shared" si="20"/>
        <v>20</v>
      </c>
      <c r="AS69" s="2">
        <f t="shared" ca="1" si="32"/>
        <v>30</v>
      </c>
      <c r="AT69" s="2"/>
      <c r="AU69" s="2"/>
      <c r="AV69" s="2"/>
      <c r="AW69" s="2"/>
      <c r="AX69" s="2"/>
      <c r="AY69" s="2">
        <f t="shared" ca="1" si="21"/>
        <v>1</v>
      </c>
      <c r="AZ69" s="2"/>
      <c r="BA69" s="2"/>
      <c r="BB69" s="2"/>
      <c r="BC69" s="2"/>
      <c r="BD69" s="2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45</v>
      </c>
      <c r="B70" s="494">
        <f t="shared" ca="1" si="42"/>
        <v>46680</v>
      </c>
      <c r="C70" s="494"/>
      <c r="D70" s="269">
        <f ca="1">IF(N70=0,IF(N69=1,SUM(D$26:E69)," "),IF(N70=0," ",IF(N71=1,D$26,IF(N71=0,D$10-D$26*(M$14-1)," "))))</f>
        <v>20.83</v>
      </c>
      <c r="E70" s="269"/>
      <c r="F70" s="87">
        <f ca="1">IF(N70=0,IF(N69=1,SUM(F$26:F69)," "),IF(M$1=1,P70,IF(M$1=2,Q70," ")))</f>
        <v>2.3530277777777622</v>
      </c>
      <c r="G70" s="87">
        <v>0</v>
      </c>
      <c r="H70" s="87">
        <f t="shared" ca="1" si="2"/>
        <v>23.18302777777776</v>
      </c>
      <c r="I70" s="87">
        <f t="shared" ca="1" si="43"/>
        <v>23.810000000000002</v>
      </c>
      <c r="J70" s="87">
        <f t="shared" ca="1" si="4"/>
        <v>2.6847555555555811</v>
      </c>
      <c r="K70" s="87">
        <v>0</v>
      </c>
      <c r="L70" s="87">
        <f t="shared" ca="1" si="23"/>
        <v>26.494755555555585</v>
      </c>
      <c r="M70" s="2">
        <v>45</v>
      </c>
      <c r="N70" s="2">
        <f t="shared" ca="1" si="35"/>
        <v>1</v>
      </c>
      <c r="O70" s="2">
        <f t="shared" ca="1" si="5"/>
        <v>20</v>
      </c>
      <c r="P70" s="134">
        <f t="shared" ca="1" si="6"/>
        <v>2.3530277777777622</v>
      </c>
      <c r="Q70" s="134">
        <f t="shared" ca="1" si="7"/>
        <v>2.3530277777777622</v>
      </c>
      <c r="R70" s="134">
        <f t="shared" ca="1" si="44"/>
        <v>83.47999999999935</v>
      </c>
      <c r="S70" s="134">
        <f t="shared" ca="1" si="26"/>
        <v>20.83</v>
      </c>
      <c r="T70" s="134">
        <f t="shared" ca="1" si="27"/>
        <v>20.83</v>
      </c>
      <c r="U70" s="134">
        <f t="shared" ca="1" si="45"/>
        <v>2.3530277777777622</v>
      </c>
      <c r="V70" s="134">
        <f t="shared" ca="1" si="46"/>
        <v>2.3530277777777622</v>
      </c>
      <c r="W70" s="134">
        <f t="shared" ca="1" si="28"/>
        <v>24.166666666666664</v>
      </c>
      <c r="X70" s="134">
        <f t="shared" ca="1" si="29"/>
        <v>20</v>
      </c>
      <c r="Y70" s="134">
        <f t="shared" ca="1" si="8"/>
        <v>95.22000000000105</v>
      </c>
      <c r="Z70" s="134">
        <f t="shared" ca="1" si="30"/>
        <v>2.6847555555555811</v>
      </c>
      <c r="AA70" s="134">
        <f t="shared" ca="1" si="9"/>
        <v>2.6847555555555811</v>
      </c>
      <c r="AB70" s="134">
        <f t="shared" ca="1" si="47"/>
        <v>2920.9999999999804</v>
      </c>
      <c r="AC70" s="134">
        <f t="shared" ca="1" si="10"/>
        <v>0</v>
      </c>
      <c r="AD70" s="134">
        <f t="shared" ca="1" si="11"/>
        <v>0</v>
      </c>
      <c r="AE70" s="134">
        <f t="shared" ca="1" si="33"/>
        <v>0</v>
      </c>
      <c r="AF70" s="134">
        <f t="shared" ca="1" si="12"/>
        <v>0</v>
      </c>
      <c r="AG70" s="134">
        <f t="shared" ca="1" si="31"/>
        <v>0</v>
      </c>
      <c r="AH70" s="134">
        <f t="shared" ca="1" si="13"/>
        <v>0</v>
      </c>
      <c r="AI70" s="134">
        <f t="shared" ca="1" si="48"/>
        <v>83.47999999999935</v>
      </c>
      <c r="AJ70" s="134">
        <f t="shared" ca="1" si="40"/>
        <v>0</v>
      </c>
      <c r="AK70" s="134">
        <f t="shared" ca="1" si="49"/>
        <v>0</v>
      </c>
      <c r="AL70" s="132">
        <f t="shared" ca="1" si="15"/>
        <v>10</v>
      </c>
      <c r="AM70" s="132">
        <f t="shared" ca="1" si="16"/>
        <v>10</v>
      </c>
      <c r="AN70" s="2">
        <f t="shared" ca="1" si="17"/>
        <v>2027</v>
      </c>
      <c r="AO70" s="2">
        <f t="shared" ca="1" si="0"/>
        <v>2027</v>
      </c>
      <c r="AP70" s="2">
        <f t="shared" ca="1" si="18"/>
        <v>0</v>
      </c>
      <c r="AQ70" s="2">
        <f t="shared" ca="1" si="19"/>
        <v>30</v>
      </c>
      <c r="AR70" s="2">
        <f t="shared" si="20"/>
        <v>20</v>
      </c>
      <c r="AS70" s="2">
        <f t="shared" ca="1" si="32"/>
        <v>30</v>
      </c>
      <c r="AT70" s="2"/>
      <c r="AU70" s="2"/>
      <c r="AV70" s="2"/>
      <c r="AW70" s="2"/>
      <c r="AX70" s="2"/>
      <c r="AY70" s="2">
        <f t="shared" ca="1" si="21"/>
        <v>1</v>
      </c>
      <c r="AZ70" s="2"/>
      <c r="BA70" s="2"/>
      <c r="BB70" s="2"/>
      <c r="BC70" s="2"/>
      <c r="BD70" s="2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46</v>
      </c>
      <c r="B71" s="494">
        <f t="shared" ca="1" si="42"/>
        <v>46711</v>
      </c>
      <c r="C71" s="494"/>
      <c r="D71" s="269">
        <f ca="1">IF(N71=0,IF(N70=1,SUM(D$26:E70)," "),IF(N71=0," ",IF(N72=1,D$26,IF(N72=0,D$10-D$26*(M$14-1)," "))))</f>
        <v>20.83</v>
      </c>
      <c r="E71" s="269"/>
      <c r="F71" s="87">
        <f ca="1">IF(N71=0,IF(N70=1,SUM(F$26:F70)," "),IF(M$1=1,P71,IF(M$1=2,Q71," ")))</f>
        <v>1.849636111111095</v>
      </c>
      <c r="G71" s="87">
        <v>0</v>
      </c>
      <c r="H71" s="87">
        <f t="shared" ca="1" si="2"/>
        <v>22.679636111111094</v>
      </c>
      <c r="I71" s="87">
        <f t="shared" ca="1" si="43"/>
        <v>23.810000000000002</v>
      </c>
      <c r="J71" s="87">
        <f t="shared" ca="1" si="4"/>
        <v>2.1093472222222474</v>
      </c>
      <c r="K71" s="87">
        <v>0</v>
      </c>
      <c r="L71" s="87">
        <f t="shared" ca="1" si="23"/>
        <v>25.91934722222225</v>
      </c>
      <c r="M71" s="2">
        <v>46</v>
      </c>
      <c r="N71" s="2">
        <f t="shared" ca="1" si="35"/>
        <v>1</v>
      </c>
      <c r="O71" s="2">
        <f t="shared" ca="1" si="5"/>
        <v>20</v>
      </c>
      <c r="P71" s="134">
        <f t="shared" ca="1" si="6"/>
        <v>1.849636111111095</v>
      </c>
      <c r="Q71" s="134">
        <f t="shared" ca="1" si="7"/>
        <v>1.849636111111095</v>
      </c>
      <c r="R71" s="134">
        <f t="shared" ca="1" si="44"/>
        <v>62.649999999999352</v>
      </c>
      <c r="S71" s="134">
        <f t="shared" ca="1" si="26"/>
        <v>20.83</v>
      </c>
      <c r="T71" s="134">
        <f t="shared" ca="1" si="27"/>
        <v>20.83</v>
      </c>
      <c r="U71" s="134">
        <f t="shared" ca="1" si="45"/>
        <v>1.849636111111095</v>
      </c>
      <c r="V71" s="134">
        <f t="shared" ca="1" si="46"/>
        <v>1.849636111111095</v>
      </c>
      <c r="W71" s="134">
        <f t="shared" ca="1" si="28"/>
        <v>24.166666666666664</v>
      </c>
      <c r="X71" s="134">
        <f t="shared" ca="1" si="29"/>
        <v>20</v>
      </c>
      <c r="Y71" s="134">
        <f t="shared" ca="1" si="8"/>
        <v>71.410000000001048</v>
      </c>
      <c r="Z71" s="134">
        <f t="shared" ca="1" si="30"/>
        <v>2.1093472222222474</v>
      </c>
      <c r="AA71" s="134">
        <f t="shared" ca="1" si="9"/>
        <v>2.1093472222222474</v>
      </c>
      <c r="AB71" s="134">
        <f t="shared" ca="1" si="47"/>
        <v>2296.0999999999804</v>
      </c>
      <c r="AC71" s="134">
        <f t="shared" ca="1" si="10"/>
        <v>0</v>
      </c>
      <c r="AD71" s="134">
        <f t="shared" ca="1" si="11"/>
        <v>0</v>
      </c>
      <c r="AE71" s="134">
        <f t="shared" ca="1" si="33"/>
        <v>0</v>
      </c>
      <c r="AF71" s="134">
        <f t="shared" ca="1" si="12"/>
        <v>0</v>
      </c>
      <c r="AG71" s="134">
        <f t="shared" ca="1" si="31"/>
        <v>0</v>
      </c>
      <c r="AH71" s="134">
        <f t="shared" ca="1" si="13"/>
        <v>0</v>
      </c>
      <c r="AI71" s="134">
        <f t="shared" ca="1" si="48"/>
        <v>62.649999999999352</v>
      </c>
      <c r="AJ71" s="134">
        <f t="shared" ca="1" si="40"/>
        <v>0</v>
      </c>
      <c r="AK71" s="134">
        <f t="shared" ca="1" si="49"/>
        <v>0</v>
      </c>
      <c r="AL71" s="132">
        <f t="shared" ca="1" si="15"/>
        <v>11</v>
      </c>
      <c r="AM71" s="132">
        <f t="shared" ca="1" si="16"/>
        <v>11</v>
      </c>
      <c r="AN71" s="2">
        <f t="shared" ca="1" si="17"/>
        <v>2027</v>
      </c>
      <c r="AO71" s="2">
        <f t="shared" ca="1" si="0"/>
        <v>2027</v>
      </c>
      <c r="AP71" s="2">
        <f t="shared" ca="1" si="18"/>
        <v>0</v>
      </c>
      <c r="AQ71" s="2">
        <f t="shared" ca="1" si="19"/>
        <v>30</v>
      </c>
      <c r="AR71" s="2">
        <f t="shared" si="20"/>
        <v>20</v>
      </c>
      <c r="AS71" s="2">
        <f t="shared" ca="1" si="32"/>
        <v>30</v>
      </c>
      <c r="AT71" s="2"/>
      <c r="AU71" s="2"/>
      <c r="AV71" s="2"/>
      <c r="AW71" s="2"/>
      <c r="AX71" s="2"/>
      <c r="AY71" s="2">
        <f t="shared" ca="1" si="21"/>
        <v>1</v>
      </c>
      <c r="AZ71" s="2"/>
      <c r="BA71" s="2"/>
      <c r="BB71" s="2"/>
      <c r="BC71" s="2"/>
      <c r="BD71" s="2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47</v>
      </c>
      <c r="B72" s="494">
        <f t="shared" ca="1" si="42"/>
        <v>46741</v>
      </c>
      <c r="C72" s="494"/>
      <c r="D72" s="269">
        <f ca="1">IF(N72=0,IF(N71=1,SUM(D$26:E71)," "),IF(N72=0," ",IF(N73=1,D$26,IF(N73=0,D$10-D$26*(M$14-1)," "))))</f>
        <v>20.83</v>
      </c>
      <c r="E72" s="269"/>
      <c r="F72" s="87">
        <f ca="1">IF(N72=0,IF(N71=1,SUM(F$26:F71)," "),IF(M$1=1,P72,IF(M$1=2,Q72," ")))</f>
        <v>1.3462444444444286</v>
      </c>
      <c r="G72" s="87">
        <v>0</v>
      </c>
      <c r="H72" s="87">
        <f t="shared" ca="1" si="2"/>
        <v>22.176244444444428</v>
      </c>
      <c r="I72" s="87">
        <f t="shared" ca="1" si="43"/>
        <v>23.810000000000002</v>
      </c>
      <c r="J72" s="87">
        <f t="shared" ca="1" si="4"/>
        <v>1.5339388888889143</v>
      </c>
      <c r="K72" s="87">
        <v>0</v>
      </c>
      <c r="L72" s="87">
        <f t="shared" ca="1" si="23"/>
        <v>25.343938888888918</v>
      </c>
      <c r="M72" s="2">
        <v>47</v>
      </c>
      <c r="N72" s="2">
        <f t="shared" ca="1" si="35"/>
        <v>1</v>
      </c>
      <c r="O72" s="2">
        <f t="shared" ca="1" si="5"/>
        <v>20</v>
      </c>
      <c r="P72" s="134">
        <f t="shared" ca="1" si="6"/>
        <v>1.3462444444444286</v>
      </c>
      <c r="Q72" s="134">
        <f t="shared" ca="1" si="7"/>
        <v>1.3462444444444286</v>
      </c>
      <c r="R72" s="134">
        <f t="shared" ca="1" si="44"/>
        <v>41.819999999999354</v>
      </c>
      <c r="S72" s="134">
        <f t="shared" ca="1" si="26"/>
        <v>20.83</v>
      </c>
      <c r="T72" s="134">
        <f t="shared" ca="1" si="27"/>
        <v>20.83</v>
      </c>
      <c r="U72" s="134">
        <f t="shared" ca="1" si="45"/>
        <v>1.3462444444444286</v>
      </c>
      <c r="V72" s="134">
        <f t="shared" ca="1" si="46"/>
        <v>1.3462444444444286</v>
      </c>
      <c r="W72" s="134">
        <f t="shared" ca="1" si="28"/>
        <v>24.166666666666664</v>
      </c>
      <c r="X72" s="134">
        <f t="shared" ca="1" si="29"/>
        <v>20</v>
      </c>
      <c r="Y72" s="134">
        <f t="shared" ca="1" si="8"/>
        <v>47.600000000001046</v>
      </c>
      <c r="Z72" s="134">
        <f t="shared" ca="1" si="30"/>
        <v>1.5339388888889143</v>
      </c>
      <c r="AA72" s="134">
        <f t="shared" ca="1" si="9"/>
        <v>1.5339388888889143</v>
      </c>
      <c r="AB72" s="134">
        <f t="shared" ca="1" si="47"/>
        <v>1671.1999999999807</v>
      </c>
      <c r="AC72" s="134">
        <f t="shared" ca="1" si="10"/>
        <v>0</v>
      </c>
      <c r="AD72" s="134">
        <f t="shared" ca="1" si="11"/>
        <v>0</v>
      </c>
      <c r="AE72" s="134">
        <f t="shared" ca="1" si="33"/>
        <v>0</v>
      </c>
      <c r="AF72" s="134">
        <f t="shared" ca="1" si="12"/>
        <v>0</v>
      </c>
      <c r="AG72" s="134">
        <f t="shared" ca="1" si="31"/>
        <v>0</v>
      </c>
      <c r="AH72" s="134">
        <f t="shared" ca="1" si="13"/>
        <v>0</v>
      </c>
      <c r="AI72" s="134">
        <f t="shared" ca="1" si="48"/>
        <v>41.819999999999354</v>
      </c>
      <c r="AJ72" s="134">
        <f t="shared" ca="1" si="40"/>
        <v>0</v>
      </c>
      <c r="AK72" s="134">
        <f t="shared" ca="1" si="49"/>
        <v>0</v>
      </c>
      <c r="AL72" s="132">
        <f t="shared" ca="1" si="15"/>
        <v>12</v>
      </c>
      <c r="AM72" s="132">
        <f t="shared" ca="1" si="16"/>
        <v>12</v>
      </c>
      <c r="AN72" s="2">
        <f t="shared" ca="1" si="17"/>
        <v>2027</v>
      </c>
      <c r="AO72" s="2">
        <f t="shared" ca="1" si="0"/>
        <v>2027</v>
      </c>
      <c r="AP72" s="2">
        <f t="shared" ca="1" si="18"/>
        <v>0</v>
      </c>
      <c r="AQ72" s="2">
        <f t="shared" ca="1" si="19"/>
        <v>30</v>
      </c>
      <c r="AR72" s="2">
        <f t="shared" si="20"/>
        <v>20</v>
      </c>
      <c r="AS72" s="2">
        <f t="shared" ca="1" si="32"/>
        <v>30</v>
      </c>
      <c r="AT72" s="2"/>
      <c r="AU72" s="2"/>
      <c r="AV72" s="2"/>
      <c r="AW72" s="2"/>
      <c r="AX72" s="2"/>
      <c r="AY72" s="2">
        <f t="shared" ca="1" si="21"/>
        <v>1</v>
      </c>
      <c r="AZ72" s="2"/>
      <c r="BA72" s="2"/>
      <c r="BB72" s="2"/>
      <c r="BC72" s="2"/>
      <c r="BD72" s="2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48</v>
      </c>
      <c r="B73" s="494">
        <f t="shared" ca="1" si="42"/>
        <v>46754</v>
      </c>
      <c r="C73" s="494"/>
      <c r="D73" s="269">
        <f ca="1">IF(N73=0,IF(N72=1,SUM(D$26:E72)," "),IF(N73=0," ",IF(N74=1,D$26,IF(N74=0,D$10-D$26*(M$14-1)," "))))</f>
        <v>20.990000000000123</v>
      </c>
      <c r="E73" s="269"/>
      <c r="F73" s="87">
        <f ca="1">IF(N73=0,IF(N72=1,SUM(F$26:F72)," "),IF(M$1=1,P73,IF(M$1=2,Q73," ")))</f>
        <v>0.87666999999998341</v>
      </c>
      <c r="G73" s="87">
        <v>0</v>
      </c>
      <c r="H73" s="87">
        <f t="shared" ca="1" si="2"/>
        <v>21.866670000000106</v>
      </c>
      <c r="I73" s="87">
        <f t="shared" ca="1" si="43"/>
        <v>23.789999999999907</v>
      </c>
      <c r="J73" s="87">
        <f t="shared" ca="1" si="4"/>
        <v>0.99685888888891583</v>
      </c>
      <c r="K73" s="87">
        <v>0</v>
      </c>
      <c r="L73" s="87">
        <f t="shared" ca="1" si="23"/>
        <v>24.786858888888823</v>
      </c>
      <c r="M73" s="2">
        <v>48</v>
      </c>
      <c r="N73" s="2">
        <f t="shared" ca="1" si="35"/>
        <v>1</v>
      </c>
      <c r="O73" s="2">
        <f t="shared" ca="1" si="5"/>
        <v>2</v>
      </c>
      <c r="P73" s="134">
        <f t="shared" ca="1" si="6"/>
        <v>0.87666999999998341</v>
      </c>
      <c r="Q73" s="134">
        <f t="shared" ca="1" si="7"/>
        <v>0.87666999999998341</v>
      </c>
      <c r="R73" s="134">
        <f t="shared" ca="1" si="44"/>
        <v>20.989999999999355</v>
      </c>
      <c r="S73" s="134">
        <f t="shared" ca="1" si="26"/>
        <v>20.990000000000123</v>
      </c>
      <c r="T73" s="134">
        <f t="shared" ca="1" si="27"/>
        <v>20.990000000000123</v>
      </c>
      <c r="U73" s="134">
        <f ca="1">IF(N74=1,R72*D$11*20/36000+R73*D$11*10/36000,IF(N74=0,IF(N73=0,0,R73*D$11*Q$12/36000+R72*D$11*20/36000+R73*D$11*10/36000)))</f>
        <v>0.87666999999998341</v>
      </c>
      <c r="V73" s="134">
        <f t="shared" ca="1" si="46"/>
        <v>0.87666999999998341</v>
      </c>
      <c r="W73" s="134">
        <f t="shared" ca="1" si="28"/>
        <v>25.777777777777779</v>
      </c>
      <c r="X73" s="134">
        <f t="shared" ca="1" si="29"/>
        <v>30</v>
      </c>
      <c r="Y73" s="134">
        <f t="shared" ca="1" si="8"/>
        <v>23.790000000001044</v>
      </c>
      <c r="Z73" s="134">
        <f t="shared" ca="1" si="30"/>
        <v>0.99685888888891583</v>
      </c>
      <c r="AA73" s="134">
        <f t="shared" ca="1" si="9"/>
        <v>0.99685888888891583</v>
      </c>
      <c r="AB73" s="134">
        <f t="shared" ca="1" si="47"/>
        <v>41.979999999998711</v>
      </c>
      <c r="AC73" s="134">
        <f t="shared" ca="1" si="10"/>
        <v>0</v>
      </c>
      <c r="AD73" s="134">
        <f t="shared" ca="1" si="11"/>
        <v>0</v>
      </c>
      <c r="AE73" s="134">
        <f t="shared" ca="1" si="33"/>
        <v>0</v>
      </c>
      <c r="AF73" s="134">
        <f t="shared" ca="1" si="12"/>
        <v>0</v>
      </c>
      <c r="AG73" s="134">
        <f t="shared" ca="1" si="31"/>
        <v>0</v>
      </c>
      <c r="AH73" s="134">
        <f t="shared" ca="1" si="13"/>
        <v>0</v>
      </c>
      <c r="AI73" s="134">
        <f t="shared" ca="1" si="48"/>
        <v>20.989999999999355</v>
      </c>
      <c r="AJ73" s="134">
        <f t="shared" ca="1" si="40"/>
        <v>0</v>
      </c>
      <c r="AK73" s="134">
        <f t="shared" ca="1" si="49"/>
        <v>0</v>
      </c>
      <c r="AL73" s="132">
        <f t="shared" ca="1" si="15"/>
        <v>13</v>
      </c>
      <c r="AM73" s="132">
        <f t="shared" ca="1" si="16"/>
        <v>1</v>
      </c>
      <c r="AN73" s="2">
        <f t="shared" ca="1" si="17"/>
        <v>2027</v>
      </c>
      <c r="AO73" s="2">
        <f t="shared" ca="1" si="0"/>
        <v>2028</v>
      </c>
      <c r="AP73" s="2">
        <f t="shared" ca="1" si="18"/>
        <v>0</v>
      </c>
      <c r="AQ73" s="2">
        <f t="shared" ca="1" si="19"/>
        <v>30</v>
      </c>
      <c r="AR73" s="2">
        <f t="shared" si="20"/>
        <v>20</v>
      </c>
      <c r="AS73" s="2">
        <f t="shared" ca="1" si="32"/>
        <v>30</v>
      </c>
      <c r="AT73" s="2"/>
      <c r="AU73" s="2"/>
      <c r="AV73" s="2"/>
      <c r="AW73" s="2"/>
      <c r="AX73" s="2"/>
      <c r="AY73" s="2">
        <f t="shared" ca="1" si="21"/>
        <v>1</v>
      </c>
      <c r="AZ73" s="2"/>
      <c r="BA73" s="2"/>
      <c r="BB73" s="2"/>
      <c r="BC73" s="2"/>
      <c r="BD73" s="2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>
        <v>49</v>
      </c>
      <c r="B74" s="494" t="str">
        <f t="shared" ca="1" si="42"/>
        <v>ИТОГО</v>
      </c>
      <c r="C74" s="494"/>
      <c r="D74" s="269">
        <f ca="1">IF(N74=0,IF(N73=1,SUM(D$26:E73)," "),IF(N74=0," ",IF(N75=1,D$26,IF(N75=0,D$10-D$26*(M$14-1)," "))))</f>
        <v>1000.0000000000008</v>
      </c>
      <c r="E74" s="269"/>
      <c r="F74" s="87">
        <f ca="1">IF(N74=0,IF(N73=1,SUM(F$26:F73)," "),IF(M$1=1,P74,IF(M$1=2,Q74," ")))</f>
        <v>605.56428944444383</v>
      </c>
      <c r="G74" s="87">
        <v>0</v>
      </c>
      <c r="H74" s="87">
        <f t="shared" ca="1" si="2"/>
        <v>1605.5642894444445</v>
      </c>
      <c r="I74" s="87">
        <f t="shared" ca="1" si="43"/>
        <v>0</v>
      </c>
      <c r="J74" s="87">
        <f t="shared" ca="1" si="4"/>
        <v>0</v>
      </c>
      <c r="K74" s="87">
        <v>0</v>
      </c>
      <c r="L74" s="87" t="str">
        <f t="shared" ca="1" si="23"/>
        <v xml:space="preserve"> </v>
      </c>
      <c r="M74" s="2">
        <v>49</v>
      </c>
      <c r="N74" s="2">
        <f t="shared" ca="1" si="35"/>
        <v>0</v>
      </c>
      <c r="O74" s="2">
        <f t="shared" ca="1" si="5"/>
        <v>20</v>
      </c>
      <c r="P74" s="134">
        <f t="shared" ca="1" si="6"/>
        <v>0</v>
      </c>
      <c r="Q74" s="134">
        <f t="shared" ca="1" si="7"/>
        <v>0</v>
      </c>
      <c r="R74" s="134">
        <f ca="1">IF(N74=0,0,R73-D73)</f>
        <v>0</v>
      </c>
      <c r="S74" s="134">
        <f t="shared" ca="1" si="26"/>
        <v>1000.0000000000008</v>
      </c>
      <c r="T74" s="134">
        <f t="shared" ca="1" si="27"/>
        <v>1000.0000000000008</v>
      </c>
      <c r="U74" s="134">
        <f ca="1">IF(N75=1,R73*D$11*20/36000+R74*D$11*10/36000,IF(N75=0,IF(N74=0,0,IF(D$16&gt;20,R73*D$11*20/36000+R74*D$11*(Q$12-20)/36000,R74*D$11*Q$12/36000))))</f>
        <v>0</v>
      </c>
      <c r="V74" s="134">
        <f ca="1">IF(N75=1,R73*D$11*20/36000+R74*D$11*10/36000,IF(N75=0,IF(N74=0,0,IF(D$16&gt;20,R73*D$11*20/36000+R74*D$11*(Q$12-20)/36000,R74*D$11*Q$12/36000))))</f>
        <v>0</v>
      </c>
      <c r="W74" s="134">
        <f t="shared" ca="1" si="28"/>
        <v>0</v>
      </c>
      <c r="X74" s="134">
        <f t="shared" ca="1" si="29"/>
        <v>0</v>
      </c>
      <c r="Y74" s="134">
        <f t="shared" ca="1" si="8"/>
        <v>1.1368683772161603E-12</v>
      </c>
      <c r="Z74" s="134">
        <f ca="1">IF(N75=1,Y73*D$11*20/36000+Y74*D$11*10/36000,IF(N75=0,IF(N74=0,0,IF(D$16&gt;20,Y73*D$11*20/36000+Y74*D$11*(Q$12-20)/36000,Y74*D$11*Q$12/36000))))</f>
        <v>0</v>
      </c>
      <c r="AA74" s="134">
        <f t="shared" ca="1" si="9"/>
        <v>0</v>
      </c>
      <c r="AB74" s="134">
        <f ca="1">IF(R75=0,R74*Q$12,(R73*20+R74*10))</f>
        <v>0</v>
      </c>
      <c r="AC74" s="134">
        <f t="shared" ca="1" si="10"/>
        <v>0</v>
      </c>
      <c r="AD74" s="134">
        <f t="shared" ca="1" si="11"/>
        <v>0</v>
      </c>
      <c r="AE74" s="134">
        <f t="shared" ca="1" si="33"/>
        <v>0</v>
      </c>
      <c r="AF74" s="134">
        <f t="shared" ca="1" si="12"/>
        <v>0</v>
      </c>
      <c r="AG74" s="134">
        <f t="shared" ca="1" si="31"/>
        <v>0</v>
      </c>
      <c r="AH74" s="134">
        <f t="shared" ca="1" si="13"/>
        <v>0</v>
      </c>
      <c r="AI74" s="134">
        <f ca="1">R74</f>
        <v>0</v>
      </c>
      <c r="AJ74" s="134">
        <f ca="1">IF(N75=1,AI73*G$12*20/36000+AI74*G$12*10/36000,IF(N75=0,IF(N74=0,0,AI74*G$12*Q$12/36000)))</f>
        <v>0</v>
      </c>
      <c r="AK74" s="134">
        <f ca="1">IF(N75=1,AI73*G$12*20/36000+AI74*G$12*10/36000,IF(N75=0,IF(N74=0,0,AI74*G$12*Q$12/36000)))</f>
        <v>0</v>
      </c>
      <c r="AL74" s="132">
        <f t="shared" ca="1" si="15"/>
        <v>0</v>
      </c>
      <c r="AM74" s="132">
        <f t="shared" ca="1" si="16"/>
        <v>0</v>
      </c>
      <c r="AN74" s="2">
        <f t="shared" ca="1" si="17"/>
        <v>0</v>
      </c>
      <c r="AO74" s="2">
        <f t="shared" ca="1" si="0"/>
        <v>0</v>
      </c>
      <c r="AP74" s="2">
        <f ca="1">IF((AN74/2012)=1,1,IF((AN74/2016)=1,1,IF((AN74/2020)=1,1,IF((AN74/2024)=1,1,IF((AN74/2028)=1,1,IF((AN74/2032)=1,1,0))))))</f>
        <v>0</v>
      </c>
      <c r="AQ74" s="2">
        <f ca="1">IF(AM74=2,IF(AP74=1,29,28),30)</f>
        <v>30</v>
      </c>
      <c r="AR74" s="2">
        <f t="shared" si="20"/>
        <v>20</v>
      </c>
      <c r="AS74" s="2">
        <f t="shared" ca="1" si="32"/>
        <v>30</v>
      </c>
      <c r="AT74" s="2"/>
      <c r="AU74" s="2"/>
      <c r="AV74" s="2"/>
      <c r="AW74" s="2"/>
      <c r="AX74" s="2"/>
      <c r="AY74" s="2">
        <f t="shared" ca="1" si="21"/>
        <v>0</v>
      </c>
      <c r="AZ74" s="2"/>
      <c r="BA74" s="2"/>
      <c r="BB74" s="2"/>
      <c r="BC74" s="2"/>
      <c r="BD74" s="2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42"/>
        <v xml:space="preserve"> </v>
      </c>
      <c r="C75" s="268"/>
      <c r="D75" s="269" t="str">
        <f ca="1">IF(N75=0,IF(N74=1,SUM(D$26:E74)," "),IF(N75=0," ",IF(N76=1,D$26,IF(N76=0,D$10-D$26*(M$14-1)," "))))</f>
        <v xml:space="preserve"> </v>
      </c>
      <c r="E75" s="269"/>
      <c r="F75" s="87" t="str">
        <f ca="1">IF(N75=0,IF(N74=1,SUM(F$26:F74)," "),IF(M$1=1,P75,IF(M$1=2,Q75," ")))</f>
        <v xml:space="preserve"> </v>
      </c>
      <c r="G75" s="87">
        <v>0</v>
      </c>
      <c r="H75" s="87" t="str">
        <f t="shared" ca="1" si="2"/>
        <v xml:space="preserve"> </v>
      </c>
      <c r="I75" s="87">
        <f t="shared" ca="1" si="43"/>
        <v>0</v>
      </c>
      <c r="J75" s="87">
        <f t="shared" ca="1" si="4"/>
        <v>0</v>
      </c>
      <c r="K75" s="87">
        <v>0</v>
      </c>
      <c r="L75" s="87" t="str">
        <f t="shared" ca="1" si="23"/>
        <v xml:space="preserve"> </v>
      </c>
      <c r="M75" s="2">
        <v>50</v>
      </c>
      <c r="N75" s="2">
        <f t="shared" ca="1" si="35"/>
        <v>0</v>
      </c>
      <c r="O75" s="2">
        <f t="shared" ca="1" si="5"/>
        <v>20</v>
      </c>
      <c r="P75" s="134">
        <f t="shared" ca="1" si="6"/>
        <v>0</v>
      </c>
      <c r="Q75" s="134">
        <f t="shared" ca="1" si="7"/>
        <v>0</v>
      </c>
      <c r="R75" s="134">
        <f t="shared" ref="R75:R86" ca="1" si="50">IF(N75=0,0,R74-D74)</f>
        <v>0</v>
      </c>
      <c r="S75" s="134" t="str">
        <f t="shared" ca="1" si="26"/>
        <v xml:space="preserve"> </v>
      </c>
      <c r="T75" s="134" t="str">
        <f t="shared" ca="1" si="27"/>
        <v xml:space="preserve"> </v>
      </c>
      <c r="U75" s="134">
        <f t="shared" ref="U75:U85" ca="1" si="51">IF(N76=1,R74*D$11*20/36000+R75*D$11*10/36000,IF(N76=0,IF(N75=0,0,R75*D$11*Q$12/36000+R74*D$11*20/36000+R75*D$11*10/36000)))</f>
        <v>0</v>
      </c>
      <c r="V75" s="134">
        <f t="shared" ref="V75:V85" ca="1" si="52">IF(N76=1,R74*D$11*20/36000+R75*D$11*10/36000,IF(N76=0,IF(N75=0,0,R75*D$11*Q$12/36000+R74*D$11*20/36000+R75*D$11*10/36000)))</f>
        <v>0</v>
      </c>
      <c r="W75" s="134">
        <f t="shared" ca="1" si="28"/>
        <v>0</v>
      </c>
      <c r="X75" s="134">
        <f t="shared" ca="1" si="29"/>
        <v>0</v>
      </c>
      <c r="Y75" s="134">
        <f t="shared" ca="1" si="8"/>
        <v>1.1368683772161603E-12</v>
      </c>
      <c r="Z75" s="134">
        <f t="shared" ca="1" si="30"/>
        <v>0</v>
      </c>
      <c r="AA75" s="134">
        <f t="shared" ca="1" si="9"/>
        <v>0</v>
      </c>
      <c r="AB75" s="134">
        <f t="shared" ref="AB75:AB85" ca="1" si="53">IF(R76=0,R75*Q$12,(R74*20+R75*10))</f>
        <v>0</v>
      </c>
      <c r="AC75" s="134">
        <f t="shared" ca="1" si="10"/>
        <v>0</v>
      </c>
      <c r="AD75" s="134">
        <f t="shared" ca="1" si="11"/>
        <v>0</v>
      </c>
      <c r="AE75" s="134">
        <f t="shared" ca="1" si="33"/>
        <v>0</v>
      </c>
      <c r="AF75" s="134">
        <f t="shared" ca="1" si="12"/>
        <v>0</v>
      </c>
      <c r="AG75" s="134">
        <f t="shared" ca="1" si="31"/>
        <v>0</v>
      </c>
      <c r="AH75" s="134">
        <f t="shared" ca="1" si="13"/>
        <v>0</v>
      </c>
      <c r="AI75" s="134">
        <f t="shared" ref="AI75:AI85" ca="1" si="54">R75</f>
        <v>0</v>
      </c>
      <c r="AJ75" s="134">
        <f t="shared" ref="AJ75:AJ85" ca="1" si="55">IF(N76=1,AI74*G$12*20/36000+AI75*G$12*10/36000,IF(N76=0,IF(N75=0,0,AI75*G$12*Q$12/36000+AI74*G$12*20/36000+AI75*G$12*10/36000)))</f>
        <v>0</v>
      </c>
      <c r="AK75" s="134">
        <f t="shared" ref="AK75:AK85" ca="1" si="56">IF(N76=1,AI74*G$12*20/36000+AI75*G$12*10/36000,IF(N76=0,IF(N75=0,0,AI75*G$12*Q$12/36000+AI74*G$12*20/36000+AI75*G$12*10/36000)))</f>
        <v>0</v>
      </c>
      <c r="AL75" s="132">
        <f t="shared" ca="1" si="15"/>
        <v>0</v>
      </c>
      <c r="AM75" s="132">
        <f t="shared" ca="1" si="16"/>
        <v>0</v>
      </c>
      <c r="AN75" s="2">
        <f t="shared" ca="1" si="17"/>
        <v>0</v>
      </c>
      <c r="AO75" s="2">
        <f t="shared" ca="1" si="0"/>
        <v>0</v>
      </c>
      <c r="AP75" s="2">
        <f t="shared" ref="AP75:AP86" ca="1" si="57">IF((AN75/2012)=1,1,IF((AN75/2016)=1,1,IF((AN75/2020)=1,1,IF((AN75/2024)=1,1,IF((AN75/2028)=1,1,IF((AN75/2032)=1,1,0))))))</f>
        <v>0</v>
      </c>
      <c r="AQ75" s="2">
        <f t="shared" ref="AQ75:AQ86" ca="1" si="58">IF(AM75=2,IF(AP75=1,29,28),30)</f>
        <v>30</v>
      </c>
      <c r="AR75" s="2">
        <f t="shared" si="20"/>
        <v>20</v>
      </c>
      <c r="AS75" s="2">
        <f t="shared" ca="1" si="32"/>
        <v>30</v>
      </c>
      <c r="AT75" s="2"/>
      <c r="AU75" s="2"/>
      <c r="AV75" s="2"/>
      <c r="AW75" s="2"/>
      <c r="AX75" s="2"/>
      <c r="AY75" s="2">
        <f t="shared" ca="1" si="21"/>
        <v>0</v>
      </c>
      <c r="AZ75" s="2"/>
      <c r="BA75" s="2"/>
      <c r="BB75" s="2"/>
      <c r="BC75" s="2"/>
      <c r="BD75" s="2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42"/>
        <v xml:space="preserve"> </v>
      </c>
      <c r="C76" s="268"/>
      <c r="D76" s="269" t="str">
        <f ca="1">IF(N76=0,IF(N75=1,SUM(D$26:E75)," "),IF(N76=0," ",IF(N77=1,D$26,IF(N77=0,D$10-D$26*(M$14-1)," "))))</f>
        <v xml:space="preserve"> </v>
      </c>
      <c r="E76" s="269"/>
      <c r="F76" s="87" t="str">
        <f ca="1">IF(N76=0,IF(N75=1,SUM(F$26:F75)," "),IF(M$1=1,P76,IF(M$1=2,Q76," ")))</f>
        <v xml:space="preserve"> </v>
      </c>
      <c r="G76" s="87">
        <v>0</v>
      </c>
      <c r="H76" s="87" t="str">
        <f t="shared" ca="1" si="2"/>
        <v xml:space="preserve"> </v>
      </c>
      <c r="I76" s="87">
        <f t="shared" ca="1" si="43"/>
        <v>0</v>
      </c>
      <c r="J76" s="87">
        <f t="shared" ca="1" si="4"/>
        <v>0</v>
      </c>
      <c r="K76" s="87">
        <v>0</v>
      </c>
      <c r="L76" s="87" t="str">
        <f t="shared" ca="1" si="23"/>
        <v xml:space="preserve"> </v>
      </c>
      <c r="M76" s="2">
        <v>51</v>
      </c>
      <c r="N76" s="2">
        <f t="shared" ca="1" si="35"/>
        <v>0</v>
      </c>
      <c r="O76" s="2">
        <f t="shared" ca="1" si="5"/>
        <v>20</v>
      </c>
      <c r="P76" s="134">
        <f t="shared" ca="1" si="6"/>
        <v>0</v>
      </c>
      <c r="Q76" s="134">
        <f t="shared" ca="1" si="7"/>
        <v>0</v>
      </c>
      <c r="R76" s="134">
        <f t="shared" ca="1" si="50"/>
        <v>0</v>
      </c>
      <c r="S76" s="134" t="str">
        <f t="shared" ca="1" si="26"/>
        <v xml:space="preserve"> </v>
      </c>
      <c r="T76" s="134" t="str">
        <f t="shared" ca="1" si="27"/>
        <v xml:space="preserve"> </v>
      </c>
      <c r="U76" s="134">
        <f t="shared" ca="1" si="51"/>
        <v>0</v>
      </c>
      <c r="V76" s="134">
        <f t="shared" ca="1" si="52"/>
        <v>0</v>
      </c>
      <c r="W76" s="134">
        <f t="shared" ca="1" si="28"/>
        <v>0</v>
      </c>
      <c r="X76" s="134">
        <f t="shared" ca="1" si="29"/>
        <v>0</v>
      </c>
      <c r="Y76" s="134">
        <f t="shared" ca="1" si="8"/>
        <v>1.1368683772161603E-12</v>
      </c>
      <c r="Z76" s="134">
        <f t="shared" ca="1" si="30"/>
        <v>0</v>
      </c>
      <c r="AA76" s="134">
        <f t="shared" ca="1" si="9"/>
        <v>0</v>
      </c>
      <c r="AB76" s="134">
        <f t="shared" ca="1" si="53"/>
        <v>0</v>
      </c>
      <c r="AC76" s="134">
        <f t="shared" ca="1" si="10"/>
        <v>0</v>
      </c>
      <c r="AD76" s="134">
        <f t="shared" ca="1" si="11"/>
        <v>0</v>
      </c>
      <c r="AE76" s="134">
        <f t="shared" ca="1" si="33"/>
        <v>0</v>
      </c>
      <c r="AF76" s="134">
        <f t="shared" ca="1" si="12"/>
        <v>0</v>
      </c>
      <c r="AG76" s="134">
        <f t="shared" ca="1" si="31"/>
        <v>0</v>
      </c>
      <c r="AH76" s="134">
        <f t="shared" ca="1" si="13"/>
        <v>0</v>
      </c>
      <c r="AI76" s="134">
        <f t="shared" ca="1" si="54"/>
        <v>0</v>
      </c>
      <c r="AJ76" s="134">
        <f t="shared" ca="1" si="55"/>
        <v>0</v>
      </c>
      <c r="AK76" s="134">
        <f t="shared" ca="1" si="56"/>
        <v>0</v>
      </c>
      <c r="AL76" s="132">
        <f t="shared" ca="1" si="15"/>
        <v>0</v>
      </c>
      <c r="AM76" s="132">
        <f t="shared" ca="1" si="16"/>
        <v>0</v>
      </c>
      <c r="AN76" s="2">
        <f t="shared" ca="1" si="17"/>
        <v>0</v>
      </c>
      <c r="AO76" s="2">
        <f t="shared" ca="1" si="0"/>
        <v>0</v>
      </c>
      <c r="AP76" s="2">
        <f t="shared" ca="1" si="57"/>
        <v>0</v>
      </c>
      <c r="AQ76" s="2">
        <f t="shared" ca="1" si="58"/>
        <v>30</v>
      </c>
      <c r="AR76" s="2">
        <f t="shared" si="20"/>
        <v>20</v>
      </c>
      <c r="AS76" s="2">
        <f t="shared" ca="1" si="32"/>
        <v>30</v>
      </c>
      <c r="AT76" s="2"/>
      <c r="AU76" s="2"/>
      <c r="AV76" s="2"/>
      <c r="AW76" s="2"/>
      <c r="AX76" s="2"/>
      <c r="AY76" s="2">
        <f t="shared" ca="1" si="21"/>
        <v>0</v>
      </c>
      <c r="AZ76" s="2"/>
      <c r="BA76" s="2"/>
      <c r="BB76" s="2"/>
      <c r="BC76" s="2"/>
      <c r="BD76" s="2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42"/>
        <v xml:space="preserve"> </v>
      </c>
      <c r="C77" s="268"/>
      <c r="D77" s="269" t="str">
        <f ca="1">IF(N77=0,IF(N76=1,SUM(D$26:E76)," "),IF(N77=0," ",IF(N78=1,D$26,IF(N78=0,D$10-D$26*(M$14-1)," "))))</f>
        <v xml:space="preserve"> </v>
      </c>
      <c r="E77" s="269"/>
      <c r="F77" s="87" t="str">
        <f ca="1">IF(N77=0,IF(N76=1,SUM(F$26:F76)," "),IF(M$1=1,P77,IF(M$1=2,Q77," ")))</f>
        <v xml:space="preserve"> </v>
      </c>
      <c r="G77" s="87">
        <v>0</v>
      </c>
      <c r="H77" s="87" t="str">
        <f t="shared" ca="1" si="2"/>
        <v xml:space="preserve"> </v>
      </c>
      <c r="I77" s="87">
        <f t="shared" ca="1" si="43"/>
        <v>0</v>
      </c>
      <c r="J77" s="87">
        <f t="shared" ca="1" si="4"/>
        <v>0</v>
      </c>
      <c r="K77" s="87">
        <v>0</v>
      </c>
      <c r="L77" s="87" t="str">
        <f t="shared" ca="1" si="23"/>
        <v xml:space="preserve"> </v>
      </c>
      <c r="M77" s="2">
        <v>52</v>
      </c>
      <c r="N77" s="2">
        <f t="shared" ca="1" si="35"/>
        <v>0</v>
      </c>
      <c r="O77" s="2">
        <f t="shared" ca="1" si="5"/>
        <v>20</v>
      </c>
      <c r="P77" s="134">
        <f t="shared" ca="1" si="6"/>
        <v>0</v>
      </c>
      <c r="Q77" s="134">
        <f t="shared" ca="1" si="7"/>
        <v>0</v>
      </c>
      <c r="R77" s="134">
        <f t="shared" ca="1" si="50"/>
        <v>0</v>
      </c>
      <c r="S77" s="134" t="str">
        <f t="shared" ca="1" si="26"/>
        <v xml:space="preserve"> </v>
      </c>
      <c r="T77" s="134" t="str">
        <f t="shared" ca="1" si="27"/>
        <v xml:space="preserve"> </v>
      </c>
      <c r="U77" s="134">
        <f t="shared" ca="1" si="51"/>
        <v>0</v>
      </c>
      <c r="V77" s="134">
        <f t="shared" ca="1" si="52"/>
        <v>0</v>
      </c>
      <c r="W77" s="134">
        <f t="shared" ca="1" si="28"/>
        <v>0</v>
      </c>
      <c r="X77" s="134">
        <f t="shared" ca="1" si="29"/>
        <v>0</v>
      </c>
      <c r="Y77" s="134">
        <f t="shared" ca="1" si="8"/>
        <v>1.1368683772161603E-12</v>
      </c>
      <c r="Z77" s="134">
        <f t="shared" ca="1" si="30"/>
        <v>0</v>
      </c>
      <c r="AA77" s="134">
        <f t="shared" ca="1" si="9"/>
        <v>0</v>
      </c>
      <c r="AB77" s="134">
        <f t="shared" ca="1" si="53"/>
        <v>0</v>
      </c>
      <c r="AC77" s="134">
        <f t="shared" ca="1" si="10"/>
        <v>0</v>
      </c>
      <c r="AD77" s="134">
        <f t="shared" ca="1" si="11"/>
        <v>0</v>
      </c>
      <c r="AE77" s="134">
        <f t="shared" ca="1" si="33"/>
        <v>0</v>
      </c>
      <c r="AF77" s="134">
        <f t="shared" ca="1" si="12"/>
        <v>0</v>
      </c>
      <c r="AG77" s="134">
        <f t="shared" ca="1" si="31"/>
        <v>0</v>
      </c>
      <c r="AH77" s="134">
        <f t="shared" ca="1" si="13"/>
        <v>0</v>
      </c>
      <c r="AI77" s="134">
        <f t="shared" ca="1" si="54"/>
        <v>0</v>
      </c>
      <c r="AJ77" s="134">
        <f t="shared" ca="1" si="55"/>
        <v>0</v>
      </c>
      <c r="AK77" s="134">
        <f t="shared" ca="1" si="56"/>
        <v>0</v>
      </c>
      <c r="AL77" s="132">
        <f t="shared" ca="1" si="15"/>
        <v>0</v>
      </c>
      <c r="AM77" s="132">
        <f t="shared" ca="1" si="16"/>
        <v>0</v>
      </c>
      <c r="AN77" s="2">
        <f t="shared" ca="1" si="17"/>
        <v>0</v>
      </c>
      <c r="AO77" s="2">
        <f t="shared" ca="1" si="0"/>
        <v>0</v>
      </c>
      <c r="AP77" s="2">
        <f t="shared" ca="1" si="57"/>
        <v>0</v>
      </c>
      <c r="AQ77" s="2">
        <f t="shared" ca="1" si="58"/>
        <v>30</v>
      </c>
      <c r="AR77" s="2">
        <f t="shared" si="20"/>
        <v>20</v>
      </c>
      <c r="AS77" s="2">
        <f t="shared" ca="1" si="32"/>
        <v>30</v>
      </c>
      <c r="AT77" s="2"/>
      <c r="AU77" s="2"/>
      <c r="AV77" s="2"/>
      <c r="AW77" s="2"/>
      <c r="AX77" s="2"/>
      <c r="AY77" s="2">
        <f t="shared" ca="1" si="21"/>
        <v>0</v>
      </c>
      <c r="AZ77" s="2"/>
      <c r="BA77" s="2"/>
      <c r="BB77" s="2"/>
      <c r="BC77" s="2"/>
      <c r="BD77" s="2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42"/>
        <v xml:space="preserve"> </v>
      </c>
      <c r="C78" s="268"/>
      <c r="D78" s="269" t="str">
        <f ca="1">IF(N78=0,IF(N77=1,SUM(D$26:E77)," "),IF(N78=0," ",IF(N79=1,D$26,IF(N79=0,D$10-D$26*(M$14-1)," "))))</f>
        <v xml:space="preserve"> </v>
      </c>
      <c r="E78" s="269"/>
      <c r="F78" s="87" t="str">
        <f ca="1">IF(N78=0,IF(N77=1,SUM(F$26:F77)," "),IF(M$1=1,P78,IF(M$1=2,Q78," ")))</f>
        <v xml:space="preserve"> </v>
      </c>
      <c r="G78" s="87">
        <v>0</v>
      </c>
      <c r="H78" s="87" t="str">
        <f t="shared" ca="1" si="2"/>
        <v xml:space="preserve"> </v>
      </c>
      <c r="I78" s="87">
        <f t="shared" ca="1" si="43"/>
        <v>0</v>
      </c>
      <c r="J78" s="87">
        <f t="shared" ca="1" si="4"/>
        <v>0</v>
      </c>
      <c r="K78" s="87">
        <v>0</v>
      </c>
      <c r="L78" s="87" t="str">
        <f t="shared" ca="1" si="23"/>
        <v xml:space="preserve"> </v>
      </c>
      <c r="M78" s="2">
        <v>53</v>
      </c>
      <c r="N78" s="2">
        <f t="shared" ca="1" si="35"/>
        <v>0</v>
      </c>
      <c r="O78" s="2">
        <f t="shared" ca="1" si="5"/>
        <v>20</v>
      </c>
      <c r="P78" s="134">
        <f t="shared" ca="1" si="6"/>
        <v>0</v>
      </c>
      <c r="Q78" s="134">
        <f t="shared" ca="1" si="7"/>
        <v>0</v>
      </c>
      <c r="R78" s="134">
        <f t="shared" ca="1" si="50"/>
        <v>0</v>
      </c>
      <c r="S78" s="134" t="str">
        <f t="shared" ca="1" si="26"/>
        <v xml:space="preserve"> </v>
      </c>
      <c r="T78" s="134" t="str">
        <f t="shared" ca="1" si="27"/>
        <v xml:space="preserve"> </v>
      </c>
      <c r="U78" s="134">
        <f t="shared" ca="1" si="51"/>
        <v>0</v>
      </c>
      <c r="V78" s="134">
        <f t="shared" ca="1" si="52"/>
        <v>0</v>
      </c>
      <c r="W78" s="134">
        <f t="shared" ca="1" si="28"/>
        <v>0</v>
      </c>
      <c r="X78" s="134">
        <f t="shared" ca="1" si="29"/>
        <v>0</v>
      </c>
      <c r="Y78" s="134">
        <f t="shared" ca="1" si="8"/>
        <v>1.1368683772161603E-12</v>
      </c>
      <c r="Z78" s="134">
        <f t="shared" ca="1" si="30"/>
        <v>0</v>
      </c>
      <c r="AA78" s="134">
        <f t="shared" ca="1" si="9"/>
        <v>0</v>
      </c>
      <c r="AB78" s="134">
        <f t="shared" ca="1" si="53"/>
        <v>0</v>
      </c>
      <c r="AC78" s="134">
        <f t="shared" ca="1" si="10"/>
        <v>0</v>
      </c>
      <c r="AD78" s="134">
        <f t="shared" ca="1" si="11"/>
        <v>0</v>
      </c>
      <c r="AE78" s="134">
        <f t="shared" ca="1" si="33"/>
        <v>0</v>
      </c>
      <c r="AF78" s="134">
        <f t="shared" ca="1" si="12"/>
        <v>0</v>
      </c>
      <c r="AG78" s="134">
        <f t="shared" ca="1" si="31"/>
        <v>0</v>
      </c>
      <c r="AH78" s="134">
        <f t="shared" ca="1" si="13"/>
        <v>0</v>
      </c>
      <c r="AI78" s="134">
        <f t="shared" ca="1" si="54"/>
        <v>0</v>
      </c>
      <c r="AJ78" s="134">
        <f t="shared" ca="1" si="55"/>
        <v>0</v>
      </c>
      <c r="AK78" s="134">
        <f t="shared" ca="1" si="56"/>
        <v>0</v>
      </c>
      <c r="AL78" s="132">
        <f t="shared" ca="1" si="15"/>
        <v>0</v>
      </c>
      <c r="AM78" s="132">
        <f t="shared" ca="1" si="16"/>
        <v>0</v>
      </c>
      <c r="AN78" s="2">
        <f t="shared" ca="1" si="17"/>
        <v>0</v>
      </c>
      <c r="AO78" s="2">
        <f t="shared" ca="1" si="0"/>
        <v>0</v>
      </c>
      <c r="AP78" s="2">
        <f t="shared" ca="1" si="57"/>
        <v>0</v>
      </c>
      <c r="AQ78" s="2">
        <f t="shared" ca="1" si="58"/>
        <v>30</v>
      </c>
      <c r="AR78" s="2">
        <f t="shared" si="20"/>
        <v>20</v>
      </c>
      <c r="AS78" s="2">
        <f t="shared" ca="1" si="32"/>
        <v>30</v>
      </c>
      <c r="AT78" s="2"/>
      <c r="AU78" s="2"/>
      <c r="AV78" s="2"/>
      <c r="AW78" s="2"/>
      <c r="AX78" s="2"/>
      <c r="AY78" s="2">
        <f t="shared" ca="1" si="21"/>
        <v>0</v>
      </c>
      <c r="AZ78" s="2"/>
      <c r="BA78" s="2"/>
      <c r="BB78" s="2"/>
      <c r="BC78" s="2"/>
      <c r="BD78" s="2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42"/>
        <v xml:space="preserve"> </v>
      </c>
      <c r="C79" s="268"/>
      <c r="D79" s="269" t="str">
        <f ca="1">IF(N79=0,IF(N78=1,SUM(D$26:E78)," "),IF(N79=0," ",IF(N80=1,D$26,IF(N80=0,D$10-D$26*(M$14-1)," "))))</f>
        <v xml:space="preserve"> </v>
      </c>
      <c r="E79" s="269"/>
      <c r="F79" s="87" t="str">
        <f ca="1">IF(N79=0,IF(N78=1,SUM(F$26:F78)," "),IF(M$1=1,P79,IF(M$1=2,Q79," ")))</f>
        <v xml:space="preserve"> </v>
      </c>
      <c r="G79" s="87">
        <v>0</v>
      </c>
      <c r="H79" s="87" t="str">
        <f t="shared" ca="1" si="2"/>
        <v xml:space="preserve"> </v>
      </c>
      <c r="I79" s="87">
        <f t="shared" ca="1" si="43"/>
        <v>0</v>
      </c>
      <c r="J79" s="87">
        <f t="shared" ca="1" si="4"/>
        <v>0</v>
      </c>
      <c r="K79" s="87">
        <v>0</v>
      </c>
      <c r="L79" s="87" t="str">
        <f t="shared" ca="1" si="23"/>
        <v xml:space="preserve"> </v>
      </c>
      <c r="M79" s="2">
        <v>54</v>
      </c>
      <c r="N79" s="2">
        <f t="shared" ca="1" si="35"/>
        <v>0</v>
      </c>
      <c r="O79" s="2">
        <f t="shared" ca="1" si="5"/>
        <v>20</v>
      </c>
      <c r="P79" s="134">
        <f t="shared" ca="1" si="6"/>
        <v>0</v>
      </c>
      <c r="Q79" s="134">
        <f t="shared" ca="1" si="7"/>
        <v>0</v>
      </c>
      <c r="R79" s="134">
        <f t="shared" ca="1" si="50"/>
        <v>0</v>
      </c>
      <c r="S79" s="134" t="str">
        <f t="shared" ca="1" si="26"/>
        <v xml:space="preserve"> </v>
      </c>
      <c r="T79" s="134" t="str">
        <f t="shared" ca="1" si="27"/>
        <v xml:space="preserve"> </v>
      </c>
      <c r="U79" s="134">
        <f t="shared" ca="1" si="51"/>
        <v>0</v>
      </c>
      <c r="V79" s="134">
        <f t="shared" ca="1" si="52"/>
        <v>0</v>
      </c>
      <c r="W79" s="134">
        <f t="shared" ca="1" si="28"/>
        <v>0</v>
      </c>
      <c r="X79" s="134">
        <f t="shared" ca="1" si="29"/>
        <v>0</v>
      </c>
      <c r="Y79" s="134">
        <f t="shared" ca="1" si="8"/>
        <v>1.1368683772161603E-12</v>
      </c>
      <c r="Z79" s="134">
        <f t="shared" ca="1" si="30"/>
        <v>0</v>
      </c>
      <c r="AA79" s="134">
        <f t="shared" ca="1" si="9"/>
        <v>0</v>
      </c>
      <c r="AB79" s="134">
        <f t="shared" ca="1" si="53"/>
        <v>0</v>
      </c>
      <c r="AC79" s="134">
        <f t="shared" ca="1" si="10"/>
        <v>0</v>
      </c>
      <c r="AD79" s="134">
        <f t="shared" ca="1" si="11"/>
        <v>0</v>
      </c>
      <c r="AE79" s="134">
        <f t="shared" ca="1" si="33"/>
        <v>0</v>
      </c>
      <c r="AF79" s="134">
        <f t="shared" ca="1" si="12"/>
        <v>0</v>
      </c>
      <c r="AG79" s="134">
        <f t="shared" ca="1" si="31"/>
        <v>0</v>
      </c>
      <c r="AH79" s="134">
        <f t="shared" ca="1" si="13"/>
        <v>0</v>
      </c>
      <c r="AI79" s="134">
        <f t="shared" ca="1" si="54"/>
        <v>0</v>
      </c>
      <c r="AJ79" s="134">
        <f t="shared" ca="1" si="55"/>
        <v>0</v>
      </c>
      <c r="AK79" s="134">
        <f t="shared" ca="1" si="56"/>
        <v>0</v>
      </c>
      <c r="AL79" s="132">
        <f t="shared" ca="1" si="15"/>
        <v>0</v>
      </c>
      <c r="AM79" s="132">
        <f t="shared" ca="1" si="16"/>
        <v>0</v>
      </c>
      <c r="AN79" s="2">
        <f t="shared" ca="1" si="17"/>
        <v>0</v>
      </c>
      <c r="AO79" s="2">
        <f t="shared" ca="1" si="0"/>
        <v>0</v>
      </c>
      <c r="AP79" s="2">
        <f t="shared" ca="1" si="57"/>
        <v>0</v>
      </c>
      <c r="AQ79" s="2">
        <f t="shared" ca="1" si="58"/>
        <v>30</v>
      </c>
      <c r="AR79" s="2">
        <f t="shared" si="20"/>
        <v>20</v>
      </c>
      <c r="AS79" s="2">
        <f t="shared" ca="1" si="32"/>
        <v>30</v>
      </c>
      <c r="AT79" s="2"/>
      <c r="AU79" s="2"/>
      <c r="AV79" s="2"/>
      <c r="AW79" s="2"/>
      <c r="AX79" s="2"/>
      <c r="AY79" s="2">
        <f t="shared" ca="1" si="21"/>
        <v>0</v>
      </c>
      <c r="AZ79" s="2"/>
      <c r="BA79" s="2"/>
      <c r="BB79" s="2"/>
      <c r="BC79" s="2"/>
      <c r="BD79" s="2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42"/>
        <v xml:space="preserve"> </v>
      </c>
      <c r="C80" s="268"/>
      <c r="D80" s="269" t="str">
        <f ca="1">IF(N80=0,IF(N79=1,SUM(D$26:E79)," "),IF(N80=0," ",IF(N81=1,D$26,IF(N81=0,D$10-D$26*(M$14-1)," "))))</f>
        <v xml:space="preserve"> </v>
      </c>
      <c r="E80" s="269"/>
      <c r="F80" s="87" t="str">
        <f ca="1">IF(N80=0,IF(N79=1,SUM(F$26:F79)," "),IF(M$1=1,P80,IF(M$1=2,Q80," ")))</f>
        <v xml:space="preserve"> </v>
      </c>
      <c r="G80" s="87">
        <v>0</v>
      </c>
      <c r="H80" s="87" t="str">
        <f t="shared" ca="1" si="2"/>
        <v xml:space="preserve"> </v>
      </c>
      <c r="I80" s="87">
        <f t="shared" ca="1" si="43"/>
        <v>0</v>
      </c>
      <c r="J80" s="87">
        <f t="shared" ca="1" si="4"/>
        <v>0</v>
      </c>
      <c r="K80" s="87">
        <v>0</v>
      </c>
      <c r="L80" s="87" t="str">
        <f t="shared" ca="1" si="23"/>
        <v xml:space="preserve"> </v>
      </c>
      <c r="M80" s="2">
        <v>55</v>
      </c>
      <c r="N80" s="2">
        <f t="shared" ca="1" si="35"/>
        <v>0</v>
      </c>
      <c r="O80" s="2">
        <f t="shared" ca="1" si="5"/>
        <v>20</v>
      </c>
      <c r="P80" s="134">
        <f t="shared" ca="1" si="6"/>
        <v>0</v>
      </c>
      <c r="Q80" s="134">
        <f t="shared" ca="1" si="7"/>
        <v>0</v>
      </c>
      <c r="R80" s="134">
        <f t="shared" ca="1" si="50"/>
        <v>0</v>
      </c>
      <c r="S80" s="134" t="str">
        <f t="shared" ca="1" si="26"/>
        <v xml:space="preserve"> </v>
      </c>
      <c r="T80" s="134" t="str">
        <f t="shared" ca="1" si="27"/>
        <v xml:space="preserve"> </v>
      </c>
      <c r="U80" s="134">
        <f t="shared" ca="1" si="51"/>
        <v>0</v>
      </c>
      <c r="V80" s="134">
        <f t="shared" ca="1" si="52"/>
        <v>0</v>
      </c>
      <c r="W80" s="134">
        <f t="shared" ca="1" si="28"/>
        <v>0</v>
      </c>
      <c r="X80" s="134">
        <f t="shared" ca="1" si="29"/>
        <v>0</v>
      </c>
      <c r="Y80" s="134">
        <f t="shared" ca="1" si="8"/>
        <v>1.1368683772161603E-12</v>
      </c>
      <c r="Z80" s="134">
        <f t="shared" ca="1" si="30"/>
        <v>0</v>
      </c>
      <c r="AA80" s="134">
        <f t="shared" ca="1" si="9"/>
        <v>0</v>
      </c>
      <c r="AB80" s="134">
        <f t="shared" ca="1" si="53"/>
        <v>0</v>
      </c>
      <c r="AC80" s="134">
        <f t="shared" ca="1" si="10"/>
        <v>0</v>
      </c>
      <c r="AD80" s="134">
        <f t="shared" ca="1" si="11"/>
        <v>0</v>
      </c>
      <c r="AE80" s="134">
        <f t="shared" ca="1" si="33"/>
        <v>0</v>
      </c>
      <c r="AF80" s="134">
        <f t="shared" ca="1" si="12"/>
        <v>0</v>
      </c>
      <c r="AG80" s="134">
        <f t="shared" ca="1" si="31"/>
        <v>0</v>
      </c>
      <c r="AH80" s="134">
        <f t="shared" ca="1" si="13"/>
        <v>0</v>
      </c>
      <c r="AI80" s="134">
        <f t="shared" ca="1" si="54"/>
        <v>0</v>
      </c>
      <c r="AJ80" s="134">
        <f t="shared" ca="1" si="55"/>
        <v>0</v>
      </c>
      <c r="AK80" s="134">
        <f t="shared" ca="1" si="56"/>
        <v>0</v>
      </c>
      <c r="AL80" s="132">
        <f t="shared" ca="1" si="15"/>
        <v>0</v>
      </c>
      <c r="AM80" s="132">
        <f t="shared" ca="1" si="16"/>
        <v>0</v>
      </c>
      <c r="AN80" s="2">
        <f t="shared" ca="1" si="17"/>
        <v>0</v>
      </c>
      <c r="AO80" s="2">
        <f t="shared" ca="1" si="0"/>
        <v>0</v>
      </c>
      <c r="AP80" s="2">
        <f t="shared" ca="1" si="57"/>
        <v>0</v>
      </c>
      <c r="AQ80" s="2">
        <f t="shared" ca="1" si="58"/>
        <v>30</v>
      </c>
      <c r="AR80" s="2">
        <f t="shared" si="20"/>
        <v>20</v>
      </c>
      <c r="AS80" s="2">
        <f t="shared" ca="1" si="32"/>
        <v>30</v>
      </c>
      <c r="AT80" s="2"/>
      <c r="AU80" s="2"/>
      <c r="AV80" s="2"/>
      <c r="AW80" s="2"/>
      <c r="AX80" s="2"/>
      <c r="AY80" s="2">
        <f t="shared" ca="1" si="21"/>
        <v>0</v>
      </c>
      <c r="AZ80" s="2"/>
      <c r="BA80" s="2"/>
      <c r="BB80" s="2"/>
      <c r="BC80" s="2"/>
      <c r="BD80" s="2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42"/>
        <v xml:space="preserve"> </v>
      </c>
      <c r="C81" s="268"/>
      <c r="D81" s="269" t="str">
        <f ca="1">IF(N81=0,IF(N80=1,SUM(D$26:E80)," "),IF(N81=0," ",IF(N82=1,D$26,IF(N82=0,D$10-D$26*(M$14-1)," "))))</f>
        <v xml:space="preserve"> </v>
      </c>
      <c r="E81" s="269"/>
      <c r="F81" s="87" t="str">
        <f ca="1">IF(N81=0,IF(N80=1,SUM(F$26:F80)," "),IF(M$1=1,P81,IF(M$1=2,Q81," ")))</f>
        <v xml:space="preserve"> </v>
      </c>
      <c r="G81" s="87">
        <v>0</v>
      </c>
      <c r="H81" s="87" t="str">
        <f t="shared" ca="1" si="2"/>
        <v xml:space="preserve"> </v>
      </c>
      <c r="I81" s="87">
        <f t="shared" ca="1" si="43"/>
        <v>0</v>
      </c>
      <c r="J81" s="87">
        <f t="shared" ca="1" si="4"/>
        <v>0</v>
      </c>
      <c r="K81" s="87">
        <v>0</v>
      </c>
      <c r="L81" s="87" t="str">
        <f t="shared" ca="1" si="23"/>
        <v xml:space="preserve"> </v>
      </c>
      <c r="M81" s="2">
        <v>56</v>
      </c>
      <c r="N81" s="2">
        <f t="shared" ca="1" si="35"/>
        <v>0</v>
      </c>
      <c r="O81" s="2">
        <f t="shared" ca="1" si="5"/>
        <v>20</v>
      </c>
      <c r="P81" s="134">
        <f t="shared" ca="1" si="6"/>
        <v>0</v>
      </c>
      <c r="Q81" s="134">
        <f t="shared" ca="1" si="7"/>
        <v>0</v>
      </c>
      <c r="R81" s="134">
        <f t="shared" ca="1" si="50"/>
        <v>0</v>
      </c>
      <c r="S81" s="134" t="str">
        <f t="shared" ca="1" si="26"/>
        <v xml:space="preserve"> </v>
      </c>
      <c r="T81" s="134" t="str">
        <f t="shared" ca="1" si="27"/>
        <v xml:space="preserve"> </v>
      </c>
      <c r="U81" s="134">
        <f t="shared" ca="1" si="51"/>
        <v>0</v>
      </c>
      <c r="V81" s="134">
        <f t="shared" ca="1" si="52"/>
        <v>0</v>
      </c>
      <c r="W81" s="134">
        <f t="shared" ca="1" si="28"/>
        <v>0</v>
      </c>
      <c r="X81" s="134">
        <f t="shared" ca="1" si="29"/>
        <v>0</v>
      </c>
      <c r="Y81" s="134">
        <f t="shared" ca="1" si="8"/>
        <v>1.1368683772161603E-12</v>
      </c>
      <c r="Z81" s="134">
        <f t="shared" ca="1" si="30"/>
        <v>0</v>
      </c>
      <c r="AA81" s="134">
        <f t="shared" ca="1" si="9"/>
        <v>0</v>
      </c>
      <c r="AB81" s="134">
        <f t="shared" ca="1" si="53"/>
        <v>0</v>
      </c>
      <c r="AC81" s="134">
        <f t="shared" ca="1" si="10"/>
        <v>0</v>
      </c>
      <c r="AD81" s="134">
        <f t="shared" ca="1" si="11"/>
        <v>0</v>
      </c>
      <c r="AE81" s="134">
        <f t="shared" ca="1" si="33"/>
        <v>0</v>
      </c>
      <c r="AF81" s="134">
        <f t="shared" ca="1" si="12"/>
        <v>0</v>
      </c>
      <c r="AG81" s="134">
        <f t="shared" ca="1" si="31"/>
        <v>0</v>
      </c>
      <c r="AH81" s="134">
        <f t="shared" ca="1" si="13"/>
        <v>0</v>
      </c>
      <c r="AI81" s="134">
        <f t="shared" ca="1" si="54"/>
        <v>0</v>
      </c>
      <c r="AJ81" s="134">
        <f t="shared" ca="1" si="55"/>
        <v>0</v>
      </c>
      <c r="AK81" s="134">
        <f t="shared" ca="1" si="56"/>
        <v>0</v>
      </c>
      <c r="AL81" s="132">
        <f t="shared" ca="1" si="15"/>
        <v>0</v>
      </c>
      <c r="AM81" s="132">
        <f t="shared" ca="1" si="16"/>
        <v>0</v>
      </c>
      <c r="AN81" s="2">
        <f t="shared" ca="1" si="17"/>
        <v>0</v>
      </c>
      <c r="AO81" s="2">
        <f t="shared" ca="1" si="0"/>
        <v>0</v>
      </c>
      <c r="AP81" s="2">
        <f t="shared" ca="1" si="57"/>
        <v>0</v>
      </c>
      <c r="AQ81" s="2">
        <f t="shared" ca="1" si="58"/>
        <v>30</v>
      </c>
      <c r="AR81" s="2">
        <f t="shared" si="20"/>
        <v>20</v>
      </c>
      <c r="AS81" s="2">
        <f t="shared" ca="1" si="32"/>
        <v>30</v>
      </c>
      <c r="AT81" s="2"/>
      <c r="AU81" s="2"/>
      <c r="AV81" s="2"/>
      <c r="AW81" s="2"/>
      <c r="AX81" s="2"/>
      <c r="AY81" s="2">
        <f t="shared" ca="1" si="21"/>
        <v>0</v>
      </c>
      <c r="AZ81" s="2"/>
      <c r="BA81" s="2"/>
      <c r="BB81" s="2"/>
      <c r="BC81" s="2"/>
      <c r="BD81" s="2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42"/>
        <v xml:space="preserve"> </v>
      </c>
      <c r="C82" s="268"/>
      <c r="D82" s="269" t="str">
        <f ca="1">IF(N82=0,IF(N81=1,SUM(D$26:E81)," "),IF(N82=0," ",IF(N83=1,D$26,IF(N83=0,D$10-D$26*(M$14-1)," "))))</f>
        <v xml:space="preserve"> </v>
      </c>
      <c r="E82" s="269"/>
      <c r="F82" s="87" t="str">
        <f ca="1">IF(N82=0,IF(N81=1,SUM(F$26:F81)," "),IF(M$1=1,P82,IF(M$1=2,Q82," ")))</f>
        <v xml:space="preserve"> </v>
      </c>
      <c r="G82" s="87">
        <v>0</v>
      </c>
      <c r="H82" s="87" t="str">
        <f t="shared" ca="1" si="2"/>
        <v xml:space="preserve"> </v>
      </c>
      <c r="I82" s="87">
        <f t="shared" ca="1" si="43"/>
        <v>0</v>
      </c>
      <c r="J82" s="87">
        <f t="shared" ca="1" si="4"/>
        <v>0</v>
      </c>
      <c r="K82" s="87">
        <v>0</v>
      </c>
      <c r="L82" s="87" t="str">
        <f t="shared" ca="1" si="23"/>
        <v xml:space="preserve"> </v>
      </c>
      <c r="M82" s="2">
        <v>57</v>
      </c>
      <c r="N82" s="2">
        <f t="shared" ca="1" si="35"/>
        <v>0</v>
      </c>
      <c r="O82" s="2">
        <f t="shared" ca="1" si="5"/>
        <v>20</v>
      </c>
      <c r="P82" s="134">
        <f t="shared" ca="1" si="6"/>
        <v>0</v>
      </c>
      <c r="Q82" s="134">
        <f t="shared" ca="1" si="7"/>
        <v>0</v>
      </c>
      <c r="R82" s="134">
        <f t="shared" ca="1" si="50"/>
        <v>0</v>
      </c>
      <c r="S82" s="134" t="str">
        <f t="shared" ca="1" si="26"/>
        <v xml:space="preserve"> </v>
      </c>
      <c r="T82" s="134" t="str">
        <f t="shared" ca="1" si="27"/>
        <v xml:space="preserve"> </v>
      </c>
      <c r="U82" s="134">
        <f t="shared" ca="1" si="51"/>
        <v>0</v>
      </c>
      <c r="V82" s="134">
        <f t="shared" ca="1" si="52"/>
        <v>0</v>
      </c>
      <c r="W82" s="134">
        <f t="shared" ca="1" si="28"/>
        <v>0</v>
      </c>
      <c r="X82" s="134">
        <f t="shared" ca="1" si="29"/>
        <v>0</v>
      </c>
      <c r="Y82" s="134">
        <f t="shared" ca="1" si="8"/>
        <v>1.1368683772161603E-12</v>
      </c>
      <c r="Z82" s="134">
        <f t="shared" ca="1" si="30"/>
        <v>0</v>
      </c>
      <c r="AA82" s="134">
        <f t="shared" ca="1" si="9"/>
        <v>0</v>
      </c>
      <c r="AB82" s="134">
        <f t="shared" ca="1" si="53"/>
        <v>0</v>
      </c>
      <c r="AC82" s="134">
        <f t="shared" ca="1" si="10"/>
        <v>0</v>
      </c>
      <c r="AD82" s="134">
        <f t="shared" ca="1" si="11"/>
        <v>0</v>
      </c>
      <c r="AE82" s="134">
        <f t="shared" ca="1" si="33"/>
        <v>0</v>
      </c>
      <c r="AF82" s="134">
        <f t="shared" ca="1" si="12"/>
        <v>0</v>
      </c>
      <c r="AG82" s="134">
        <f t="shared" ca="1" si="31"/>
        <v>0</v>
      </c>
      <c r="AH82" s="134">
        <f t="shared" ca="1" si="13"/>
        <v>0</v>
      </c>
      <c r="AI82" s="134">
        <f t="shared" ca="1" si="54"/>
        <v>0</v>
      </c>
      <c r="AJ82" s="134">
        <f t="shared" ca="1" si="55"/>
        <v>0</v>
      </c>
      <c r="AK82" s="134">
        <f t="shared" ca="1" si="56"/>
        <v>0</v>
      </c>
      <c r="AL82" s="132">
        <f t="shared" ca="1" si="15"/>
        <v>0</v>
      </c>
      <c r="AM82" s="132">
        <f t="shared" ca="1" si="16"/>
        <v>0</v>
      </c>
      <c r="AN82" s="2">
        <f t="shared" ca="1" si="17"/>
        <v>0</v>
      </c>
      <c r="AO82" s="2">
        <f t="shared" ca="1" si="0"/>
        <v>0</v>
      </c>
      <c r="AP82" s="2">
        <f t="shared" ca="1" si="57"/>
        <v>0</v>
      </c>
      <c r="AQ82" s="2">
        <f t="shared" ca="1" si="58"/>
        <v>30</v>
      </c>
      <c r="AR82" s="2">
        <f t="shared" si="20"/>
        <v>20</v>
      </c>
      <c r="AS82" s="2">
        <f t="shared" ca="1" si="32"/>
        <v>30</v>
      </c>
      <c r="AT82" s="2"/>
      <c r="AU82" s="2"/>
      <c r="AV82" s="2"/>
      <c r="AW82" s="2"/>
      <c r="AX82" s="2"/>
      <c r="AY82" s="2">
        <f t="shared" ca="1" si="21"/>
        <v>0</v>
      </c>
      <c r="AZ82" s="2"/>
      <c r="BA82" s="2"/>
      <c r="BB82" s="2"/>
      <c r="BC82" s="2"/>
      <c r="BD82" s="2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42"/>
        <v xml:space="preserve"> </v>
      </c>
      <c r="C83" s="268"/>
      <c r="D83" s="269" t="str">
        <f ca="1">IF(N83=0,IF(N82=1,SUM(D$26:E82)," "),IF(N83=0," ",IF(N84=1,D$26,IF(N84=0,D$10-D$26*(M$14-1)," "))))</f>
        <v xml:space="preserve"> </v>
      </c>
      <c r="E83" s="269"/>
      <c r="F83" s="87" t="str">
        <f ca="1">IF(N83=0,IF(N82=1,SUM(F$26:F82)," "),IF(M$1=1,P83,IF(M$1=2,Q83," ")))</f>
        <v xml:space="preserve"> </v>
      </c>
      <c r="G83" s="87">
        <v>0</v>
      </c>
      <c r="H83" s="87" t="str">
        <f t="shared" ca="1" si="2"/>
        <v xml:space="preserve"> </v>
      </c>
      <c r="I83" s="87">
        <f t="shared" ca="1" si="43"/>
        <v>0</v>
      </c>
      <c r="J83" s="87">
        <f t="shared" ca="1" si="4"/>
        <v>0</v>
      </c>
      <c r="K83" s="87">
        <v>0</v>
      </c>
      <c r="L83" s="87" t="str">
        <f t="shared" ca="1" si="23"/>
        <v xml:space="preserve"> </v>
      </c>
      <c r="M83" s="2">
        <v>58</v>
      </c>
      <c r="N83" s="2">
        <f t="shared" ca="1" si="35"/>
        <v>0</v>
      </c>
      <c r="O83" s="2">
        <f t="shared" ca="1" si="5"/>
        <v>20</v>
      </c>
      <c r="P83" s="134">
        <f t="shared" ca="1" si="6"/>
        <v>0</v>
      </c>
      <c r="Q83" s="134">
        <f t="shared" ca="1" si="7"/>
        <v>0</v>
      </c>
      <c r="R83" s="134">
        <f t="shared" ca="1" si="50"/>
        <v>0</v>
      </c>
      <c r="S83" s="134" t="str">
        <f t="shared" ca="1" si="26"/>
        <v xml:space="preserve"> </v>
      </c>
      <c r="T83" s="134" t="str">
        <f t="shared" ca="1" si="27"/>
        <v xml:space="preserve"> </v>
      </c>
      <c r="U83" s="134">
        <f t="shared" ca="1" si="51"/>
        <v>0</v>
      </c>
      <c r="V83" s="134">
        <f t="shared" ca="1" si="52"/>
        <v>0</v>
      </c>
      <c r="W83" s="134">
        <f t="shared" ca="1" si="28"/>
        <v>0</v>
      </c>
      <c r="X83" s="134">
        <f t="shared" ca="1" si="29"/>
        <v>0</v>
      </c>
      <c r="Y83" s="134">
        <f t="shared" ca="1" si="8"/>
        <v>1.1368683772161603E-12</v>
      </c>
      <c r="Z83" s="134">
        <f t="shared" ca="1" si="30"/>
        <v>0</v>
      </c>
      <c r="AA83" s="134">
        <f t="shared" ca="1" si="9"/>
        <v>0</v>
      </c>
      <c r="AB83" s="134">
        <f t="shared" ca="1" si="53"/>
        <v>0</v>
      </c>
      <c r="AC83" s="134">
        <f t="shared" ca="1" si="10"/>
        <v>0</v>
      </c>
      <c r="AD83" s="134">
        <f t="shared" ca="1" si="11"/>
        <v>0</v>
      </c>
      <c r="AE83" s="134">
        <f t="shared" ca="1" si="33"/>
        <v>0</v>
      </c>
      <c r="AF83" s="134">
        <f t="shared" ca="1" si="12"/>
        <v>0</v>
      </c>
      <c r="AG83" s="134">
        <f t="shared" ca="1" si="31"/>
        <v>0</v>
      </c>
      <c r="AH83" s="134">
        <f t="shared" ca="1" si="13"/>
        <v>0</v>
      </c>
      <c r="AI83" s="134">
        <f t="shared" ca="1" si="54"/>
        <v>0</v>
      </c>
      <c r="AJ83" s="134">
        <f t="shared" ca="1" si="55"/>
        <v>0</v>
      </c>
      <c r="AK83" s="134">
        <f t="shared" ca="1" si="56"/>
        <v>0</v>
      </c>
      <c r="AL83" s="132">
        <f t="shared" ca="1" si="15"/>
        <v>0</v>
      </c>
      <c r="AM83" s="132">
        <f t="shared" ca="1" si="16"/>
        <v>0</v>
      </c>
      <c r="AN83" s="2">
        <f t="shared" ca="1" si="17"/>
        <v>0</v>
      </c>
      <c r="AO83" s="2">
        <f t="shared" ca="1" si="0"/>
        <v>0</v>
      </c>
      <c r="AP83" s="2">
        <f t="shared" ca="1" si="57"/>
        <v>0</v>
      </c>
      <c r="AQ83" s="2">
        <f t="shared" ca="1" si="58"/>
        <v>30</v>
      </c>
      <c r="AR83" s="2">
        <f t="shared" si="20"/>
        <v>20</v>
      </c>
      <c r="AS83" s="2">
        <f t="shared" ca="1" si="32"/>
        <v>30</v>
      </c>
      <c r="AT83" s="2"/>
      <c r="AU83" s="2"/>
      <c r="AV83" s="2"/>
      <c r="AW83" s="2"/>
      <c r="AX83" s="2"/>
      <c r="AY83" s="2">
        <f t="shared" ca="1" si="21"/>
        <v>0</v>
      </c>
      <c r="AZ83" s="2"/>
      <c r="BA83" s="2"/>
      <c r="BB83" s="2"/>
      <c r="BC83" s="2"/>
      <c r="BD83" s="2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42"/>
        <v xml:space="preserve"> </v>
      </c>
      <c r="C84" s="268"/>
      <c r="D84" s="269" t="str">
        <f ca="1">IF(N84=0,IF(N83=1,SUM(D$26:E83)," "),IF(N84=0," ",IF(N85=1,D$26,IF(N85=0,D$10-D$26*(M$14-1)," "))))</f>
        <v xml:space="preserve"> </v>
      </c>
      <c r="E84" s="269"/>
      <c r="F84" s="87" t="str">
        <f ca="1">IF(N84=0,IF(N83=1,SUM(F$26:F83)," "),IF(M$1=1,P84,IF(M$1=2,Q84," ")))</f>
        <v xml:space="preserve"> </v>
      </c>
      <c r="G84" s="87">
        <v>0</v>
      </c>
      <c r="H84" s="87" t="str">
        <f ca="1">IF(SUM(D84:G84)=0," ",SUM(D84:G84))</f>
        <v xml:space="preserve"> </v>
      </c>
      <c r="I84" s="87">
        <f t="shared" ca="1" si="43"/>
        <v>0</v>
      </c>
      <c r="J84" s="87">
        <f t="shared" ca="1" si="4"/>
        <v>0</v>
      </c>
      <c r="K84" s="87">
        <v>0</v>
      </c>
      <c r="L84" s="87" t="str">
        <f t="shared" ca="1" si="23"/>
        <v xml:space="preserve"> </v>
      </c>
      <c r="M84" s="2">
        <v>59</v>
      </c>
      <c r="N84" s="2">
        <f t="shared" ca="1" si="35"/>
        <v>0</v>
      </c>
      <c r="O84" s="2">
        <f t="shared" ca="1" si="5"/>
        <v>20</v>
      </c>
      <c r="P84" s="134">
        <f t="shared" ca="1" si="6"/>
        <v>0</v>
      </c>
      <c r="Q84" s="134">
        <f t="shared" ca="1" si="7"/>
        <v>0</v>
      </c>
      <c r="R84" s="134">
        <f t="shared" ca="1" si="50"/>
        <v>0</v>
      </c>
      <c r="S84" s="134" t="str">
        <f t="shared" ca="1" si="26"/>
        <v xml:space="preserve"> </v>
      </c>
      <c r="T84" s="134" t="str">
        <f t="shared" ca="1" si="27"/>
        <v xml:space="preserve"> </v>
      </c>
      <c r="U84" s="134">
        <f t="shared" ca="1" si="51"/>
        <v>0</v>
      </c>
      <c r="V84" s="134">
        <f t="shared" ca="1" si="52"/>
        <v>0</v>
      </c>
      <c r="W84" s="134">
        <f t="shared" ca="1" si="28"/>
        <v>0</v>
      </c>
      <c r="X84" s="134">
        <f t="shared" ca="1" si="29"/>
        <v>0</v>
      </c>
      <c r="Y84" s="134">
        <f t="shared" ca="1" si="8"/>
        <v>1.1368683772161603E-12</v>
      </c>
      <c r="Z84" s="134">
        <f t="shared" ca="1" si="30"/>
        <v>0</v>
      </c>
      <c r="AA84" s="134">
        <f t="shared" ca="1" si="9"/>
        <v>0</v>
      </c>
      <c r="AB84" s="134">
        <f t="shared" ca="1" si="53"/>
        <v>0</v>
      </c>
      <c r="AC84" s="134">
        <f t="shared" ca="1" si="10"/>
        <v>0</v>
      </c>
      <c r="AD84" s="134">
        <f t="shared" ca="1" si="11"/>
        <v>0</v>
      </c>
      <c r="AE84" s="134">
        <f t="shared" ca="1" si="33"/>
        <v>0</v>
      </c>
      <c r="AF84" s="134">
        <f t="shared" ca="1" si="12"/>
        <v>0</v>
      </c>
      <c r="AG84" s="134">
        <f t="shared" ca="1" si="31"/>
        <v>0</v>
      </c>
      <c r="AH84" s="134">
        <f t="shared" ca="1" si="13"/>
        <v>0</v>
      </c>
      <c r="AI84" s="134">
        <f t="shared" ca="1" si="54"/>
        <v>0</v>
      </c>
      <c r="AJ84" s="134">
        <f t="shared" ca="1" si="55"/>
        <v>0</v>
      </c>
      <c r="AK84" s="134">
        <f t="shared" ca="1" si="56"/>
        <v>0</v>
      </c>
      <c r="AL84" s="132">
        <f t="shared" ca="1" si="15"/>
        <v>0</v>
      </c>
      <c r="AM84" s="132">
        <f t="shared" ca="1" si="16"/>
        <v>0</v>
      </c>
      <c r="AN84" s="2">
        <f t="shared" ca="1" si="17"/>
        <v>0</v>
      </c>
      <c r="AO84" s="2">
        <f t="shared" ca="1" si="0"/>
        <v>0</v>
      </c>
      <c r="AP84" s="2">
        <f t="shared" ca="1" si="57"/>
        <v>0</v>
      </c>
      <c r="AQ84" s="2">
        <f t="shared" ca="1" si="58"/>
        <v>30</v>
      </c>
      <c r="AR84" s="2">
        <f t="shared" si="20"/>
        <v>20</v>
      </c>
      <c r="AS84" s="2">
        <f t="shared" ca="1" si="32"/>
        <v>30</v>
      </c>
      <c r="AT84" s="2"/>
      <c r="AU84" s="2"/>
      <c r="AV84" s="2"/>
      <c r="AW84" s="2"/>
      <c r="AX84" s="2"/>
      <c r="AY84" s="2">
        <f t="shared" ca="1" si="21"/>
        <v>0</v>
      </c>
      <c r="AZ84" s="2"/>
      <c r="BA84" s="2"/>
      <c r="BB84" s="2"/>
      <c r="BC84" s="2"/>
      <c r="BD84" s="2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42"/>
        <v xml:space="preserve"> </v>
      </c>
      <c r="C85" s="268"/>
      <c r="D85" s="269" t="str">
        <f ca="1">IF(N85=0,IF(N84=1,SUM(D$26:E84)," "),IF(N85=0," ",IF(N86=1,D$26,IF(N86=0,D$10-D$26*(M$14-1)," "))))</f>
        <v xml:space="preserve"> </v>
      </c>
      <c r="E85" s="269"/>
      <c r="F85" s="87" t="str">
        <f ca="1">IF(N85=0,IF(N84=1,SUM(F$26:F84)," "),IF(M$1=1,P85,IF(M$1=2,Q85," ")))</f>
        <v xml:space="preserve"> </v>
      </c>
      <c r="G85" s="87">
        <v>0</v>
      </c>
      <c r="H85" s="87" t="str">
        <f ca="1">IF(SUM(D85:G85)=0," ",SUM(D85:G85))</f>
        <v xml:space="preserve"> </v>
      </c>
      <c r="I85" s="87">
        <f t="shared" ca="1" si="43"/>
        <v>0</v>
      </c>
      <c r="J85" s="87">
        <f t="shared" ca="1" si="4"/>
        <v>0</v>
      </c>
      <c r="K85" s="87">
        <v>0</v>
      </c>
      <c r="L85" s="87" t="str">
        <f t="shared" ca="1" si="23"/>
        <v xml:space="preserve"> </v>
      </c>
      <c r="M85" s="2">
        <v>60</v>
      </c>
      <c r="N85" s="2">
        <f t="shared" ca="1" si="35"/>
        <v>0</v>
      </c>
      <c r="O85" s="2">
        <f t="shared" ca="1" si="5"/>
        <v>20</v>
      </c>
      <c r="P85" s="134">
        <f t="shared" ca="1" si="6"/>
        <v>0</v>
      </c>
      <c r="Q85" s="134">
        <f t="shared" ca="1" si="7"/>
        <v>0</v>
      </c>
      <c r="R85" s="134">
        <f t="shared" ca="1" si="50"/>
        <v>0</v>
      </c>
      <c r="S85" s="134" t="str">
        <f t="shared" ca="1" si="26"/>
        <v xml:space="preserve"> </v>
      </c>
      <c r="T85" s="134" t="str">
        <f t="shared" ca="1" si="27"/>
        <v xml:space="preserve"> </v>
      </c>
      <c r="U85" s="134">
        <f t="shared" ca="1" si="51"/>
        <v>0</v>
      </c>
      <c r="V85" s="134">
        <f t="shared" ca="1" si="52"/>
        <v>0</v>
      </c>
      <c r="W85" s="134">
        <f t="shared" ca="1" si="28"/>
        <v>0</v>
      </c>
      <c r="X85" s="134">
        <f t="shared" ca="1" si="29"/>
        <v>0</v>
      </c>
      <c r="Y85" s="134">
        <f t="shared" ca="1" si="8"/>
        <v>1.1368683772161603E-12</v>
      </c>
      <c r="Z85" s="134">
        <f t="shared" ca="1" si="30"/>
        <v>0</v>
      </c>
      <c r="AA85" s="134">
        <f t="shared" ca="1" si="9"/>
        <v>0</v>
      </c>
      <c r="AB85" s="134">
        <f t="shared" ca="1" si="53"/>
        <v>0</v>
      </c>
      <c r="AC85" s="134">
        <f t="shared" ca="1" si="10"/>
        <v>0</v>
      </c>
      <c r="AD85" s="134">
        <f t="shared" ca="1" si="11"/>
        <v>0</v>
      </c>
      <c r="AE85" s="134">
        <f t="shared" ca="1" si="33"/>
        <v>0</v>
      </c>
      <c r="AF85" s="134">
        <f t="shared" ca="1" si="12"/>
        <v>0</v>
      </c>
      <c r="AG85" s="134">
        <f t="shared" ca="1" si="31"/>
        <v>0</v>
      </c>
      <c r="AH85" s="134">
        <f t="shared" ca="1" si="13"/>
        <v>0</v>
      </c>
      <c r="AI85" s="134">
        <f t="shared" ca="1" si="54"/>
        <v>0</v>
      </c>
      <c r="AJ85" s="134">
        <f t="shared" ca="1" si="55"/>
        <v>0</v>
      </c>
      <c r="AK85" s="134">
        <f t="shared" ca="1" si="56"/>
        <v>0</v>
      </c>
      <c r="AL85" s="132">
        <f t="shared" ca="1" si="15"/>
        <v>0</v>
      </c>
      <c r="AM85" s="132">
        <f t="shared" ca="1" si="16"/>
        <v>0</v>
      </c>
      <c r="AN85" s="2">
        <f t="shared" ca="1" si="17"/>
        <v>0</v>
      </c>
      <c r="AO85" s="2">
        <f t="shared" ca="1" si="0"/>
        <v>0</v>
      </c>
      <c r="AP85" s="2">
        <f t="shared" ca="1" si="57"/>
        <v>0</v>
      </c>
      <c r="AQ85" s="2">
        <f t="shared" ca="1" si="58"/>
        <v>30</v>
      </c>
      <c r="AR85" s="2">
        <f t="shared" si="20"/>
        <v>20</v>
      </c>
      <c r="AS85" s="2">
        <f t="shared" ca="1" si="32"/>
        <v>30</v>
      </c>
      <c r="AT85" s="2"/>
      <c r="AU85" s="2"/>
      <c r="AV85" s="2"/>
      <c r="AW85" s="2"/>
      <c r="AX85" s="2"/>
      <c r="AY85" s="2">
        <f t="shared" ca="1" si="21"/>
        <v>0</v>
      </c>
      <c r="AZ85" s="2"/>
      <c r="BA85" s="2"/>
      <c r="BB85" s="2"/>
      <c r="BC85" s="2"/>
      <c r="BD85" s="2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4" customFormat="1" ht="15" customHeight="1">
      <c r="A86" s="4"/>
      <c r="B86" s="268" t="str">
        <f t="shared" ca="1" si="42"/>
        <v xml:space="preserve"> </v>
      </c>
      <c r="C86" s="268"/>
      <c r="D86" s="443" t="str">
        <f ca="1">IF(N86=0,IF(N85=1,SUM(D$26:E85)," "),IF(N86=0," ",IF(N87=1,D$26,IF(N87=0,D$10-D$26*(M$14-1)," "))))</f>
        <v xml:space="preserve"> </v>
      </c>
      <c r="E86" s="443"/>
      <c r="F86" s="84" t="str">
        <f ca="1">IF(N86=0,IF(N85=1,SUM(F$26:F85)," "),IF(M$1=1,P86,IF(M$1=2,Q86," ")))</f>
        <v xml:space="preserve"> </v>
      </c>
      <c r="G86" s="84">
        <v>0</v>
      </c>
      <c r="H86" s="84" t="str">
        <f ca="1">IF(SUM(D86:G86)=0," ",SUM(D86:G86))</f>
        <v xml:space="preserve"> </v>
      </c>
      <c r="I86" s="84">
        <f t="shared" ca="1" si="43"/>
        <v>0</v>
      </c>
      <c r="J86" s="84">
        <f t="shared" ca="1" si="4"/>
        <v>0</v>
      </c>
      <c r="K86" s="84">
        <v>0</v>
      </c>
      <c r="L86" s="84" t="str">
        <f t="shared" ca="1" si="23"/>
        <v xml:space="preserve"> </v>
      </c>
      <c r="M86" s="2">
        <v>61</v>
      </c>
      <c r="N86" s="2">
        <f t="shared" ca="1" si="35"/>
        <v>0</v>
      </c>
      <c r="O86" s="2">
        <f t="shared" ca="1" si="5"/>
        <v>20</v>
      </c>
      <c r="P86" s="134">
        <f t="shared" ca="1" si="6"/>
        <v>0</v>
      </c>
      <c r="Q86" s="134">
        <f t="shared" ca="1" si="7"/>
        <v>0</v>
      </c>
      <c r="R86" s="134">
        <f t="shared" ca="1" si="50"/>
        <v>0</v>
      </c>
      <c r="S86" s="134" t="str">
        <f t="shared" ca="1" si="26"/>
        <v xml:space="preserve"> </v>
      </c>
      <c r="T86" s="134" t="str">
        <f t="shared" ca="1" si="27"/>
        <v xml:space="preserve"> </v>
      </c>
      <c r="U86" s="134">
        <f ca="1">IF(N87=1,R85*D$11*20/36000+R86*D$11*10/36000,IF(N87=0,IF(N86=0,0,IF(D$16&gt;20,R85*D$11*20/36000+R86*D$11*(Q$12-20)/36000,R86*D$11*Q$12/36000))))</f>
        <v>0</v>
      </c>
      <c r="V86" s="134">
        <f ca="1">IF(N87=1,R85*D$11*20/36000+R86*D$11*10/36000,IF(N87=0,IF(N86=0,0,IF(D$16&gt;20,R85*D$11*20/36000+R86*D$11*(Q$12-20)/36000,R86*D$11*Q$12/36000))))</f>
        <v>0</v>
      </c>
      <c r="W86" s="134">
        <f ca="1">IF(N87=1,D10*D$11*20/36000+D10*D$11*10/36000,IF(N87=0,IF(N86=0,0,D10*D$11*Q$12/36000)))</f>
        <v>0</v>
      </c>
      <c r="X86" s="134">
        <f t="shared" ca="1" si="29"/>
        <v>0</v>
      </c>
      <c r="Y86" s="134">
        <f t="shared" ca="1" si="8"/>
        <v>1.1368683772161603E-12</v>
      </c>
      <c r="Z86" s="134">
        <f ca="1">IF(N87=1,Y85*D$11*20/36000+Y86*D$11*10/36000,IF(N87=0,IF(N86=0,0,IF(D$16&gt;20,Y85*D$11*20/36000+Y86*D$11*(Q$12-20)/36000,Y86*D$11*Q$12/36000))))</f>
        <v>0</v>
      </c>
      <c r="AA86" s="134">
        <f t="shared" ca="1" si="9"/>
        <v>0</v>
      </c>
      <c r="AB86" s="134">
        <f ca="1">R86*Q$12</f>
        <v>0</v>
      </c>
      <c r="AC86" s="134">
        <f t="shared" ca="1" si="10"/>
        <v>0</v>
      </c>
      <c r="AD86" s="134">
        <f t="shared" ca="1" si="11"/>
        <v>0</v>
      </c>
      <c r="AE86" s="134">
        <f t="shared" ca="1" si="33"/>
        <v>0</v>
      </c>
      <c r="AF86" s="134">
        <f t="shared" ca="1" si="12"/>
        <v>0</v>
      </c>
      <c r="AG86" s="134">
        <f ca="1">IF(N87=1,Y85*G$12*20/36000+Y86*G$12*10/36000,IF(N87=0,IF(N86=0,0,Y86*G$12*Q$12/36000)))</f>
        <v>0</v>
      </c>
      <c r="AH86" s="134">
        <f t="shared" ca="1" si="13"/>
        <v>0</v>
      </c>
      <c r="AI86" s="134">
        <f ca="1">R86</f>
        <v>0</v>
      </c>
      <c r="AJ86" s="134">
        <f ca="1">IF(N87=1,AI85*G$12*20/36000+AI86*G$12*10/36000,IF(N87=0,IF(N86=0,0,AI86*G$12*Q$12/36000)))</f>
        <v>0</v>
      </c>
      <c r="AK86" s="134">
        <f ca="1">IF(N87=1,AI85*G$12*20/36000+AI86*G$12*10/36000,IF(N87=0,IF(N86=0,0,AI86*G$12*Q$12/36000)))</f>
        <v>0</v>
      </c>
      <c r="AL86" s="132">
        <f t="shared" ca="1" si="15"/>
        <v>0</v>
      </c>
      <c r="AM86" s="132">
        <f t="shared" ca="1" si="16"/>
        <v>0</v>
      </c>
      <c r="AN86" s="2">
        <f t="shared" ca="1" si="17"/>
        <v>0</v>
      </c>
      <c r="AO86" s="2">
        <f t="shared" ca="1" si="0"/>
        <v>0</v>
      </c>
      <c r="AP86" s="2">
        <f t="shared" ca="1" si="57"/>
        <v>0</v>
      </c>
      <c r="AQ86" s="2">
        <f t="shared" ca="1" si="58"/>
        <v>30</v>
      </c>
      <c r="AR86" s="2">
        <f t="shared" si="20"/>
        <v>20</v>
      </c>
      <c r="AS86" s="2">
        <f t="shared" ca="1" si="32"/>
        <v>30</v>
      </c>
      <c r="AT86" s="2"/>
      <c r="AU86" s="2"/>
      <c r="AV86" s="2"/>
      <c r="AW86" s="2"/>
      <c r="AX86" s="2"/>
      <c r="AY86" s="2">
        <f t="shared" ca="1" si="21"/>
        <v>0</v>
      </c>
      <c r="AZ86" s="2"/>
      <c r="BA86" s="2"/>
      <c r="BB86" s="2"/>
      <c r="BC86" s="2"/>
      <c r="BD86" s="2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</row>
    <row r="87" spans="1:141" s="26" customFormat="1" ht="15" customHeight="1">
      <c r="B87" s="405" t="str">
        <f ca="1">IF(N87=0,IF(N86=1,"ИТОГО"," ")," ")</f>
        <v xml:space="preserve"> </v>
      </c>
      <c r="C87" s="405"/>
      <c r="D87" s="441" t="str">
        <f ca="1">IF(N87=0,IF(N86=1,D23," ")," ")</f>
        <v xml:space="preserve"> </v>
      </c>
      <c r="E87" s="441"/>
      <c r="F87" s="66" t="str">
        <f ca="1">IF(N87=0,IF(N86=1,SUM(F26:F86)," ")," ")</f>
        <v xml:space="preserve"> </v>
      </c>
      <c r="G87" s="66">
        <v>0</v>
      </c>
      <c r="H87" s="66" t="str">
        <f t="shared" ca="1" si="2"/>
        <v xml:space="preserve"> </v>
      </c>
      <c r="I87" s="66"/>
      <c r="J87" s="66"/>
      <c r="K87" s="66"/>
      <c r="L87" s="66"/>
      <c r="M87" s="135">
        <f>IF(A95=0,0,62000)</f>
        <v>0</v>
      </c>
      <c r="N87" s="135"/>
      <c r="O87" s="135"/>
      <c r="P87" s="136">
        <f t="shared" ref="P87:AK87" ca="1" si="59">SUM(P26:P86)</f>
        <v>605.56428944444383</v>
      </c>
      <c r="Q87" s="136">
        <f t="shared" ca="1" si="59"/>
        <v>605.56428944444383</v>
      </c>
      <c r="R87" s="136">
        <f t="shared" ca="1" si="59"/>
        <v>24503.759999999973</v>
      </c>
      <c r="S87" s="136"/>
      <c r="T87" s="136"/>
      <c r="U87" s="136">
        <f t="shared" ca="1" si="59"/>
        <v>605.56428944444383</v>
      </c>
      <c r="V87" s="136">
        <f t="shared" ca="1" si="59"/>
        <v>605.56428944444383</v>
      </c>
      <c r="W87" s="136">
        <f t="shared" ca="1" si="59"/>
        <v>1157.4444444444441</v>
      </c>
      <c r="X87" s="136">
        <f t="shared" ca="1" si="59"/>
        <v>970</v>
      </c>
      <c r="Y87" s="136"/>
      <c r="Z87" s="136"/>
      <c r="AA87" s="136"/>
      <c r="AB87" s="136">
        <f t="shared" ca="1" si="59"/>
        <v>750688.67999999912</v>
      </c>
      <c r="AC87" s="136">
        <f t="shared" ca="1" si="59"/>
        <v>0</v>
      </c>
      <c r="AD87" s="136">
        <f t="shared" ca="1" si="59"/>
        <v>0</v>
      </c>
      <c r="AE87" s="136">
        <f t="shared" ca="1" si="59"/>
        <v>0</v>
      </c>
      <c r="AF87" s="136">
        <f t="shared" ca="1" si="59"/>
        <v>0</v>
      </c>
      <c r="AG87" s="136"/>
      <c r="AH87" s="136"/>
      <c r="AI87" s="136">
        <f t="shared" ca="1" si="59"/>
        <v>24503.759999999973</v>
      </c>
      <c r="AJ87" s="136">
        <f t="shared" ca="1" si="59"/>
        <v>0</v>
      </c>
      <c r="AK87" s="136">
        <f t="shared" ca="1" si="59"/>
        <v>0</v>
      </c>
      <c r="AL87" s="136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</row>
    <row r="88" spans="1:141" ht="75" hidden="1" customHeight="1">
      <c r="A88" s="98">
        <v>0</v>
      </c>
      <c r="B88" s="301" t="str">
        <f>IF(M1=2,IF(F10="USD",O88,IF(F10="бел. рублей",N88)),IF(H8=1,N94,"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
</v>
      </c>
      <c r="C88" s="301"/>
      <c r="D88" s="301"/>
      <c r="E88" s="301"/>
      <c r="F88" s="301"/>
      <c r="G88" s="301"/>
      <c r="H88" s="301"/>
      <c r="I88" s="301"/>
      <c r="J88" s="301"/>
      <c r="K88" s="301"/>
      <c r="L88" s="79"/>
      <c r="M88" s="29"/>
      <c r="N88" s="29" t="s">
        <v>118</v>
      </c>
      <c r="O88" s="29" t="s">
        <v>118</v>
      </c>
      <c r="P88" s="29"/>
      <c r="Q88" s="29"/>
    </row>
    <row r="89" spans="1:141" ht="9" hidden="1" customHeight="1">
      <c r="A89" s="28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</row>
    <row r="90" spans="1:141" ht="6.75" hidden="1" customHeight="1">
      <c r="A90" s="28"/>
      <c r="B90" s="301" t="s">
        <v>36</v>
      </c>
      <c r="C90" s="301"/>
      <c r="D90" s="301"/>
      <c r="E90" s="301"/>
      <c r="F90" s="301"/>
      <c r="G90" s="301"/>
      <c r="H90" s="301"/>
      <c r="I90" s="79"/>
      <c r="J90" s="79"/>
      <c r="K90" s="79"/>
      <c r="L90" s="79"/>
      <c r="M90" s="29"/>
      <c r="P90" s="29"/>
      <c r="Q90" s="29"/>
    </row>
    <row r="91" spans="1:141" ht="14.25" hidden="1" customHeight="1">
      <c r="A91" s="4"/>
      <c r="B91" s="2"/>
      <c r="C91" s="2"/>
      <c r="D91" s="2"/>
      <c r="E91" s="2"/>
      <c r="F91" s="2"/>
      <c r="G91" s="30"/>
      <c r="H91" s="30"/>
      <c r="I91" s="30"/>
      <c r="J91" s="30"/>
      <c r="K91" s="30"/>
      <c r="L91" s="30"/>
      <c r="M91" s="30"/>
      <c r="N91" s="30"/>
      <c r="O91" s="30"/>
      <c r="P91" s="30"/>
    </row>
    <row r="92" spans="1:141" ht="5.25" hidden="1" customHeight="1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41" s="19" customFormat="1" ht="19.5" hidden="1" customHeight="1">
      <c r="A93" s="4">
        <f>IF(M1=2,A88,IF(M1=1,0," "))</f>
        <v>0</v>
      </c>
      <c r="B93" s="305" t="str">
        <f>IF(M1=2,O93,IF(M1=1,N93," "))</f>
        <v>* Все платежи в погашение кредитов осуществляются не позднее 20-го числа текущего месяца.</v>
      </c>
      <c r="C93" s="305"/>
      <c r="D93" s="305"/>
      <c r="E93" s="305"/>
      <c r="F93" s="305"/>
      <c r="G93" s="305"/>
      <c r="H93" s="305"/>
      <c r="I93" s="305"/>
      <c r="J93" s="305"/>
      <c r="K93" s="305"/>
      <c r="L93" s="106"/>
      <c r="M93" s="2"/>
      <c r="N93" s="29" t="str">
        <f>IF(C25=30,"* Погашение платежей по кредиту осуществлять через отделения РУП &lt;Белпочта&gt; не позднее 29 числа каждого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O93" s="29" t="str">
        <f>IF(C25=30,"*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</row>
    <row r="94" spans="1:141" s="19" customFormat="1" ht="24" hidden="1" customHeight="1">
      <c r="A94" s="31"/>
      <c r="B94" s="407" t="s">
        <v>152</v>
      </c>
      <c r="C94" s="407"/>
      <c r="D94" s="407"/>
      <c r="E94" s="407"/>
      <c r="F94" s="407"/>
      <c r="G94" s="407"/>
      <c r="H94" s="407"/>
      <c r="I94" s="407"/>
      <c r="J94" s="407"/>
      <c r="K94" s="407"/>
      <c r="L94" s="107"/>
      <c r="M94" s="2"/>
      <c r="N94" s="29" t="s">
        <v>118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</row>
    <row r="95" spans="1:141" s="19" customFormat="1" ht="5.25" hidden="1" customHeight="1">
      <c r="A95" s="3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2"/>
      <c r="N95" s="300"/>
      <c r="O95" s="300"/>
      <c r="P95" s="300" t="s">
        <v>38</v>
      </c>
      <c r="Q95" s="300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</row>
    <row r="96" spans="1:141" s="19" customFormat="1" hidden="1">
      <c r="A96" s="31"/>
      <c r="B96" s="4" t="s">
        <v>87</v>
      </c>
      <c r="C96" s="4"/>
      <c r="D96" s="4"/>
      <c r="E96" s="4"/>
      <c r="F96" s="4"/>
      <c r="G96" s="4"/>
      <c r="H96" s="4"/>
      <c r="I96" s="4"/>
      <c r="J96" s="4"/>
      <c r="K96" s="4"/>
      <c r="L96" s="104"/>
      <c r="M96" s="2"/>
      <c r="N96" s="2"/>
      <c r="O96" s="2"/>
      <c r="P96" s="2" t="s">
        <v>39</v>
      </c>
      <c r="Q96" s="2" t="s">
        <v>40</v>
      </c>
      <c r="R96" s="2" t="s">
        <v>41</v>
      </c>
      <c r="S96" s="2"/>
      <c r="T96" s="2"/>
      <c r="U96" s="2" t="s">
        <v>42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</row>
    <row r="97" spans="1:67" s="50" customFormat="1" ht="25.5" hidden="1" customHeight="1">
      <c r="A97" s="32">
        <f>IF(LEFT(B97,1)="I",1,0)</f>
        <v>1</v>
      </c>
      <c r="B97" s="299" t="str">
        <f>IF(H$8=1,R97,IF(N$8=1,U97,IF(M$8=1,IF(F$10="бел. рублей",IF(D$18="Неустойка",O97,Q97),IF(D$18="Неустойка",N97,P97)))))</f>
        <v>I. Иные платежи, согласно Перечню ставок вознаграждения за операции ЗАО «Трастбанк»:</v>
      </c>
      <c r="C97" s="299"/>
      <c r="D97" s="299"/>
      <c r="E97" s="299"/>
      <c r="F97" s="299"/>
      <c r="G97" s="299"/>
      <c r="H97" s="299"/>
      <c r="I97" s="67"/>
      <c r="J97" s="67"/>
      <c r="K97" s="67"/>
      <c r="L97" s="67"/>
      <c r="M97" s="137"/>
      <c r="N97" s="138"/>
      <c r="O97" s="138"/>
      <c r="P97" s="138" t="s">
        <v>43</v>
      </c>
      <c r="Q97" s="138" t="s">
        <v>43</v>
      </c>
      <c r="R97" s="138" t="s">
        <v>43</v>
      </c>
      <c r="S97" s="138"/>
      <c r="T97" s="138"/>
      <c r="U97" s="138" t="s">
        <v>43</v>
      </c>
      <c r="V97" s="138" t="s">
        <v>43</v>
      </c>
      <c r="W97" s="138"/>
      <c r="X97" s="138"/>
      <c r="Y97" s="138"/>
      <c r="Z97" s="138"/>
      <c r="AA97" s="138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</row>
    <row r="98" spans="1:67" s="50" customFormat="1" ht="25.5" hidden="1" customHeight="1">
      <c r="A98" s="105">
        <f t="shared" ref="A98:A120" si="60">IF(LEFT(B98,1)="I",1,0)</f>
        <v>0</v>
      </c>
      <c r="B98" s="299" t="str">
        <f>IF(H$8=1,R98,IF(N$8=1,U98,IF(M$8=1,IF(F$10="бел. рублей",IF(D$18="Неустойка",O98,Q98),IF(D$18="Неустойка",N98,P98)))))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137"/>
      <c r="N98" s="139"/>
      <c r="O98" s="139"/>
      <c r="P98" s="139" t="s">
        <v>44</v>
      </c>
      <c r="Q98" s="139" t="s">
        <v>120</v>
      </c>
      <c r="R98" s="139" t="s">
        <v>119</v>
      </c>
      <c r="S98" s="139"/>
      <c r="T98" s="139"/>
      <c r="U98" s="139" t="s">
        <v>45</v>
      </c>
      <c r="V98" s="139" t="s">
        <v>45</v>
      </c>
      <c r="W98" s="139"/>
      <c r="X98" s="139"/>
      <c r="Y98" s="139"/>
      <c r="Z98" s="139"/>
      <c r="AA98" s="139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</row>
    <row r="99" spans="1:67" s="34" customFormat="1" ht="25.5" hidden="1" customHeight="1">
      <c r="A99" s="105">
        <f t="shared" si="60"/>
        <v>0</v>
      </c>
      <c r="B99" s="299" t="str">
        <f>IF(H$8=1,R99,IF(N$8=1,U99,IF(M$8=1,IF(F$10="бел. рублей",IF(D$18="Неустойка",O99,Q99),IF(D$18="Неустойка",N99,P99)))))</f>
        <v>2) Выдача наличных средств при овердрафтном кредите по карт-счету: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137"/>
      <c r="N99" s="139"/>
      <c r="O99" s="139"/>
      <c r="P99" s="139" t="s">
        <v>46</v>
      </c>
      <c r="Q99" s="139" t="s">
        <v>46</v>
      </c>
      <c r="R99" s="139" t="s">
        <v>47</v>
      </c>
      <c r="S99" s="139"/>
      <c r="T99" s="139"/>
      <c r="U99" s="138" t="s">
        <v>48</v>
      </c>
      <c r="V99" s="138" t="s">
        <v>48</v>
      </c>
      <c r="W99" s="138"/>
      <c r="X99" s="138"/>
      <c r="Y99" s="138"/>
      <c r="Z99" s="138"/>
      <c r="AA99" s="138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</row>
    <row r="100" spans="1:67" s="34" customFormat="1" ht="25.5" hidden="1" customHeight="1">
      <c r="A100" s="32">
        <f t="shared" si="60"/>
        <v>0</v>
      </c>
      <c r="B100" s="299" t="str">
        <f>IF(H$8=1,R100,IF(N$8=1,IF(D$18="Неустойка",V100,U100),IF(M$8=1,IF(F$10="бел. рублей",IF(D$18="Неустойка",O100,Q100),IF(D$18="Неустойка",N100,P100)))))</f>
        <v>- в кассах и банкоматах Банка (в том числе Пунктов выдачи наличных): 2,5%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137"/>
      <c r="N100" s="139"/>
      <c r="O100" s="139"/>
      <c r="P100" s="139" t="s">
        <v>83</v>
      </c>
      <c r="Q100" s="139" t="s">
        <v>83</v>
      </c>
      <c r="R100" s="140" t="s">
        <v>49</v>
      </c>
      <c r="S100" s="140"/>
      <c r="T100" s="140"/>
      <c r="U100" s="139" t="s">
        <v>99</v>
      </c>
      <c r="V100" s="139" t="s">
        <v>99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</row>
    <row r="101" spans="1:67" s="50" customFormat="1" ht="25.5" hidden="1" customHeight="1">
      <c r="A101" s="32">
        <f t="shared" si="60"/>
        <v>0</v>
      </c>
      <c r="B101" s="299" t="str">
        <f>IF(H$8=1,R101,IF(N$8=1,IF(D$18="Неустойка",V101,U101),IF(M$8=1,IF(F$10="бел. рублей",IF(D$18="Неустойка",O101,Q101),IF(D$18="Неустойка",N101,P101)))))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137"/>
      <c r="N101" s="139"/>
      <c r="O101" s="139"/>
      <c r="P101" s="139" t="s">
        <v>52</v>
      </c>
      <c r="Q101" s="139" t="s">
        <v>52</v>
      </c>
      <c r="R101" s="139" t="s">
        <v>112</v>
      </c>
      <c r="S101" s="139"/>
      <c r="T101" s="139"/>
      <c r="U101" s="139" t="s">
        <v>54</v>
      </c>
      <c r="V101" s="139" t="s">
        <v>55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</row>
    <row r="102" spans="1:67" s="50" customFormat="1" ht="25.5" hidden="1" customHeight="1">
      <c r="A102" s="105"/>
      <c r="B102" s="299" t="str">
        <f>IF(H$8=1,R102,IF(N$8=1,IF(D$18="Неустойка",V102,U102),IF(M$8=1,IF(F$10="бел. рублей",IF(D$18="Неустойка",O102,Q102),IF(D$18="Неустойка",N102,P102)))))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137"/>
      <c r="N102" s="139"/>
      <c r="O102" s="139"/>
      <c r="P102" s="139" t="s">
        <v>57</v>
      </c>
      <c r="Q102" s="139" t="s">
        <v>57</v>
      </c>
      <c r="R102" s="139" t="s">
        <v>57</v>
      </c>
      <c r="S102" s="139"/>
      <c r="T102" s="139"/>
      <c r="U102" s="139"/>
      <c r="V102" s="139"/>
      <c r="W102" s="139"/>
      <c r="X102" s="139"/>
      <c r="Y102" s="139"/>
      <c r="Z102" s="139"/>
      <c r="AA102" s="139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</row>
    <row r="103" spans="1:67" s="34" customFormat="1" ht="25.5" hidden="1" customHeight="1">
      <c r="A103" s="105">
        <f t="shared" si="60"/>
        <v>0</v>
      </c>
      <c r="B103" s="299" t="str">
        <f>IF(H$8=1,R103,IF(N$8=1,IF(D$18="Неустойка",V103,U103),IF(M$8=1,IF(F$10="бел. рублей",IF(D$18="Неустойка",O103,Q103),IF(D$18="Неустойка",N103,P103)))))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137"/>
      <c r="N103" s="139"/>
      <c r="O103" s="139"/>
      <c r="P103" s="139" t="s">
        <v>60</v>
      </c>
      <c r="Q103" s="139" t="s">
        <v>121</v>
      </c>
      <c r="R103" s="139" t="s">
        <v>58</v>
      </c>
      <c r="S103" s="139"/>
      <c r="T103" s="139"/>
      <c r="U103" s="138" t="s">
        <v>61</v>
      </c>
      <c r="V103" s="138" t="s">
        <v>62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</row>
    <row r="104" spans="1:67" s="34" customFormat="1" ht="25.5" hidden="1" customHeight="1">
      <c r="A104" s="32">
        <f t="shared" si="60"/>
        <v>0</v>
      </c>
      <c r="B104" s="299" t="str">
        <f>IF(H$8=1,R104,IF(N$8=1,IF(D$18="Неустойка",V104,U104),IF(M$8=1,IF(F$10="бел. рублей",IF(D$18="Неустойка",O104,Q104),IF(D$18="Неустойка",N104,P104)))))</f>
        <v>3) Пополнение карт-счета бесплатно, кроме случаев:</v>
      </c>
      <c r="C104" s="299"/>
      <c r="D104" s="299"/>
      <c r="E104" s="299"/>
      <c r="F104" s="299"/>
      <c r="G104" s="299"/>
      <c r="H104" s="299"/>
      <c r="I104" s="67"/>
      <c r="J104" s="67"/>
      <c r="K104" s="67"/>
      <c r="L104" s="67"/>
      <c r="M104" s="137"/>
      <c r="N104" s="139"/>
      <c r="O104" s="139"/>
      <c r="P104" s="139" t="s">
        <v>63</v>
      </c>
      <c r="Q104" s="139" t="s">
        <v>63</v>
      </c>
      <c r="R104" s="139" t="s">
        <v>109</v>
      </c>
      <c r="S104" s="139"/>
      <c r="T104" s="139"/>
      <c r="U104" s="139" t="s">
        <v>36</v>
      </c>
      <c r="V104" s="138" t="s">
        <v>61</v>
      </c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</row>
    <row r="105" spans="1:67" s="34" customFormat="1" ht="25.5" hidden="1" customHeight="1">
      <c r="A105" s="32"/>
      <c r="B105" s="299" t="str">
        <f t="shared" ref="B105:B120" si="61">IF(H$8=1,R105,IF(N$8=1,U105,IF(M$8=1,IF(F$10="бел. рублей",IF(D$18="Неустойка",O105,Q105),IF(D$18="Неустойка",N105,P105)))))</f>
        <v>- банковских переводов со счетов, открытых в ЗАО «Тастбанк: 0,7%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137"/>
      <c r="N105" s="139"/>
      <c r="O105" s="139"/>
      <c r="P105" s="141" t="s">
        <v>123</v>
      </c>
      <c r="Q105" s="141" t="s">
        <v>123</v>
      </c>
      <c r="R105" s="141" t="s">
        <v>123</v>
      </c>
      <c r="S105" s="141"/>
      <c r="T105" s="141"/>
      <c r="U105" s="139"/>
      <c r="V105" s="138"/>
      <c r="W105" s="138"/>
      <c r="X105" s="138"/>
      <c r="Y105" s="138"/>
      <c r="Z105" s="138"/>
      <c r="AA105" s="138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</row>
    <row r="106" spans="1:67" s="50" customFormat="1" ht="25.5" hidden="1" customHeight="1">
      <c r="A106" s="32">
        <f t="shared" si="60"/>
        <v>0</v>
      </c>
      <c r="B106" s="299" t="str">
        <f t="shared" si="61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137"/>
      <c r="N106" s="139"/>
      <c r="O106" s="139"/>
      <c r="P106" s="139" t="s">
        <v>124</v>
      </c>
      <c r="Q106" s="139" t="s">
        <v>124</v>
      </c>
      <c r="R106" s="139" t="s">
        <v>110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</row>
    <row r="107" spans="1:67" s="50" customFormat="1" ht="25.5" hidden="1" customHeight="1">
      <c r="A107" s="105">
        <f t="shared" si="60"/>
        <v>0</v>
      </c>
      <c r="B107" s="299" t="str">
        <f t="shared" si="61"/>
        <v>- перевода на карт-счет в рамках системы "Расчет": 2% от зачисляемой суммы.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137"/>
      <c r="N107" s="139"/>
      <c r="O107" s="139"/>
      <c r="P107" s="139" t="s">
        <v>122</v>
      </c>
      <c r="Q107" s="139" t="s">
        <v>122</v>
      </c>
      <c r="R107" s="139" t="s">
        <v>111</v>
      </c>
      <c r="S107" s="139"/>
      <c r="T107" s="139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</row>
    <row r="108" spans="1:67" s="34" customFormat="1" ht="25.5" hidden="1" customHeight="1">
      <c r="A108" s="105">
        <f t="shared" si="60"/>
        <v>0</v>
      </c>
      <c r="B108" s="299" t="str">
        <f t="shared" si="61"/>
        <v>4) Просмотр доступного остатка денежных средств по карт-счету: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137"/>
      <c r="N108" s="139"/>
      <c r="O108" s="139"/>
      <c r="P108" s="139" t="s">
        <v>91</v>
      </c>
      <c r="Q108" s="139" t="s">
        <v>91</v>
      </c>
      <c r="R108" s="138" t="s">
        <v>48</v>
      </c>
      <c r="S108" s="138"/>
      <c r="T108" s="138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</row>
    <row r="109" spans="1:67" s="50" customFormat="1" ht="25.5" hidden="1" customHeight="1">
      <c r="A109" s="32">
        <f t="shared" si="60"/>
        <v>0</v>
      </c>
      <c r="B109" s="299" t="str">
        <f t="shared" si="61"/>
        <v>- в устройствах Банка: бесплатно;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137"/>
      <c r="N109" s="139"/>
      <c r="O109" s="139"/>
      <c r="P109" s="139" t="s">
        <v>58</v>
      </c>
      <c r="Q109" s="139" t="s">
        <v>58</v>
      </c>
      <c r="R109" s="139" t="s">
        <v>99</v>
      </c>
      <c r="S109" s="139"/>
      <c r="T109" s="139"/>
      <c r="U109" s="139" t="s">
        <v>36</v>
      </c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</row>
    <row r="110" spans="1:67" s="34" customFormat="1" ht="25.5" hidden="1" customHeight="1">
      <c r="A110" s="105">
        <f t="shared" si="60"/>
        <v>0</v>
      </c>
      <c r="B110" s="299" t="str">
        <f t="shared" si="61"/>
        <v>- в устройствах Банков, подключенных к ОАО «БПЦ», на территории Республики Беларусь: 600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137"/>
      <c r="N110" s="139"/>
      <c r="O110" s="139"/>
      <c r="P110" s="139" t="s">
        <v>65</v>
      </c>
      <c r="Q110" s="139" t="s">
        <v>125</v>
      </c>
      <c r="R110" s="139" t="s">
        <v>66</v>
      </c>
      <c r="S110" s="139"/>
      <c r="T110" s="139"/>
      <c r="U110" s="137" t="s">
        <v>36</v>
      </c>
      <c r="V110" s="138" t="s">
        <v>48</v>
      </c>
      <c r="W110" s="138"/>
      <c r="X110" s="138"/>
      <c r="Y110" s="138"/>
      <c r="Z110" s="138"/>
      <c r="AA110" s="138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</row>
    <row r="111" spans="1:67" s="34" customFormat="1" ht="25.5" hidden="1" customHeight="1">
      <c r="A111" s="32">
        <f t="shared" si="60"/>
        <v>0</v>
      </c>
      <c r="B111" s="299" t="str">
        <f t="shared" si="61"/>
        <v>- в устройствах Банков, не подключенных к ОАО «БПЦ»: 1 500 белорусских рублей;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137"/>
      <c r="N111" s="139"/>
      <c r="O111" s="139"/>
      <c r="P111" s="139" t="s">
        <v>67</v>
      </c>
      <c r="Q111" s="139" t="s">
        <v>126</v>
      </c>
      <c r="R111" s="139" t="s">
        <v>106</v>
      </c>
      <c r="S111" s="139"/>
      <c r="T111" s="139"/>
      <c r="U111" s="137" t="s">
        <v>36</v>
      </c>
      <c r="V111" s="139" t="s">
        <v>99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</row>
    <row r="112" spans="1:67" s="50" customFormat="1" ht="25.5" hidden="1" customHeight="1">
      <c r="A112" s="32">
        <f t="shared" si="60"/>
        <v>0</v>
      </c>
      <c r="B112" s="299" t="str">
        <f t="shared" si="61"/>
        <v>- в устройствах Банков за пределами Республики Беларусь: 5 000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137"/>
      <c r="N112" s="139"/>
      <c r="O112" s="139"/>
      <c r="P112" s="139" t="s">
        <v>68</v>
      </c>
      <c r="Q112" s="139" t="s">
        <v>127</v>
      </c>
      <c r="R112" s="138" t="s">
        <v>61</v>
      </c>
      <c r="S112" s="138"/>
      <c r="T112" s="138"/>
      <c r="U112" s="137" t="s">
        <v>36</v>
      </c>
      <c r="V112" s="139" t="s">
        <v>54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</row>
    <row r="113" spans="1:67" s="34" customFormat="1" ht="25.5" hidden="1" customHeight="1">
      <c r="A113" s="105">
        <f t="shared" si="60"/>
        <v>0</v>
      </c>
      <c r="B113" s="299" t="str">
        <f t="shared" si="61"/>
        <v>5) Блокировка и внесение карточки в локальный стоп-лист: 10 000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137"/>
      <c r="N113" s="139"/>
      <c r="O113" s="139"/>
      <c r="P113" s="139" t="s">
        <v>113</v>
      </c>
      <c r="Q113" s="139" t="s">
        <v>116</v>
      </c>
      <c r="R113" s="137" t="s">
        <v>36</v>
      </c>
      <c r="S113" s="137"/>
      <c r="T113" s="137"/>
      <c r="U113" s="137" t="s">
        <v>36</v>
      </c>
      <c r="V113" s="139" t="s">
        <v>73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</row>
    <row r="114" spans="1:67" s="50" customFormat="1" ht="25.5" hidden="1" customHeight="1">
      <c r="A114" s="32">
        <f t="shared" si="60"/>
        <v>0</v>
      </c>
      <c r="B114" s="299" t="str">
        <f t="shared" si="61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137"/>
      <c r="N114" s="139"/>
      <c r="O114" s="139"/>
      <c r="P114" s="139" t="s">
        <v>114</v>
      </c>
      <c r="Q114" s="139" t="s">
        <v>128</v>
      </c>
      <c r="R114" s="139" t="s">
        <v>36</v>
      </c>
      <c r="S114" s="139"/>
      <c r="T114" s="139"/>
      <c r="U114" s="139" t="s">
        <v>36</v>
      </c>
      <c r="V114" s="139" t="s">
        <v>105</v>
      </c>
      <c r="W114" s="139"/>
      <c r="X114" s="139"/>
      <c r="Y114" s="139"/>
      <c r="Z114" s="139"/>
      <c r="AA114" s="139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</row>
    <row r="115" spans="1:67" s="34" customFormat="1" ht="25.5" hidden="1" customHeight="1">
      <c r="A115" s="105">
        <f t="shared" si="60"/>
        <v>0</v>
      </c>
      <c r="B115" s="299" t="str">
        <f t="shared" si="61"/>
        <v>7) Предоставление дополнительной выписки по счету: 3 100 белорусских рублей.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137"/>
      <c r="N115" s="138"/>
      <c r="O115" s="138"/>
      <c r="P115" s="139" t="s">
        <v>115</v>
      </c>
      <c r="Q115" s="139" t="s">
        <v>94</v>
      </c>
      <c r="R115" s="138" t="s">
        <v>36</v>
      </c>
      <c r="S115" s="138"/>
      <c r="T115" s="138"/>
      <c r="U115" s="138" t="s">
        <v>36</v>
      </c>
      <c r="V115" s="137" t="s">
        <v>36</v>
      </c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</row>
    <row r="116" spans="1:67" s="34" customFormat="1" ht="25.5" hidden="1" customHeight="1">
      <c r="A116" s="32">
        <f t="shared" si="60"/>
        <v>1</v>
      </c>
      <c r="B116" s="299" t="str">
        <f t="shared" si="61"/>
        <v>II. Ответственность Кредитополучателя за несоблюдение условий кредитного договора: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137"/>
      <c r="N116" s="139"/>
      <c r="O116" s="139"/>
      <c r="P116" s="138" t="s">
        <v>48</v>
      </c>
      <c r="Q116" s="138" t="s">
        <v>48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</row>
    <row r="117" spans="1:67" s="34" customFormat="1" ht="25.5" hidden="1" customHeight="1">
      <c r="A117" s="32">
        <f t="shared" si="60"/>
        <v>0</v>
      </c>
      <c r="B117" s="299" t="str">
        <f t="shared" si="61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137"/>
      <c r="N117" s="139"/>
      <c r="O117" s="139"/>
      <c r="P117" s="139" t="s">
        <v>99</v>
      </c>
      <c r="Q117" s="139" t="s">
        <v>99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</row>
    <row r="118" spans="1:67" s="34" customFormat="1" ht="25.5" hidden="1" customHeight="1">
      <c r="A118" s="32">
        <f t="shared" si="60"/>
        <v>0</v>
      </c>
      <c r="B118" s="299" t="str">
        <f t="shared" si="61"/>
        <v>2)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137"/>
      <c r="N118" s="139"/>
      <c r="O118" s="139"/>
      <c r="P118" s="139" t="s">
        <v>78</v>
      </c>
      <c r="Q118" s="139" t="s">
        <v>78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</row>
    <row r="119" spans="1:67" s="34" customFormat="1" ht="25.5" hidden="1" customHeight="1">
      <c r="A119" s="32">
        <f t="shared" si="60"/>
        <v>0</v>
      </c>
      <c r="B119" s="299" t="str">
        <f t="shared" si="61"/>
        <v>3)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137"/>
      <c r="N119" s="139"/>
      <c r="O119" s="139"/>
      <c r="P119" s="139" t="s">
        <v>106</v>
      </c>
      <c r="Q119" s="139" t="s">
        <v>106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</row>
    <row r="120" spans="1:67" s="50" customFormat="1" ht="25.5" hidden="1" customHeight="1">
      <c r="A120" s="32">
        <f t="shared" si="60"/>
        <v>1</v>
      </c>
      <c r="B120" s="299" t="str">
        <f t="shared" si="61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67"/>
      <c r="M120" s="137"/>
      <c r="N120" s="138"/>
      <c r="O120" s="138"/>
      <c r="P120" s="138" t="s">
        <v>61</v>
      </c>
      <c r="Q120" s="138" t="s">
        <v>61</v>
      </c>
      <c r="R120" s="138" t="s">
        <v>36</v>
      </c>
      <c r="S120" s="138"/>
      <c r="T120" s="138"/>
      <c r="U120" s="138" t="s">
        <v>36</v>
      </c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</row>
    <row r="121" spans="1:67" s="50" customFormat="1" ht="36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8"/>
      <c r="O121" s="138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</row>
    <row r="122" spans="1:67" s="50" customFormat="1" ht="35.25" customHeight="1">
      <c r="A122" s="32"/>
      <c r="B122" s="385" t="s">
        <v>202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8"/>
      <c r="O122" s="138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</row>
    <row r="123" spans="1:67" s="50" customFormat="1" ht="37.5" customHeight="1">
      <c r="A123" s="32"/>
      <c r="B123" s="385" t="s">
        <v>213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8"/>
      <c r="O123" s="138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</row>
    <row r="124" spans="1:67" s="50" customFormat="1" ht="69" customHeight="1">
      <c r="A124" s="32"/>
      <c r="B124" s="385" t="s">
        <v>210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137"/>
      <c r="N124" s="138"/>
      <c r="O124" s="138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</row>
    <row r="125" spans="1:67" s="50" customFormat="1" ht="22.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137"/>
      <c r="N125" s="138"/>
      <c r="O125" s="138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</row>
    <row r="126" spans="1:67" s="50" customFormat="1" ht="35.25" customHeight="1">
      <c r="A126" s="32"/>
      <c r="B126" s="434" t="s">
        <v>156</v>
      </c>
      <c r="C126" s="434"/>
      <c r="D126" s="434"/>
      <c r="E126" s="434"/>
      <c r="F126" s="434"/>
      <c r="G126" s="434"/>
      <c r="H126" s="434"/>
      <c r="I126" s="434"/>
      <c r="J126" s="434"/>
      <c r="K126" s="434"/>
      <c r="L126" s="434"/>
      <c r="M126" s="137"/>
      <c r="N126" s="138"/>
      <c r="O126" s="138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</row>
    <row r="127" spans="1:67" s="50" customFormat="1" ht="49.5" customHeight="1">
      <c r="A127" s="32"/>
      <c r="B127" s="434" t="s">
        <v>158</v>
      </c>
      <c r="C127" s="434"/>
      <c r="D127" s="434"/>
      <c r="E127" s="434"/>
      <c r="F127" s="434"/>
      <c r="G127" s="434"/>
      <c r="H127" s="434"/>
      <c r="I127" s="434"/>
      <c r="J127" s="434"/>
      <c r="K127" s="434"/>
      <c r="L127" s="434"/>
      <c r="M127" s="137"/>
      <c r="N127" s="138"/>
      <c r="O127" s="138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</row>
    <row r="128" spans="1:67" s="50" customFormat="1" ht="31.5" customHeight="1">
      <c r="A128" s="32"/>
      <c r="B128" s="434" t="s">
        <v>159</v>
      </c>
      <c r="C128" s="434"/>
      <c r="D128" s="434"/>
      <c r="E128" s="434"/>
      <c r="F128" s="434"/>
      <c r="G128" s="434"/>
      <c r="H128" s="434"/>
      <c r="I128" s="434"/>
      <c r="J128" s="434"/>
      <c r="K128" s="434"/>
      <c r="L128" s="434"/>
      <c r="M128" s="137"/>
      <c r="N128" s="138"/>
      <c r="O128" s="138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</row>
    <row r="129" spans="1:67" s="50" customFormat="1" ht="27" customHeight="1">
      <c r="A129" s="32"/>
      <c r="B129" s="394" t="s">
        <v>188</v>
      </c>
      <c r="C129" s="394"/>
      <c r="D129" s="394"/>
      <c r="E129" s="394"/>
      <c r="F129" s="394"/>
      <c r="G129" s="394"/>
      <c r="H129" s="394"/>
      <c r="I129" s="394"/>
      <c r="J129" s="394"/>
      <c r="K129" s="394"/>
      <c r="L129" s="394"/>
      <c r="M129" s="137"/>
      <c r="N129" s="138"/>
      <c r="O129" s="138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</row>
    <row r="130" spans="1:67" s="50" customFormat="1" ht="31.5" customHeight="1">
      <c r="A130" s="32"/>
      <c r="B130" s="385" t="s">
        <v>192</v>
      </c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137"/>
      <c r="N130" s="138"/>
      <c r="O130" s="138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</row>
    <row r="131" spans="1:67" s="50" customFormat="1" ht="37.5" customHeight="1">
      <c r="A131" s="32"/>
      <c r="B131" s="394" t="s">
        <v>160</v>
      </c>
      <c r="C131" s="394"/>
      <c r="D131" s="394"/>
      <c r="E131" s="394"/>
      <c r="F131" s="394"/>
      <c r="G131" s="394"/>
      <c r="H131" s="394"/>
      <c r="I131" s="394"/>
      <c r="J131" s="394"/>
      <c r="K131" s="394"/>
      <c r="L131" s="394"/>
      <c r="M131" s="137"/>
      <c r="N131" s="138"/>
      <c r="O131" s="138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</row>
    <row r="132" spans="1:67" s="50" customFormat="1" ht="30" customHeight="1">
      <c r="A132" s="32"/>
      <c r="B132" s="393" t="s">
        <v>191</v>
      </c>
      <c r="C132" s="393"/>
      <c r="D132" s="393"/>
      <c r="E132" s="393"/>
      <c r="F132" s="393"/>
      <c r="G132" s="393"/>
      <c r="H132" s="393"/>
      <c r="I132" s="393"/>
      <c r="J132" s="393"/>
      <c r="K132" s="393"/>
      <c r="L132" s="393"/>
      <c r="M132" s="137"/>
      <c r="N132" s="138"/>
      <c r="O132" s="138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</row>
    <row r="133" spans="1:67" s="50" customFormat="1" ht="19.5" customHeight="1">
      <c r="A133" s="32"/>
      <c r="B133" s="393" t="s">
        <v>161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8"/>
      <c r="O133" s="138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</row>
    <row r="134" spans="1:67" s="50" customFormat="1" ht="11.25" customHeight="1">
      <c r="A134" s="32"/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137"/>
      <c r="N134" s="138"/>
      <c r="O134" s="138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</row>
    <row r="135" spans="1:67" s="50" customFormat="1" ht="28.5" customHeight="1">
      <c r="A135" s="32"/>
      <c r="B135" s="387" t="s">
        <v>162</v>
      </c>
      <c r="C135" s="388"/>
      <c r="D135" s="388"/>
      <c r="E135" s="388"/>
      <c r="F135" s="388"/>
      <c r="G135" s="388"/>
      <c r="H135" s="389"/>
      <c r="I135" s="390" t="s">
        <v>175</v>
      </c>
      <c r="J135" s="391"/>
      <c r="K135" s="391"/>
      <c r="L135" s="392"/>
      <c r="M135" s="137"/>
      <c r="N135" s="138"/>
      <c r="O135" s="138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</row>
    <row r="136" spans="1:67" s="50" customFormat="1" ht="31.5" customHeight="1">
      <c r="A136" s="32"/>
      <c r="B136" s="387" t="s">
        <v>164</v>
      </c>
      <c r="C136" s="388"/>
      <c r="D136" s="388"/>
      <c r="E136" s="388"/>
      <c r="F136" s="388"/>
      <c r="G136" s="388"/>
      <c r="H136" s="389"/>
      <c r="I136" s="390" t="s">
        <v>216</v>
      </c>
      <c r="J136" s="391"/>
      <c r="K136" s="391"/>
      <c r="L136" s="392"/>
      <c r="M136" s="137"/>
      <c r="N136" s="138"/>
      <c r="O136" s="138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</row>
    <row r="137" spans="1:67" s="50" customFormat="1" ht="48.75" customHeight="1">
      <c r="A137" s="32"/>
      <c r="B137" s="387" t="s">
        <v>166</v>
      </c>
      <c r="C137" s="388"/>
      <c r="D137" s="388"/>
      <c r="E137" s="388"/>
      <c r="F137" s="388"/>
      <c r="G137" s="388"/>
      <c r="H137" s="389"/>
      <c r="I137" s="390" t="s">
        <v>217</v>
      </c>
      <c r="J137" s="391"/>
      <c r="K137" s="391"/>
      <c r="L137" s="392"/>
      <c r="M137" s="137"/>
      <c r="N137" s="138"/>
      <c r="O137" s="138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</row>
    <row r="138" spans="1:67" s="50" customFormat="1" ht="45" customHeight="1">
      <c r="A138" s="32"/>
      <c r="B138" s="387" t="s">
        <v>167</v>
      </c>
      <c r="C138" s="388"/>
      <c r="D138" s="388"/>
      <c r="E138" s="388"/>
      <c r="F138" s="388"/>
      <c r="G138" s="388"/>
      <c r="H138" s="389"/>
      <c r="I138" s="390" t="s">
        <v>217</v>
      </c>
      <c r="J138" s="391"/>
      <c r="K138" s="391"/>
      <c r="L138" s="392"/>
      <c r="M138" s="137"/>
      <c r="N138" s="138"/>
      <c r="O138" s="138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</row>
    <row r="139" spans="1:67" s="50" customFormat="1" ht="12" customHeight="1">
      <c r="A139" s="32"/>
      <c r="B139" s="386"/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137"/>
      <c r="N139" s="138"/>
      <c r="O139" s="138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</row>
    <row r="140" spans="1:67" s="50" customFormat="1" ht="17.25" customHeight="1">
      <c r="A140" s="32"/>
      <c r="B140" s="393" t="s">
        <v>169</v>
      </c>
      <c r="C140" s="393"/>
      <c r="D140" s="393"/>
      <c r="E140" s="393"/>
      <c r="F140" s="393"/>
      <c r="G140" s="393"/>
      <c r="H140" s="393"/>
      <c r="I140" s="393"/>
      <c r="J140" s="393"/>
      <c r="K140" s="393"/>
      <c r="L140" s="393"/>
      <c r="M140" s="137"/>
      <c r="N140" s="138"/>
      <c r="O140" s="138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</row>
    <row r="141" spans="1:67" s="50" customFormat="1" ht="14.25" customHeight="1">
      <c r="A141" s="32"/>
      <c r="B141" s="384"/>
      <c r="C141" s="384"/>
      <c r="D141" s="384"/>
      <c r="E141" s="384"/>
      <c r="F141" s="384"/>
      <c r="G141" s="384"/>
      <c r="H141" s="384"/>
      <c r="I141" s="384"/>
      <c r="J141" s="384"/>
      <c r="K141" s="384"/>
      <c r="L141" s="384"/>
      <c r="M141" s="137"/>
      <c r="N141" s="138"/>
      <c r="O141" s="138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</row>
    <row r="142" spans="1:67" s="50" customFormat="1" ht="33.75" customHeight="1">
      <c r="A142" s="32"/>
      <c r="B142" s="390" t="s">
        <v>170</v>
      </c>
      <c r="C142" s="391"/>
      <c r="D142" s="391"/>
      <c r="E142" s="391"/>
      <c r="F142" s="391"/>
      <c r="G142" s="391"/>
      <c r="H142" s="392"/>
      <c r="I142" s="390" t="s">
        <v>174</v>
      </c>
      <c r="J142" s="391"/>
      <c r="K142" s="391"/>
      <c r="L142" s="392"/>
      <c r="M142" s="137"/>
      <c r="N142" s="138"/>
      <c r="O142" s="138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</row>
    <row r="143" spans="1:67" s="50" customFormat="1" ht="35.25" customHeight="1">
      <c r="A143" s="32"/>
      <c r="B143" s="390" t="s">
        <v>173</v>
      </c>
      <c r="C143" s="391"/>
      <c r="D143" s="391"/>
      <c r="E143" s="391"/>
      <c r="F143" s="391"/>
      <c r="G143" s="391"/>
      <c r="H143" s="392"/>
      <c r="I143" s="390" t="s">
        <v>208</v>
      </c>
      <c r="J143" s="391"/>
      <c r="K143" s="391"/>
      <c r="L143" s="392"/>
      <c r="M143" s="137"/>
      <c r="N143" s="138"/>
      <c r="O143" s="138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</row>
    <row r="144" spans="1:67" s="50" customFormat="1" ht="35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205</v>
      </c>
      <c r="J144" s="391"/>
      <c r="K144" s="391"/>
      <c r="L144" s="392"/>
      <c r="M144" s="137"/>
      <c r="N144" s="138"/>
      <c r="O144" s="138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</row>
    <row r="145" spans="1:141" s="36" customFormat="1" ht="54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206</v>
      </c>
      <c r="J145" s="391"/>
      <c r="K145" s="391"/>
      <c r="L145" s="392"/>
      <c r="M145" s="137"/>
      <c r="N145" s="137"/>
      <c r="O145" s="137"/>
      <c r="P145" s="137"/>
      <c r="Q145" s="137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</row>
    <row r="146" spans="1:141" s="36" customFormat="1" ht="56.2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207</v>
      </c>
      <c r="J146" s="391"/>
      <c r="K146" s="391"/>
      <c r="L146" s="392"/>
      <c r="M146" s="137"/>
      <c r="N146" s="137"/>
      <c r="O146" s="137"/>
      <c r="P146" s="137"/>
      <c r="Q146" s="137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</row>
    <row r="147" spans="1:141" ht="72" customHeight="1">
      <c r="A147" s="31"/>
      <c r="B147" s="400" t="s">
        <v>179</v>
      </c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</row>
    <row r="148" spans="1:141" ht="44.25" customHeight="1">
      <c r="A148" s="39"/>
      <c r="B148" s="385" t="s">
        <v>180</v>
      </c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</row>
    <row r="149" spans="1:141" ht="11.25" customHeight="1">
      <c r="A149" s="2"/>
      <c r="B149" s="386"/>
      <c r="C149" s="386"/>
      <c r="D149" s="386"/>
      <c r="E149" s="386"/>
      <c r="F149" s="386"/>
      <c r="G149" s="386"/>
      <c r="H149" s="386"/>
      <c r="I149" s="386"/>
      <c r="J149" s="386"/>
      <c r="K149" s="386"/>
      <c r="L149" s="386"/>
    </row>
    <row r="150" spans="1:141" ht="33.75" customHeight="1" thickBot="1">
      <c r="A150" s="2"/>
      <c r="B150" s="396">
        <f ca="1">IF(A150=0,TODAY(),A150)</f>
        <v>45294</v>
      </c>
      <c r="C150" s="396"/>
      <c r="D150" s="398"/>
      <c r="E150" s="398"/>
      <c r="F150" s="398"/>
      <c r="G150" s="492" t="str">
        <f>D7</f>
        <v>Иванов И.И.</v>
      </c>
      <c r="H150" s="492"/>
      <c r="I150" s="493"/>
      <c r="J150" s="493"/>
      <c r="K150" s="123"/>
      <c r="L150" s="123"/>
    </row>
    <row r="151" spans="1:14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14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14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14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14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14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14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14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14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14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C7A8" sheet="1" objects="1" scenarios="1"/>
  <mergeCells count="233">
    <mergeCell ref="N1:Q1"/>
    <mergeCell ref="B7:C7"/>
    <mergeCell ref="D7:F7"/>
    <mergeCell ref="M11:P11"/>
    <mergeCell ref="B8:C8"/>
    <mergeCell ref="F1:H4"/>
    <mergeCell ref="B5:I5"/>
    <mergeCell ref="B11:C11"/>
    <mergeCell ref="B10:C10"/>
    <mergeCell ref="D8:F8"/>
    <mergeCell ref="D30:E30"/>
    <mergeCell ref="D10:E10"/>
    <mergeCell ref="B30:C30"/>
    <mergeCell ref="B13:C13"/>
    <mergeCell ref="D14:E14"/>
    <mergeCell ref="B15:C15"/>
    <mergeCell ref="D15:E15"/>
    <mergeCell ref="D13:F13"/>
    <mergeCell ref="B14:C14"/>
    <mergeCell ref="D29:E29"/>
    <mergeCell ref="B29:C29"/>
    <mergeCell ref="D18:F18"/>
    <mergeCell ref="D23:E23"/>
    <mergeCell ref="D20:F20"/>
    <mergeCell ref="D19:F19"/>
    <mergeCell ref="B18:C18"/>
    <mergeCell ref="B19:C19"/>
    <mergeCell ref="B12:C12"/>
    <mergeCell ref="D12:E12"/>
    <mergeCell ref="D11:E11"/>
    <mergeCell ref="M12:P12"/>
    <mergeCell ref="D27:E27"/>
    <mergeCell ref="B28:C28"/>
    <mergeCell ref="D28:E28"/>
    <mergeCell ref="D16:E16"/>
    <mergeCell ref="B16:C16"/>
    <mergeCell ref="D25:E25"/>
    <mergeCell ref="D24:H24"/>
    <mergeCell ref="D21:F21"/>
    <mergeCell ref="B27:C27"/>
    <mergeCell ref="D22:F22"/>
    <mergeCell ref="B26:C26"/>
    <mergeCell ref="D26:E26"/>
    <mergeCell ref="I24:L24"/>
    <mergeCell ref="B24:C25"/>
    <mergeCell ref="B17:C17"/>
    <mergeCell ref="D17:F17"/>
    <mergeCell ref="B31:C31"/>
    <mergeCell ref="D31:E31"/>
    <mergeCell ref="B33:C33"/>
    <mergeCell ref="D33:E33"/>
    <mergeCell ref="B32:C32"/>
    <mergeCell ref="D32:E32"/>
    <mergeCell ref="B42:C42"/>
    <mergeCell ref="D42:E42"/>
    <mergeCell ref="B34:C34"/>
    <mergeCell ref="D34:E34"/>
    <mergeCell ref="B35:C35"/>
    <mergeCell ref="D35:E35"/>
    <mergeCell ref="B39:C39"/>
    <mergeCell ref="D39:E39"/>
    <mergeCell ref="B36:C36"/>
    <mergeCell ref="D36:E36"/>
    <mergeCell ref="B37:C37"/>
    <mergeCell ref="D37:E37"/>
    <mergeCell ref="B38:C38"/>
    <mergeCell ref="D38:E38"/>
    <mergeCell ref="B43:C43"/>
    <mergeCell ref="D43:E43"/>
    <mergeCell ref="B45:C45"/>
    <mergeCell ref="D45:E45"/>
    <mergeCell ref="B47:C47"/>
    <mergeCell ref="D47:E47"/>
    <mergeCell ref="B40:C40"/>
    <mergeCell ref="D40:E40"/>
    <mergeCell ref="B44:C44"/>
    <mergeCell ref="D44:E44"/>
    <mergeCell ref="B41:C41"/>
    <mergeCell ref="D41:E41"/>
    <mergeCell ref="B46:C46"/>
    <mergeCell ref="D46:E46"/>
    <mergeCell ref="B54:C54"/>
    <mergeCell ref="D54:E54"/>
    <mergeCell ref="B52:C52"/>
    <mergeCell ref="D52:E52"/>
    <mergeCell ref="B51:C51"/>
    <mergeCell ref="D51:E51"/>
    <mergeCell ref="B48:C48"/>
    <mergeCell ref="D48:E48"/>
    <mergeCell ref="B49:C49"/>
    <mergeCell ref="D49:E49"/>
    <mergeCell ref="B53:C53"/>
    <mergeCell ref="D53:E53"/>
    <mergeCell ref="B50:C50"/>
    <mergeCell ref="D50:E50"/>
    <mergeCell ref="P95:Q95"/>
    <mergeCell ref="B82:C82"/>
    <mergeCell ref="D82:E82"/>
    <mergeCell ref="B87:C87"/>
    <mergeCell ref="D87:E87"/>
    <mergeCell ref="B85:C85"/>
    <mergeCell ref="D85:E85"/>
    <mergeCell ref="B93:K93"/>
    <mergeCell ref="B61:C61"/>
    <mergeCell ref="D61:E61"/>
    <mergeCell ref="B64:C64"/>
    <mergeCell ref="B68:C68"/>
    <mergeCell ref="D64:E64"/>
    <mergeCell ref="B83:C83"/>
    <mergeCell ref="D83:E83"/>
    <mergeCell ref="B78:C78"/>
    <mergeCell ref="D78:E78"/>
    <mergeCell ref="B81:C81"/>
    <mergeCell ref="D72:E72"/>
    <mergeCell ref="N95:O95"/>
    <mergeCell ref="B71:C71"/>
    <mergeCell ref="D71:E71"/>
    <mergeCell ref="B67:C67"/>
    <mergeCell ref="D67:E67"/>
    <mergeCell ref="B59:C59"/>
    <mergeCell ref="D59:E59"/>
    <mergeCell ref="B60:C60"/>
    <mergeCell ref="D60:E60"/>
    <mergeCell ref="B55:C55"/>
    <mergeCell ref="D55:E55"/>
    <mergeCell ref="B56:C56"/>
    <mergeCell ref="D56:E56"/>
    <mergeCell ref="B58:C58"/>
    <mergeCell ref="D58:E58"/>
    <mergeCell ref="B57:C57"/>
    <mergeCell ref="D57:E57"/>
    <mergeCell ref="B70:C70"/>
    <mergeCell ref="D70:E70"/>
    <mergeCell ref="B66:C66"/>
    <mergeCell ref="B94:K94"/>
    <mergeCell ref="B88:K88"/>
    <mergeCell ref="B62:C62"/>
    <mergeCell ref="B69:C69"/>
    <mergeCell ref="D69:E69"/>
    <mergeCell ref="B63:C63"/>
    <mergeCell ref="D68:E68"/>
    <mergeCell ref="D62:E62"/>
    <mergeCell ref="D63:E63"/>
    <mergeCell ref="B65:C65"/>
    <mergeCell ref="D65:E65"/>
    <mergeCell ref="D66:E66"/>
    <mergeCell ref="B72:C72"/>
    <mergeCell ref="B86:C86"/>
    <mergeCell ref="D84:E84"/>
    <mergeCell ref="B80:C80"/>
    <mergeCell ref="D80:E80"/>
    <mergeCell ref="B73:C73"/>
    <mergeCell ref="D73:E73"/>
    <mergeCell ref="D75:E75"/>
    <mergeCell ref="D81:E81"/>
    <mergeCell ref="B76:C76"/>
    <mergeCell ref="B74:C74"/>
    <mergeCell ref="D74:E74"/>
    <mergeCell ref="B75:C75"/>
    <mergeCell ref="D76:E76"/>
    <mergeCell ref="B126:L126"/>
    <mergeCell ref="B106:K106"/>
    <mergeCell ref="B115:K115"/>
    <mergeCell ref="B121:L121"/>
    <mergeCell ref="B114:K114"/>
    <mergeCell ref="B120:K120"/>
    <mergeCell ref="B116:K116"/>
    <mergeCell ref="B117:K117"/>
    <mergeCell ref="B110:K110"/>
    <mergeCell ref="B111:K111"/>
    <mergeCell ref="D77:E77"/>
    <mergeCell ref="D79:E79"/>
    <mergeCell ref="B77:C77"/>
    <mergeCell ref="B84:C84"/>
    <mergeCell ref="B118:K118"/>
    <mergeCell ref="B119:K119"/>
    <mergeCell ref="B105:K105"/>
    <mergeCell ref="B107:K107"/>
    <mergeCell ref="B79:C79"/>
    <mergeCell ref="B140:L140"/>
    <mergeCell ref="B137:H137"/>
    <mergeCell ref="B141:L141"/>
    <mergeCell ref="I135:L135"/>
    <mergeCell ref="B136:H136"/>
    <mergeCell ref="D86:E86"/>
    <mergeCell ref="B150:C150"/>
    <mergeCell ref="D150:F150"/>
    <mergeCell ref="G150:H150"/>
    <mergeCell ref="B148:L148"/>
    <mergeCell ref="I150:J150"/>
    <mergeCell ref="B149:L149"/>
    <mergeCell ref="B99:K99"/>
    <mergeCell ref="B100:K100"/>
    <mergeCell ref="B113:K113"/>
    <mergeCell ref="B104:H104"/>
    <mergeCell ref="B108:K108"/>
    <mergeCell ref="B102:K102"/>
    <mergeCell ref="B103:K103"/>
    <mergeCell ref="B112:K112"/>
    <mergeCell ref="B109:K109"/>
    <mergeCell ref="B101:K101"/>
    <mergeCell ref="I136:L136"/>
    <mergeCell ref="B132:L132"/>
    <mergeCell ref="B147:L147"/>
    <mergeCell ref="I142:L142"/>
    <mergeCell ref="B142:H142"/>
    <mergeCell ref="B143:H143"/>
    <mergeCell ref="I144:L144"/>
    <mergeCell ref="B145:H145"/>
    <mergeCell ref="I145:L145"/>
    <mergeCell ref="B146:H146"/>
    <mergeCell ref="I146:L146"/>
    <mergeCell ref="B144:H144"/>
    <mergeCell ref="I143:L143"/>
    <mergeCell ref="B90:H90"/>
    <mergeCell ref="B97:H97"/>
    <mergeCell ref="B98:K98"/>
    <mergeCell ref="B139:L139"/>
    <mergeCell ref="B129:L129"/>
    <mergeCell ref="B138:H138"/>
    <mergeCell ref="I138:L138"/>
    <mergeCell ref="B135:H135"/>
    <mergeCell ref="I137:L137"/>
    <mergeCell ref="B134:L134"/>
    <mergeCell ref="B131:L131"/>
    <mergeCell ref="B128:L128"/>
    <mergeCell ref="B130:L130"/>
    <mergeCell ref="B127:L127"/>
    <mergeCell ref="B133:L133"/>
    <mergeCell ref="B125:L125"/>
    <mergeCell ref="B122:L122"/>
    <mergeCell ref="B123:L123"/>
    <mergeCell ref="B124:L124"/>
  </mergeCells>
  <phoneticPr fontId="22" type="noConversion"/>
  <conditionalFormatting sqref="A14:A15">
    <cfRule type="cellIs" dxfId="214" priority="3" stopIfTrue="1" operator="greaterThan">
      <formula>61</formula>
    </cfRule>
    <cfRule type="expression" dxfId="213" priority="4" stopIfTrue="1">
      <formula>$A$25</formula>
    </cfRule>
  </conditionalFormatting>
  <conditionalFormatting sqref="B19:F19">
    <cfRule type="expression" dxfId="212" priority="15" stopIfTrue="1">
      <formula>$M$8</formula>
    </cfRule>
  </conditionalFormatting>
  <conditionalFormatting sqref="B97:I120">
    <cfRule type="expression" dxfId="211" priority="84" stopIfTrue="1">
      <formula>A97</formula>
    </cfRule>
  </conditionalFormatting>
  <conditionalFormatting sqref="D10:E10">
    <cfRule type="cellIs" dxfId="210" priority="8" stopIfTrue="1" operator="lessThan">
      <formula>1000</formula>
    </cfRule>
  </conditionalFormatting>
  <conditionalFormatting sqref="D10:E11">
    <cfRule type="expression" dxfId="209" priority="7" stopIfTrue="1">
      <formula>$M$5</formula>
    </cfRule>
  </conditionalFormatting>
  <conditionalFormatting sqref="D12:E12">
    <cfRule type="expression" dxfId="208" priority="5" stopIfTrue="1">
      <formula>$A$25</formula>
    </cfRule>
  </conditionalFormatting>
  <conditionalFormatting sqref="D40:F40 H40">
    <cfRule type="expression" dxfId="207" priority="20" stopIfTrue="1">
      <formula>$N$40</formula>
    </cfRule>
  </conditionalFormatting>
  <conditionalFormatting sqref="D41:F41 H41">
    <cfRule type="expression" dxfId="206" priority="19" stopIfTrue="1">
      <formula>$N$41</formula>
    </cfRule>
  </conditionalFormatting>
  <conditionalFormatting sqref="D42:F42 H42">
    <cfRule type="expression" dxfId="205" priority="18" stopIfTrue="1">
      <formula>$N$42</formula>
    </cfRule>
  </conditionalFormatting>
  <conditionalFormatting sqref="D43:F43 H43">
    <cfRule type="expression" dxfId="204" priority="17" stopIfTrue="1">
      <formula>$N$43</formula>
    </cfRule>
  </conditionalFormatting>
  <conditionalFormatting sqref="D44:F44 H44">
    <cfRule type="expression" dxfId="203" priority="13" stopIfTrue="1">
      <formula>$N$44</formula>
    </cfRule>
  </conditionalFormatting>
  <conditionalFormatting sqref="D45:F45 H45">
    <cfRule type="expression" dxfId="202" priority="12" stopIfTrue="1">
      <formula>$N$45</formula>
    </cfRule>
  </conditionalFormatting>
  <conditionalFormatting sqref="D46:F46 H46">
    <cfRule type="expression" dxfId="201" priority="11" stopIfTrue="1">
      <formula>$N$46</formula>
    </cfRule>
  </conditionalFormatting>
  <conditionalFormatting sqref="D47:F47 H47">
    <cfRule type="expression" dxfId="200" priority="10" stopIfTrue="1">
      <formula>$N$47</formula>
    </cfRule>
  </conditionalFormatting>
  <conditionalFormatting sqref="D48:F48 H48">
    <cfRule type="expression" dxfId="199" priority="9" stopIfTrue="1">
      <formula>$N$48</formula>
    </cfRule>
  </conditionalFormatting>
  <conditionalFormatting sqref="D49:F86 H49:H86 G86">
    <cfRule type="expression" dxfId="198" priority="36" stopIfTrue="1">
      <formula>$N49</formula>
    </cfRule>
  </conditionalFormatting>
  <conditionalFormatting sqref="D26:H26">
    <cfRule type="expression" dxfId="197" priority="34" stopIfTrue="1">
      <formula>$N$26</formula>
    </cfRule>
  </conditionalFormatting>
  <conditionalFormatting sqref="D27:H27">
    <cfRule type="expression" dxfId="196" priority="33" stopIfTrue="1">
      <formula>$N$27</formula>
    </cfRule>
  </conditionalFormatting>
  <conditionalFormatting sqref="D28:H28">
    <cfRule type="expression" dxfId="195" priority="32" stopIfTrue="1">
      <formula>$N$28</formula>
    </cfRule>
  </conditionalFormatting>
  <conditionalFormatting sqref="D29:H29">
    <cfRule type="expression" dxfId="194" priority="31" stopIfTrue="1">
      <formula>$N$29</formula>
    </cfRule>
  </conditionalFormatting>
  <conditionalFormatting sqref="D30:H30">
    <cfRule type="expression" dxfId="193" priority="30" stopIfTrue="1">
      <formula>$N$30</formula>
    </cfRule>
  </conditionalFormatting>
  <conditionalFormatting sqref="D31:H31">
    <cfRule type="expression" dxfId="192" priority="29" stopIfTrue="1">
      <formula>$N$31</formula>
    </cfRule>
  </conditionalFormatting>
  <conditionalFormatting sqref="D32:H32">
    <cfRule type="expression" dxfId="191" priority="28" stopIfTrue="1">
      <formula>$N$32</formula>
    </cfRule>
  </conditionalFormatting>
  <conditionalFormatting sqref="D33:H33">
    <cfRule type="expression" dxfId="190" priority="27" stopIfTrue="1">
      <formula>$N$33</formula>
    </cfRule>
  </conditionalFormatting>
  <conditionalFormatting sqref="D34:H34">
    <cfRule type="expression" dxfId="189" priority="26" stopIfTrue="1">
      <formula>$N$34</formula>
    </cfRule>
  </conditionalFormatting>
  <conditionalFormatting sqref="D35:H35">
    <cfRule type="expression" dxfId="188" priority="25" stopIfTrue="1">
      <formula>$N$35</formula>
    </cfRule>
  </conditionalFormatting>
  <conditionalFormatting sqref="D36:H36">
    <cfRule type="expression" dxfId="187" priority="24" stopIfTrue="1">
      <formula>$N$36</formula>
    </cfRule>
  </conditionalFormatting>
  <conditionalFormatting sqref="D37:H37">
    <cfRule type="expression" dxfId="186" priority="23" stopIfTrue="1">
      <formula>$N$37</formula>
    </cfRule>
  </conditionalFormatting>
  <conditionalFormatting sqref="D38:H38">
    <cfRule type="expression" dxfId="185" priority="22" stopIfTrue="1">
      <formula>$N$38</formula>
    </cfRule>
  </conditionalFormatting>
  <conditionalFormatting sqref="D39:H39 G40:G85">
    <cfRule type="expression" dxfId="184" priority="21" stopIfTrue="1">
      <formula>$N$39</formula>
    </cfRule>
  </conditionalFormatting>
  <conditionalFormatting sqref="F10">
    <cfRule type="expression" dxfId="183" priority="16" stopIfTrue="1">
      <formula>$M$5</formula>
    </cfRule>
  </conditionalFormatting>
  <conditionalFormatting sqref="G10:L10">
    <cfRule type="expression" dxfId="182" priority="14" stopIfTrue="1">
      <formula>$A$1</formula>
    </cfRule>
  </conditionalFormatting>
  <conditionalFormatting sqref="I25:K25">
    <cfRule type="expression" dxfId="181" priority="124" stopIfTrue="1">
      <formula>$D$15</formula>
    </cfRule>
  </conditionalFormatting>
  <conditionalFormatting sqref="I24:L24 L25">
    <cfRule type="expression" dxfId="180" priority="125" stopIfTrue="1">
      <formula>$D$15</formula>
    </cfRule>
  </conditionalFormatting>
  <conditionalFormatting sqref="I26:L86">
    <cfRule type="expression" dxfId="179" priority="86" stopIfTrue="1">
      <formula>$AY26</formula>
    </cfRule>
  </conditionalFormatting>
  <conditionalFormatting sqref="J97:J120">
    <cfRule type="expression" dxfId="178" priority="85" stopIfTrue="1">
      <formula>H97</formula>
    </cfRule>
  </conditionalFormatting>
  <conditionalFormatting sqref="K97:K120">
    <cfRule type="expression" dxfId="177" priority="83" stopIfTrue="1">
      <formula>H97</formula>
    </cfRule>
  </conditionalFormatting>
  <conditionalFormatting sqref="L97:L120">
    <cfRule type="expression" dxfId="176" priority="35" stopIfTrue="1">
      <formula>H97</formula>
    </cfRule>
  </conditionalFormatting>
  <dataValidations count="2">
    <dataValidation type="list" allowBlank="1" showInputMessage="1" showErrorMessage="1" sqref="D14:E14" xr:uid="{00000000-0002-0000-0F00-000000000000}">
      <formula1>$AA$10:$AA$13</formula1>
    </dataValidation>
    <dataValidation type="list" allowBlank="1" showInputMessage="1" showErrorMessage="1" sqref="D15:E15" xr:uid="{00000000-0002-0000-0F00-000001000000}">
      <formula1>$AB$10:$AB$12</formula1>
    </dataValidation>
  </dataValidations>
  <pageMargins left="0.86614173228346458" right="0.35433070866141736" top="0.39370078740157483" bottom="0.31496062992125984" header="0.51181102362204722" footer="0.31496062992125984"/>
  <pageSetup scale="57" pageOrder="overThenDown" orientation="portrait" r:id="rId1"/>
  <headerFooter alignWithMargins="0"/>
  <rowBreaks count="1" manualBreakCount="1">
    <brk id="86" min="1" max="11" man="1"/>
  </rowBreaks>
  <colBreaks count="2" manualBreakCount="2">
    <brk id="1" max="1048575" man="1"/>
    <brk id="1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K176"/>
  <sheetViews>
    <sheetView topLeftCell="A9" workbookViewId="0">
      <selection activeCell="S18" sqref="S18"/>
    </sheetView>
  </sheetViews>
  <sheetFormatPr defaultRowHeight="12.75"/>
  <cols>
    <col min="1" max="1" width="21" style="21" customWidth="1"/>
    <col min="2" max="2" width="19.28515625" style="21" customWidth="1"/>
    <col min="3" max="3" width="1.425781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2" style="21" customWidth="1"/>
    <col min="9" max="9" width="20" style="21" hidden="1" customWidth="1"/>
    <col min="10" max="12" width="15.7109375" style="21" hidden="1" customWidth="1"/>
    <col min="13" max="13" width="12.42578125" style="2" customWidth="1"/>
    <col min="14" max="14" width="9.85546875" style="2" customWidth="1"/>
    <col min="15" max="15" width="10.85546875" style="2" customWidth="1"/>
    <col min="16" max="16" width="12" style="2" customWidth="1"/>
    <col min="17" max="17" width="11.28515625" style="2" customWidth="1"/>
    <col min="18" max="18" width="11.140625" style="2" customWidth="1"/>
    <col min="19" max="19" width="15.28515625" style="2" customWidth="1"/>
    <col min="20" max="20" width="11.140625" style="2" customWidth="1"/>
    <col min="21" max="21" width="9.85546875" style="2" customWidth="1"/>
    <col min="22" max="22" width="10.42578125" style="2" customWidth="1"/>
    <col min="23" max="23" width="10.5703125" style="2" customWidth="1"/>
    <col min="24" max="24" width="9.42578125" style="2" customWidth="1"/>
    <col min="25" max="25" width="9.5703125" style="2" customWidth="1"/>
    <col min="26" max="56" width="15.7109375" style="2" customWidth="1"/>
    <col min="57" max="57" width="15.7109375" style="21" customWidth="1"/>
    <col min="58" max="71" width="9.140625" style="21"/>
    <col min="72" max="141" width="9.140625" style="20"/>
    <col min="142" max="16384" width="9.140625" style="21"/>
  </cols>
  <sheetData>
    <row r="1" spans="1:30" ht="1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</row>
    <row r="2" spans="1:30" ht="15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30" ht="15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</row>
    <row r="4" spans="1:30" ht="15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30" ht="1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</row>
    <row r="6" spans="1:30" ht="1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3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v>1</v>
      </c>
      <c r="N8" s="2">
        <v>0</v>
      </c>
      <c r="O8" s="2">
        <v>0</v>
      </c>
    </row>
    <row r="9" spans="1:30" ht="1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</row>
    <row r="10" spans="1:30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1000</v>
      </c>
      <c r="E10" s="433"/>
      <c r="F10" s="11" t="s">
        <v>189</v>
      </c>
      <c r="G10" s="12" t="s">
        <v>7</v>
      </c>
      <c r="H10" s="13">
        <f>F22+G22+A92+D10</f>
        <v>1196.3444444444444</v>
      </c>
      <c r="I10" s="40"/>
      <c r="J10" s="40"/>
      <c r="K10" s="40"/>
      <c r="L10" s="40"/>
      <c r="T10" s="2">
        <f>IF(D14=12,IF(D15&lt;=6,0,1),0)</f>
        <v>0</v>
      </c>
      <c r="AC10" s="2">
        <v>24</v>
      </c>
      <c r="AD10" s="2">
        <v>3</v>
      </c>
    </row>
    <row r="11" spans="1:30" ht="56.25" customHeight="1">
      <c r="A11" s="7"/>
      <c r="B11" s="503" t="s">
        <v>219</v>
      </c>
      <c r="C11" s="504"/>
      <c r="D11" s="152">
        <v>10</v>
      </c>
      <c r="E11" s="153">
        <v>20</v>
      </c>
      <c r="F11" s="15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>R11-Q12-1</f>
        <v>4</v>
      </c>
      <c r="R11" s="2">
        <f>IF(DAY(D16)=31,31,30)</f>
        <v>30</v>
      </c>
      <c r="T11" s="300"/>
      <c r="U11" s="300"/>
      <c r="V11" s="300"/>
      <c r="AC11" s="2">
        <v>36</v>
      </c>
      <c r="AD11" s="2">
        <v>6</v>
      </c>
    </row>
    <row r="12" spans="1:30" ht="15" customHeight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>DATE(YEAR(0),MONTH(0),DAY(D16)-1)</f>
        <v>25</v>
      </c>
      <c r="AC12" s="2">
        <v>48</v>
      </c>
      <c r="AD12" s="2">
        <v>12</v>
      </c>
    </row>
    <row r="13" spans="1:30" ht="1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56"/>
      <c r="R13" s="157"/>
      <c r="S13" s="157"/>
      <c r="T13" s="157"/>
      <c r="U13" s="157"/>
      <c r="V13" s="157"/>
      <c r="W13" s="157"/>
      <c r="X13" s="157"/>
      <c r="Y13" s="157"/>
      <c r="AD13" s="2">
        <v>24</v>
      </c>
    </row>
    <row r="14" spans="1:30" ht="15" customHeight="1">
      <c r="A14" s="17">
        <f>IF(DAY(D16)&lt;=21,D14,D14+1)</f>
        <v>25</v>
      </c>
      <c r="B14" s="408" t="s">
        <v>13</v>
      </c>
      <c r="C14" s="409"/>
      <c r="D14" s="413">
        <v>24</v>
      </c>
      <c r="E14" s="414"/>
      <c r="F14" s="14" t="str">
        <f>IF(D14=0," ","месяцев")</f>
        <v>месяцев</v>
      </c>
      <c r="G14" s="4"/>
      <c r="H14" s="2"/>
      <c r="I14" s="30"/>
      <c r="J14" s="2"/>
      <c r="K14" s="4"/>
      <c r="L14" s="4"/>
      <c r="M14" s="2">
        <f>IF(M1=1,IF(F10="USD",0,A14),IF(M1=2,A14," "))</f>
        <v>25</v>
      </c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30" ht="15" customHeight="1">
      <c r="A15" s="82"/>
      <c r="B15" s="309" t="s">
        <v>139</v>
      </c>
      <c r="C15" s="310"/>
      <c r="D15" s="355">
        <v>12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  <c r="Q15" s="157"/>
      <c r="R15" s="157"/>
      <c r="S15" s="495">
        <f>IF(N28=1,R26*D11*20/36000+R27*E11*10/36000,IF(N28=0,IF(N27=0,0,R27*E11*Q12/36000+R26*E11*20/36000+R27*E11*10/36000)))</f>
        <v>10.444444444444443</v>
      </c>
      <c r="T15" s="496"/>
      <c r="U15" s="497"/>
      <c r="V15" s="157"/>
      <c r="W15" s="157"/>
      <c r="X15" s="157"/>
      <c r="Y15" s="157"/>
    </row>
    <row r="16" spans="1:30" ht="15" customHeight="1">
      <c r="A16" s="7"/>
      <c r="B16" s="408" t="s">
        <v>14</v>
      </c>
      <c r="C16" s="409"/>
      <c r="D16" s="418">
        <v>42761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>A14-D15</f>
        <v>13</v>
      </c>
      <c r="Q16" s="498" t="s">
        <v>220</v>
      </c>
      <c r="R16" s="157" t="s">
        <v>221</v>
      </c>
      <c r="S16" s="157">
        <f>ROUNDUP(Q12/R11,1)</f>
        <v>0.9</v>
      </c>
      <c r="T16" s="157"/>
      <c r="U16" s="157"/>
      <c r="V16" s="157"/>
      <c r="W16" s="157"/>
      <c r="X16" s="157"/>
      <c r="Y16" s="157"/>
    </row>
    <row r="17" spans="1:141">
      <c r="A17" s="4">
        <f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  <c r="Q17" s="499"/>
      <c r="R17" s="157" t="s">
        <v>222</v>
      </c>
      <c r="S17" s="157">
        <f>ROUND(Q11/R11,1)</f>
        <v>0.1</v>
      </c>
      <c r="T17" s="157"/>
      <c r="U17" s="157"/>
      <c r="V17" s="157"/>
      <c r="W17" s="157"/>
      <c r="X17" s="157"/>
      <c r="Y17" s="157"/>
    </row>
    <row r="18" spans="1:141" ht="13.5" thickBot="1">
      <c r="A18" s="4"/>
      <c r="B18" s="343" t="s">
        <v>214</v>
      </c>
      <c r="C18" s="344"/>
      <c r="D18" s="376" t="s">
        <v>215</v>
      </c>
      <c r="E18" s="377"/>
      <c r="F18" s="378"/>
      <c r="G18" s="4"/>
      <c r="H18" s="4"/>
      <c r="I18" s="4"/>
      <c r="J18" s="4"/>
      <c r="K18" s="4"/>
      <c r="L18" s="4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141">
      <c r="A19" s="4"/>
      <c r="B19" s="4"/>
      <c r="C19" s="4"/>
      <c r="D19" s="297" t="s">
        <v>79</v>
      </c>
      <c r="E19" s="297"/>
      <c r="F19" s="297"/>
      <c r="G19" s="4"/>
      <c r="H19" s="4"/>
      <c r="I19" s="4"/>
      <c r="J19" s="4"/>
      <c r="K19" s="4"/>
      <c r="L19" s="4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14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14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155">
        <f>SUM(L25:L72)</f>
        <v>1973.8934995428285</v>
      </c>
      <c r="Q21" s="157"/>
      <c r="R21" s="157"/>
      <c r="S21" s="157"/>
      <c r="T21" s="157"/>
      <c r="U21" s="157"/>
      <c r="V21" s="157"/>
      <c r="W21" s="157"/>
      <c r="X21" s="157"/>
      <c r="Y21" s="157"/>
    </row>
    <row r="22" spans="1:141">
      <c r="A22" s="4"/>
      <c r="B22" s="4"/>
      <c r="C22" s="4"/>
      <c r="D22" s="404">
        <f>SUM(D25:E85)</f>
        <v>2000</v>
      </c>
      <c r="E22" s="272"/>
      <c r="F22" s="22">
        <f>SUM(F25:F86)/2</f>
        <v>196.34444444444449</v>
      </c>
      <c r="G22" s="22">
        <v>0</v>
      </c>
      <c r="H22" s="22">
        <f>SUM(H25:H72)</f>
        <v>2392.6888888888889</v>
      </c>
      <c r="I22" s="22"/>
      <c r="J22" s="22"/>
      <c r="K22" s="22"/>
      <c r="L22" s="22"/>
      <c r="Q22" s="157"/>
      <c r="R22" s="157"/>
      <c r="S22" s="157"/>
      <c r="T22" s="157"/>
      <c r="U22" s="157"/>
      <c r="V22" s="157"/>
      <c r="W22" s="157"/>
      <c r="X22" s="157"/>
      <c r="Y22" s="157"/>
    </row>
    <row r="23" spans="1:141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44.25" customHeight="1">
      <c r="A24" s="4">
        <f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</row>
    <row r="25" spans="1:141" s="24" customFormat="1" ht="15" customHeight="1">
      <c r="A25" s="4">
        <v>1</v>
      </c>
      <c r="B25" s="268">
        <f>IF(N25=0,IF(N24=1,"ИТОГО"," "),DATE(YEAR(D16),MONTH(D16)+1,O25))</f>
        <v>42786</v>
      </c>
      <c r="C25" s="401"/>
      <c r="D25" s="269">
        <f>IF(N25=0,0,IF(F10="USD",ROUND(D10/M14,0),IF(F10="бел. рублей",IF(AX25&lt;=5,AU25,AU25)," ")))</f>
        <v>40</v>
      </c>
      <c r="E25" s="269"/>
      <c r="F25" s="87">
        <f>IF(M1=1,P25,IF(M1=2,Q25," "))</f>
        <v>1.1111111111111112</v>
      </c>
      <c r="G25" s="87">
        <v>0</v>
      </c>
      <c r="H25" s="87">
        <f>SUM(D25:G25)+A87</f>
        <v>41.111111111111114</v>
      </c>
      <c r="I25" s="87">
        <f>T25</f>
        <v>40</v>
      </c>
      <c r="J25" s="87">
        <f t="shared" ref="J25:J85" si="0">AA25</f>
        <v>1.1111111111111112</v>
      </c>
      <c r="K25" s="87">
        <v>0</v>
      </c>
      <c r="L25" s="87">
        <f>SUM(I25:K25)+A87</f>
        <v>41.111111111111114</v>
      </c>
      <c r="M25" s="2">
        <v>1</v>
      </c>
      <c r="N25" s="2">
        <f>IF(M1=1,IF(M14&gt;0,1,0),IF(M1=2,IF(M14&gt;0,1,0),0))</f>
        <v>1</v>
      </c>
      <c r="O25" s="2">
        <f t="shared" ref="O25:O85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134">
        <f>U25</f>
        <v>1.1111111111111112</v>
      </c>
      <c r="Q25" s="134">
        <f>V25</f>
        <v>1.1111111111111112</v>
      </c>
      <c r="R25" s="134">
        <f>D10</f>
        <v>1000</v>
      </c>
      <c r="S25" s="134">
        <f>AU25</f>
        <v>40</v>
      </c>
      <c r="T25" s="134">
        <f>AU25</f>
        <v>40</v>
      </c>
      <c r="U25" s="134">
        <f>R25*Q11*D11/36000</f>
        <v>1.1111111111111112</v>
      </c>
      <c r="V25" s="134">
        <f>R25*Q11*D11/36000</f>
        <v>1.1111111111111112</v>
      </c>
      <c r="W25" s="134">
        <f>IF(D10*Q11*D11/36000&lt;&gt;0,IF(VALUE(RIGHT(ROUND(D10*Q11*D11/36000,0)))&lt;=5,ROUND(D10*Q11*D11/36000,0)-VALUE(RIGHT(ROUND(D10*Q11*D11/36000,0))),ROUND(D10*Q11*D11/36000,0)+10-VALUE(RIGHT(ROUND(D10*Q11*D11/36000,0)))),0)</f>
        <v>0</v>
      </c>
      <c r="X25" s="134">
        <f>IF(D10*Q11*D11/36000&lt;&gt;0,IF(VALUE(RIGHT(ROUND(D10*Q11*D11/36000,0)))&lt;=5,ROUND(D10*Q11*D11/36000,0)-VALUE(RIGHT(ROUND(D10*Q11*D11/36000,0))),ROUND(D10*Q11*D11/36000,0)+10-VALUE(RIGHT(ROUND(D10*Q11*D11/36000,0)))),0)</f>
        <v>0</v>
      </c>
      <c r="Y25" s="134">
        <f t="shared" ref="Y25:Y85" si="2">IF(M25&lt;=(D$15+1),D$10,Y24-I24)</f>
        <v>1000</v>
      </c>
      <c r="Z25" s="134">
        <f>Y25*Q11*D11/36000</f>
        <v>1.1111111111111112</v>
      </c>
      <c r="AA25" s="134">
        <f>Z25</f>
        <v>1.1111111111111112</v>
      </c>
      <c r="AB25" s="134">
        <f>R25*Q11</f>
        <v>4000</v>
      </c>
      <c r="AC25" s="134">
        <f t="shared" ref="AC25:AD56" si="3">IF(AJ25&lt;&gt;0,IF(VALUE(RIGHT(ROUND(AJ25,0)))&lt;=5,ROUND(AJ25,0)-VALUE(RIGHT(ROUND(AJ25,0))),ROUND(AJ25,0)+10-VALUE(RIGHT(ROUND(AJ25,0)))),0)</f>
        <v>0</v>
      </c>
      <c r="AD25" s="134">
        <f t="shared" si="3"/>
        <v>0</v>
      </c>
      <c r="AE25" s="134">
        <f>AI25*Q11*G12/36000</f>
        <v>0</v>
      </c>
      <c r="AF25" s="134">
        <f t="shared" ref="AF25:AF85" si="4">IF(AE25&lt;&gt;0,IF(VALUE(RIGHT(ROUND(AE25,0)))&lt;=5,ROUND(AE25,0)-VALUE(RIGHT(ROUND(AE25,0))),ROUND(AE25,0)+10-VALUE(RIGHT(ROUND(AE25,0)))),0)</f>
        <v>0</v>
      </c>
      <c r="AG25" s="134">
        <f>Y25*Q11*G12/36000</f>
        <v>0</v>
      </c>
      <c r="AH25" s="134">
        <f t="shared" ref="AH25:AH85" si="5">IF(AG25&lt;&gt;0,IF(VALUE(RIGHT(ROUND(AG25,0)))&lt;=5,ROUND(AG25,0)-VALUE(RIGHT(ROUND(AG25,0))),ROUND(AG25,0)+10-VALUE(RIGHT(ROUND(AG25,0)))),0)</f>
        <v>0</v>
      </c>
      <c r="AI25" s="134">
        <f t="shared" ref="AI25:AI85" si="6">R25</f>
        <v>1000</v>
      </c>
      <c r="AJ25" s="134">
        <f>AI25*Q11*G12/36000</f>
        <v>0</v>
      </c>
      <c r="AK25" s="134">
        <f>AI25*Q11*G12/36000</f>
        <v>0</v>
      </c>
      <c r="AL25" s="132">
        <f>IF(N25=0,0,MONTH(D16)+1)</f>
        <v>2</v>
      </c>
      <c r="AM25" s="132">
        <f t="shared" ref="AM25:AM85" si="7">IF(AL25=13,1,AL25)</f>
        <v>2</v>
      </c>
      <c r="AN25" s="2">
        <f>IF(N25=0,0,YEAR(D16))</f>
        <v>2017</v>
      </c>
      <c r="AO25" s="2">
        <f t="shared" ref="AO25:AO85" si="8">IF(AM25=1,AN25+1,AN25)</f>
        <v>2017</v>
      </c>
      <c r="AP25" s="2">
        <f t="shared" ref="AP25:AP85" si="9">IF((AN25/2012)=1,1,IF((AN25/2016)=1,1,IF((AN25/2020)=1,1,IF((AN25/2024)=1,1,IF((AN25/2028)=1,1,IF((AN25/2032)=1,1,0))))))</f>
        <v>0</v>
      </c>
      <c r="AQ25" s="2">
        <f t="shared" ref="AQ25:AQ85" si="10">IF(AM25=2,IF(AP25=1,29,28),30)</f>
        <v>28</v>
      </c>
      <c r="AR25" s="2">
        <f t="shared" ref="AR25:AR85" si="11">IF(C$24=30,AQ25,20)</f>
        <v>20</v>
      </c>
      <c r="AS25" s="2"/>
      <c r="AT25" s="2"/>
      <c r="AU25" s="2">
        <f>ROUND(IF(N25=0,0,IF(F10="USD",ROUND(D10/M14,2),IF(F10="бел. рублей",D10/M14," "))),2)</f>
        <v>40</v>
      </c>
      <c r="AV25" s="132" t="str">
        <f>RIGHT(AU25)</f>
        <v>0</v>
      </c>
      <c r="AW25" s="2">
        <f>VALUE(AV25)</f>
        <v>0</v>
      </c>
      <c r="AX25" s="2">
        <f>10-AW25</f>
        <v>10</v>
      </c>
      <c r="AY25" s="2">
        <f t="shared" ref="AY25:AY85" si="12">IF(D$15=0,0,IF(N25=1,1,0))</f>
        <v>1</v>
      </c>
      <c r="AZ25" s="2"/>
      <c r="BA25" s="2"/>
      <c r="BB25" s="2"/>
      <c r="BC25" s="2"/>
      <c r="BD25" s="2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3">A25+1</f>
        <v>2</v>
      </c>
      <c r="B26" s="268">
        <f t="shared" ref="B26:B85" si="14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42814</v>
      </c>
      <c r="C26" s="401"/>
      <c r="D26" s="269">
        <f>IF(N26=0,IF(N25=1,D25," "),IF(N26=0,0,IF(N27=1,D25,IF(N27=0,D10-D25*(M14-1)," "))))</f>
        <v>40</v>
      </c>
      <c r="E26" s="269"/>
      <c r="F26" s="87">
        <f>IF(N26=0,IF(N25=1,F25," "),IF(M1=1,P26,IF(M1=2,Q26," ")))</f>
        <v>8.2222222222222214</v>
      </c>
      <c r="G26" s="87">
        <v>0</v>
      </c>
      <c r="H26" s="87">
        <f t="shared" ref="H26:H86" si="15">IF(SUM(D26:G26)=0," ",SUM(D26:G26))</f>
        <v>48.222222222222221</v>
      </c>
      <c r="I26" s="87">
        <f t="shared" ref="I26:I85" si="16">IF(N26=1,IF(N27=1,IF(M26&lt;=D$15,T26,AV$26),D$10-AV$26*M$16+AV$26),0)</f>
        <v>43.478260869565219</v>
      </c>
      <c r="J26" s="87">
        <f t="shared" si="0"/>
        <v>8.3333333333333321</v>
      </c>
      <c r="K26" s="87">
        <v>0</v>
      </c>
      <c r="L26" s="87">
        <f t="shared" ref="L26:L85" si="17">IF(SUM(I26:K26)=0," ",SUM(I26:K26))</f>
        <v>51.811594202898547</v>
      </c>
      <c r="M26" s="2">
        <f t="shared" ref="M26:M48" si="18">M25+1</f>
        <v>2</v>
      </c>
      <c r="N26" s="2">
        <f>IF(M1=1,IF(M14&gt;1,1,0),IF(M1=2,IF(M14&gt;1,1,0),0))</f>
        <v>1</v>
      </c>
      <c r="O26" s="2">
        <f t="shared" si="1"/>
        <v>20</v>
      </c>
      <c r="P26" s="134">
        <f t="shared" ref="P26:Q85" si="19">U26</f>
        <v>8.2222222222222214</v>
      </c>
      <c r="Q26" s="134">
        <f t="shared" si="19"/>
        <v>8.2222222222222214</v>
      </c>
      <c r="R26" s="134">
        <f t="shared" ref="R26:R85" si="20">IF(N26=0,0,R25-D25)</f>
        <v>960</v>
      </c>
      <c r="S26" s="134">
        <f t="shared" ref="S26:S85" si="21">IF(M26&lt;=D$15,D$10/(D$14-M25),D26)</f>
        <v>43.478260869565219</v>
      </c>
      <c r="T26" s="134">
        <f>S26</f>
        <v>43.478260869565219</v>
      </c>
      <c r="U26" s="134">
        <f>IF(N27=1,R25*D11*20/36000+R26*D11*10/36000,IF(N27=0,IF(N26=0,0,R26*D11*Q12/36000+R25*D11*20/36000+R26*D11*10/36000)))</f>
        <v>8.2222222222222214</v>
      </c>
      <c r="V26" s="134">
        <f>IF(N27=1,R25*D11*20/36000+R26*D11*10/36000,IF(N27=0,IF(N26=0,0,R26*D11*Q12/36000+R25*D11*20/36000+R26*D11*10/36000)))</f>
        <v>8.2222222222222214</v>
      </c>
      <c r="W26" s="134">
        <f>IF(N27=1,$D$10*$D$11*20/36000+$D$10*$D$11*10/36000,IF(N27=0,IF(N26=0,0,$D$10*$D$11*$Q$12/36000+$D$10*$D$11*20/36000+$D$10*$D$11*10/36000)))</f>
        <v>8.3333333333333321</v>
      </c>
      <c r="X26" s="134">
        <f t="shared" ref="X26:X85" si="22">IF(W26&lt;&gt;0,IF(VALUE(RIGHT(ROUND(W26,0)))&lt;=5,ROUND(W26,0)-VALUE(RIGHT(ROUND(W26,0))),ROUND(W26,0)+10-VALUE(RIGHT(ROUND(W26,0)))),0)</f>
        <v>10</v>
      </c>
      <c r="Y26" s="134">
        <f t="shared" si="2"/>
        <v>1000</v>
      </c>
      <c r="Z26" s="134">
        <f>IF(N27=1,Y25*D$11*20/36000+Y26*D$11*10/36000,IF(N27=0,IF(N26=0,0,Y26*D$11*Q$12/36000+Y25*D$11*20/36000+Y26*D$11*10/36000)))</f>
        <v>8.3333333333333321</v>
      </c>
      <c r="AA26" s="134">
        <f t="shared" ref="AA26:AA85" si="23">Z26</f>
        <v>8.3333333333333321</v>
      </c>
      <c r="AB26" s="134">
        <f>IF(R27=0,R26*Q12,(R25*20+R26*10))</f>
        <v>29600</v>
      </c>
      <c r="AC26" s="134">
        <f t="shared" si="3"/>
        <v>0</v>
      </c>
      <c r="AD26" s="134">
        <f t="shared" si="3"/>
        <v>0</v>
      </c>
      <c r="AE26" s="134">
        <f t="shared" ref="AE26:AE84" si="24">IF(N27=1,D$10*G$12*20/36000+D$10*G$12*10/36000,IF(N27=0,IF(N26=0,0,D$10*G$12*Q$12/36000+D$10*G$12*20/36000+D$10*G$12*10/36000)))</f>
        <v>0</v>
      </c>
      <c r="AF26" s="134">
        <f t="shared" si="4"/>
        <v>0</v>
      </c>
      <c r="AG26" s="134">
        <f t="shared" ref="AG26:AG84" si="25">IF(N27=1,Y25*G$12*20/36000+Y26*G$12*10/36000,IF(N27=0,IF(N26=0,0,Y26*G$12*Q$12/36000+Y25*G$12*20/36000+Y26*G$12*10/36000)))</f>
        <v>0</v>
      </c>
      <c r="AH26" s="134">
        <f t="shared" si="5"/>
        <v>0</v>
      </c>
      <c r="AI26" s="134">
        <f t="shared" si="6"/>
        <v>960</v>
      </c>
      <c r="AJ26" s="134">
        <f>IF(N27=1,AI25*G12*20/36000+AI26*G12*10/36000,IF(N27=0,IF(N26=0,0,AI26*G12*Q12/36000+AI25*G12*20/36000+AI26*G12*10/36000)))</f>
        <v>0</v>
      </c>
      <c r="AK26" s="134">
        <f>IF(N27=1,AI25*G12*20/36000+AI26*G12*10/36000,IF(N27=0,IF(N26=0,0,AI26*G12*Q12/36000+AI25*G12*20/36000+AI26*G12*10/36000)))</f>
        <v>0</v>
      </c>
      <c r="AL26" s="132">
        <f t="shared" ref="AL26:AL85" si="26">IF(N26=0,0,MONTH(B25)+1)</f>
        <v>3</v>
      </c>
      <c r="AM26" s="132">
        <f t="shared" si="7"/>
        <v>3</v>
      </c>
      <c r="AN26" s="2">
        <f t="shared" ref="AN26:AN85" si="27">IF(N26=0,0,YEAR(B25))</f>
        <v>2017</v>
      </c>
      <c r="AO26" s="2">
        <f t="shared" si="8"/>
        <v>2017</v>
      </c>
      <c r="AP26" s="2">
        <f t="shared" si="9"/>
        <v>0</v>
      </c>
      <c r="AQ26" s="2">
        <f t="shared" si="10"/>
        <v>30</v>
      </c>
      <c r="AR26" s="2">
        <f t="shared" si="11"/>
        <v>20</v>
      </c>
      <c r="AS26" s="2">
        <f t="shared" ref="AS26:AS85" si="28">AQ25</f>
        <v>28</v>
      </c>
      <c r="AT26" s="2"/>
      <c r="AU26" s="2">
        <f>D$10/(A$14-D$15)</f>
        <v>76.92307692307692</v>
      </c>
      <c r="AV26" s="134">
        <f>ROUNDUP(AU26,2)</f>
        <v>76.930000000000007</v>
      </c>
      <c r="AW26" s="2"/>
      <c r="AX26" s="2"/>
      <c r="AY26" s="2">
        <f t="shared" si="12"/>
        <v>1</v>
      </c>
      <c r="AZ26" s="2"/>
      <c r="BA26" s="2"/>
      <c r="BB26" s="2"/>
      <c r="BC26" s="2"/>
      <c r="BD26" s="2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164" customFormat="1" ht="15" customHeight="1">
      <c r="A27" s="158">
        <f t="shared" si="13"/>
        <v>3</v>
      </c>
      <c r="B27" s="500">
        <f t="shared" si="14"/>
        <v>42845</v>
      </c>
      <c r="C27" s="501"/>
      <c r="D27" s="502">
        <f>IF(N27=0,IF(N26=1,D25+D26," "),IF(N27=0,0,IF(N28=1,D25,IF(N28=0,D10-D25*(M14-1)," "))))</f>
        <v>40</v>
      </c>
      <c r="E27" s="502"/>
      <c r="F27" s="159">
        <f>IF(N27=0,IF(N26=1,F25+F26," "),IF(M1=1,P27,IF(M1=2,Q27," ")))</f>
        <v>8.6777777777777771</v>
      </c>
      <c r="G27" s="159">
        <v>0</v>
      </c>
      <c r="H27" s="159">
        <f t="shared" si="15"/>
        <v>48.677777777777777</v>
      </c>
      <c r="I27" s="159">
        <f t="shared" si="16"/>
        <v>45.454545454545453</v>
      </c>
      <c r="J27" s="159">
        <f t="shared" si="0"/>
        <v>16.666666666666664</v>
      </c>
      <c r="K27" s="159">
        <v>0</v>
      </c>
      <c r="L27" s="159">
        <f t="shared" si="17"/>
        <v>62.121212121212118</v>
      </c>
      <c r="M27" s="160">
        <f t="shared" si="18"/>
        <v>3</v>
      </c>
      <c r="N27" s="160">
        <f>IF(M1=1,IF(M14&gt;2,1,0),IF(M1=2,IF(M14&gt;2,1,0),0))</f>
        <v>1</v>
      </c>
      <c r="O27" s="160">
        <f>IF(D$14+1=A$14,IF(M27=A$14,IF(DATE(YEAR(0),MONTH(0),DAY(D$16)-1)&gt;AR27,DATE(YEAR(0),MONTH(0),DAY(D$16)-1),AR27),AR27),IF(M27=A$14,IF(DATE(YEAR(0),MONTH(0),DAY(D$16)-1)&lt;AR27,DATE(YEAR(0),MONTH(0),DAY(D$16)-1),AR27),AR27))</f>
        <v>20</v>
      </c>
      <c r="P27" s="161">
        <f t="shared" si="19"/>
        <v>15.777777777777777</v>
      </c>
      <c r="Q27" s="161">
        <f t="shared" si="19"/>
        <v>8.6777777777777771</v>
      </c>
      <c r="R27" s="161">
        <f>IF(N27=0,0,R26-D26)</f>
        <v>920</v>
      </c>
      <c r="S27" s="161">
        <f t="shared" si="21"/>
        <v>45.454545454545453</v>
      </c>
      <c r="T27" s="161">
        <f t="shared" ref="T27:T85" si="29">S27</f>
        <v>45.454545454545453</v>
      </c>
      <c r="U27" s="161">
        <f>IF(N28=1,R26*E11*20/36000+R27*E11*10/36000,IF(N28=0,IF(N27=0,0,R27*E11*Q12/36000+R26*E11*20/36000+R27*E11*10/36000)))</f>
        <v>15.777777777777777</v>
      </c>
      <c r="V27" s="161">
        <f>((R26*D11*20/36000+R27*D11*10/36000)*S16)+((R26*E11*20/36000+R27*E11*10/36000)*S17)</f>
        <v>8.6777777777777771</v>
      </c>
      <c r="W27" s="161">
        <f t="shared" ref="W27:W71" si="30">IF(N28=1,$D$10*$E$11*20/36000+$D$10*$E$11*10/36000,IF(N28=0,IF(N27=0,0,$D$10*$E$11*$Q$12/36000+$D$10*$E$11*20/36000+$D$10*$E$11*10/36000)))</f>
        <v>16.666666666666664</v>
      </c>
      <c r="X27" s="161">
        <f t="shared" si="22"/>
        <v>20</v>
      </c>
      <c r="Y27" s="161">
        <f t="shared" si="2"/>
        <v>1000</v>
      </c>
      <c r="Z27" s="161">
        <f>IF(N28=1,Y26*E$11*20/36000+Y27*E$11*10/36000,IF(N28=0,IF(N27=0,0,Y27*E$11*Q$12/36000+Y26*E$11*20/36000+Y27*E$11*10/36000)))</f>
        <v>16.666666666666664</v>
      </c>
      <c r="AA27" s="161">
        <f t="shared" si="23"/>
        <v>16.666666666666664</v>
      </c>
      <c r="AB27" s="161">
        <f>IF(R28=0,R27*Q12,(R26*20+R27*10))</f>
        <v>28400</v>
      </c>
      <c r="AC27" s="161">
        <f t="shared" si="3"/>
        <v>0</v>
      </c>
      <c r="AD27" s="161">
        <f t="shared" si="3"/>
        <v>0</v>
      </c>
      <c r="AE27" s="161">
        <f t="shared" si="24"/>
        <v>0</v>
      </c>
      <c r="AF27" s="161">
        <f t="shared" si="4"/>
        <v>0</v>
      </c>
      <c r="AG27" s="161">
        <f t="shared" si="25"/>
        <v>0</v>
      </c>
      <c r="AH27" s="161">
        <f t="shared" si="5"/>
        <v>0</v>
      </c>
      <c r="AI27" s="161">
        <f t="shared" si="6"/>
        <v>920</v>
      </c>
      <c r="AJ27" s="161">
        <f>IF(N28=1,AI26*G12*20/36000+AI27*G12*10/36000,IF(N28=0,IF(N27=0,0,AI27*G12*Q12/36000+AI26*G12*20/36000+AI27*G12*10/36000)))</f>
        <v>0</v>
      </c>
      <c r="AK27" s="161">
        <f>IF(N28=1,AI26*G12*20/36000+AI27*G12*10/36000,IF(N28=0,IF(N27=0,0,AI27*G12*Q12/36000+AI26*G12*20/36000+AI27*G12*10/36000)))</f>
        <v>0</v>
      </c>
      <c r="AL27" s="162">
        <f t="shared" si="26"/>
        <v>4</v>
      </c>
      <c r="AM27" s="162">
        <f t="shared" si="7"/>
        <v>4</v>
      </c>
      <c r="AN27" s="160">
        <f t="shared" si="27"/>
        <v>2017</v>
      </c>
      <c r="AO27" s="160">
        <f t="shared" si="8"/>
        <v>2017</v>
      </c>
      <c r="AP27" s="160">
        <f t="shared" si="9"/>
        <v>0</v>
      </c>
      <c r="AQ27" s="160">
        <f t="shared" si="10"/>
        <v>30</v>
      </c>
      <c r="AR27" s="160">
        <f t="shared" si="11"/>
        <v>20</v>
      </c>
      <c r="AS27" s="160">
        <f t="shared" si="28"/>
        <v>30</v>
      </c>
      <c r="AT27" s="160"/>
      <c r="AU27" s="160"/>
      <c r="AV27" s="160"/>
      <c r="AW27" s="160"/>
      <c r="AX27" s="160"/>
      <c r="AY27" s="160">
        <f t="shared" si="12"/>
        <v>1</v>
      </c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  <c r="CG27" s="163"/>
      <c r="CH27" s="163"/>
      <c r="CI27" s="163"/>
      <c r="CJ27" s="163"/>
      <c r="CK27" s="163"/>
      <c r="CL27" s="163"/>
      <c r="CM27" s="163"/>
      <c r="CN27" s="163"/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3"/>
      <c r="DE27" s="163"/>
      <c r="DF27" s="163"/>
      <c r="DG27" s="163"/>
      <c r="DH27" s="163"/>
      <c r="DI27" s="163"/>
      <c r="DJ27" s="163"/>
      <c r="DK27" s="163"/>
      <c r="DL27" s="163"/>
      <c r="DM27" s="163"/>
      <c r="DN27" s="163"/>
      <c r="DO27" s="163"/>
      <c r="DP27" s="163"/>
      <c r="DQ27" s="163"/>
      <c r="DR27" s="163"/>
      <c r="DS27" s="163"/>
      <c r="DT27" s="163"/>
      <c r="DU27" s="163"/>
      <c r="DV27" s="163"/>
      <c r="DW27" s="163"/>
      <c r="DX27" s="163"/>
      <c r="DY27" s="163"/>
      <c r="DZ27" s="163"/>
      <c r="EA27" s="163"/>
      <c r="EB27" s="163"/>
      <c r="EC27" s="163"/>
      <c r="ED27" s="163"/>
      <c r="EE27" s="163"/>
      <c r="EF27" s="163"/>
      <c r="EG27" s="163"/>
      <c r="EH27" s="163"/>
      <c r="EI27" s="163"/>
      <c r="EJ27" s="163"/>
      <c r="EK27" s="163"/>
    </row>
    <row r="28" spans="1:141" s="24" customFormat="1" ht="15" customHeight="1">
      <c r="A28" s="4">
        <f t="shared" si="13"/>
        <v>4</v>
      </c>
      <c r="B28" s="268">
        <f>IF(N28=0,IF(N27=1,"ИТОГО"," "),IF(A$14=D$14+1,IF(M28=A$14,IF(MONTH(B27)=2,IF(DAY(D$16)&gt;29,DATE(YEAR(B27),MONTH(B27),AS28),DATE(YEAR(B27),MONTH(B27),O28)),DATE(YEAR(B27),MONTH(B27),O28)),DATE(YEAR(B27),MONTH(B27)+1,O28)),DATE(YEAR(B27),MONTH(B27)+1,O28)))</f>
        <v>42875</v>
      </c>
      <c r="C28" s="401"/>
      <c r="D28" s="269">
        <f>IF(N28=0,IF(N27=1,D25+D26+D27," "),IF(N28=0,0,IF(N29=1,D25,IF(N29=0,D10-D25*(M14-1)," "))))</f>
        <v>40</v>
      </c>
      <c r="E28" s="269"/>
      <c r="F28" s="87">
        <f>IF(N28=0,IF(N27=1,F25+F26+F27," "),IF(M1=1,P28,IF(M1=2,Q28," ")))</f>
        <v>15.111111111111111</v>
      </c>
      <c r="G28" s="87">
        <v>0</v>
      </c>
      <c r="H28" s="87">
        <f t="shared" si="15"/>
        <v>55.111111111111114</v>
      </c>
      <c r="I28" s="87">
        <f t="shared" si="16"/>
        <v>47.61904761904762</v>
      </c>
      <c r="J28" s="87">
        <f t="shared" si="0"/>
        <v>16.666666666666664</v>
      </c>
      <c r="K28" s="87">
        <v>0</v>
      </c>
      <c r="L28" s="87">
        <f t="shared" si="17"/>
        <v>64.285714285714278</v>
      </c>
      <c r="M28" s="2">
        <f t="shared" si="18"/>
        <v>4</v>
      </c>
      <c r="N28" s="2">
        <f>IF(M1=1,IF(M14&gt;3,1,0),IF(M1=2,IF(M14&gt;3,1,0),0))</f>
        <v>1</v>
      </c>
      <c r="O28" s="2">
        <f t="shared" si="1"/>
        <v>20</v>
      </c>
      <c r="P28" s="134">
        <f t="shared" si="19"/>
        <v>15.111111111111111</v>
      </c>
      <c r="Q28" s="134">
        <f t="shared" si="19"/>
        <v>15.111111111111111</v>
      </c>
      <c r="R28" s="134">
        <f t="shared" si="20"/>
        <v>880</v>
      </c>
      <c r="S28" s="134">
        <f t="shared" si="21"/>
        <v>47.61904761904762</v>
      </c>
      <c r="T28" s="134">
        <f t="shared" si="29"/>
        <v>47.61904761904762</v>
      </c>
      <c r="U28" s="134">
        <f>IF(N29=1,R27*E11*20/36000+R28*E11*10/36000,IF(N29=0,IF(N28=0,0,R28*E11*Q12/36000+R27*E11*20/36000+R28*E11*10/36000)))</f>
        <v>15.111111111111111</v>
      </c>
      <c r="V28" s="134">
        <f>IF(N29=1,R27*E11*20/36000+R28*E11*10/36000,IF(N29=0,IF(N28=0,0,R28*E11*Q12/36000+R27*E11*20/36000+R28*E11*10/36000)))</f>
        <v>15.111111111111111</v>
      </c>
      <c r="W28" s="134">
        <f t="shared" si="30"/>
        <v>16.666666666666664</v>
      </c>
      <c r="X28" s="134">
        <f t="shared" si="22"/>
        <v>20</v>
      </c>
      <c r="Y28" s="134">
        <f t="shared" si="2"/>
        <v>1000</v>
      </c>
      <c r="Z28" s="134">
        <f>IF(N29=1,Y27*E$11*20/36000+Y28*E$11*10/36000,IF(N29=0,IF(N28=0,0,Y28*E$11*Q$12/36000+Y27*E$11*20/36000+Y28*E$11*10/36000)))</f>
        <v>16.666666666666664</v>
      </c>
      <c r="AA28" s="134">
        <f t="shared" si="23"/>
        <v>16.666666666666664</v>
      </c>
      <c r="AB28" s="134">
        <f>IF(R29=0,R28*Q12,(R27*20+R28*10))</f>
        <v>27200</v>
      </c>
      <c r="AC28" s="134">
        <f t="shared" si="3"/>
        <v>0</v>
      </c>
      <c r="AD28" s="134">
        <f t="shared" si="3"/>
        <v>0</v>
      </c>
      <c r="AE28" s="134">
        <f t="shared" si="24"/>
        <v>0</v>
      </c>
      <c r="AF28" s="134">
        <f t="shared" si="4"/>
        <v>0</v>
      </c>
      <c r="AG28" s="134">
        <f t="shared" si="25"/>
        <v>0</v>
      </c>
      <c r="AH28" s="134">
        <f t="shared" si="5"/>
        <v>0</v>
      </c>
      <c r="AI28" s="134">
        <f t="shared" si="6"/>
        <v>880</v>
      </c>
      <c r="AJ28" s="134">
        <f>IF(N29=1,AI27*G12*20/36000+AI28*G12*10/36000,IF(N29=0,IF(N28=0,0,AI28*G12*Q12/36000+AI27*G12*20/36000+AI28*G12*10/36000)))</f>
        <v>0</v>
      </c>
      <c r="AK28" s="134">
        <f>IF(N29=1,AI27*G12*20/36000+AI28*G12*10/36000,IF(N29=0,IF(N28=0,0,AI28*G12*Q12/36000+AI27*G12*20/36000+AI28*G12*10/36000)))</f>
        <v>0</v>
      </c>
      <c r="AL28" s="132">
        <f t="shared" si="26"/>
        <v>5</v>
      </c>
      <c r="AM28" s="132">
        <f t="shared" si="7"/>
        <v>5</v>
      </c>
      <c r="AN28" s="2">
        <f t="shared" si="27"/>
        <v>2017</v>
      </c>
      <c r="AO28" s="2">
        <f t="shared" si="8"/>
        <v>2017</v>
      </c>
      <c r="AP28" s="2">
        <f t="shared" si="9"/>
        <v>0</v>
      </c>
      <c r="AQ28" s="2">
        <f t="shared" si="10"/>
        <v>30</v>
      </c>
      <c r="AR28" s="2">
        <f t="shared" si="11"/>
        <v>20</v>
      </c>
      <c r="AS28" s="2">
        <f t="shared" si="28"/>
        <v>30</v>
      </c>
      <c r="AT28" s="2"/>
      <c r="AU28" s="2"/>
      <c r="AV28" s="2"/>
      <c r="AW28" s="2"/>
      <c r="AX28" s="2"/>
      <c r="AY28" s="2">
        <f t="shared" si="12"/>
        <v>1</v>
      </c>
      <c r="AZ28" s="2"/>
      <c r="BA28" s="2"/>
      <c r="BB28" s="2"/>
      <c r="BC28" s="2"/>
      <c r="BD28" s="2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3"/>
        <v>5</v>
      </c>
      <c r="B29" s="268">
        <f t="shared" si="14"/>
        <v>42906</v>
      </c>
      <c r="C29" s="401"/>
      <c r="D29" s="269">
        <f>IF(N29=0,IF(N28=1,D25+D26+D27+D28," "),IF(N29=0,0,IF(N30=1,D25,IF(N30=0,D10-D25*(M14-1)," "))))</f>
        <v>40</v>
      </c>
      <c r="E29" s="269"/>
      <c r="F29" s="87">
        <f>IF(N29=0,IF(N28=1,F25+F26+F27+F28," "),IF(M1=1,P29,IF(M1=2,Q29," ")))</f>
        <v>14.444444444444446</v>
      </c>
      <c r="G29" s="87">
        <v>0</v>
      </c>
      <c r="H29" s="87">
        <f t="shared" si="15"/>
        <v>54.444444444444443</v>
      </c>
      <c r="I29" s="87">
        <f t="shared" si="16"/>
        <v>50</v>
      </c>
      <c r="J29" s="87">
        <f t="shared" si="0"/>
        <v>16.666666666666664</v>
      </c>
      <c r="K29" s="87">
        <v>0</v>
      </c>
      <c r="L29" s="87">
        <f t="shared" si="17"/>
        <v>66.666666666666657</v>
      </c>
      <c r="M29" s="2">
        <f t="shared" si="18"/>
        <v>5</v>
      </c>
      <c r="N29" s="2">
        <f>IF(M1=1,IF(M14&gt;4,1,0),IF(M1=2,IF(M14&gt;4,1,0),0))</f>
        <v>1</v>
      </c>
      <c r="O29" s="2">
        <f t="shared" si="1"/>
        <v>20</v>
      </c>
      <c r="P29" s="134">
        <f t="shared" si="19"/>
        <v>14.444444444444446</v>
      </c>
      <c r="Q29" s="134">
        <f t="shared" si="19"/>
        <v>14.444444444444446</v>
      </c>
      <c r="R29" s="134">
        <f t="shared" si="20"/>
        <v>840</v>
      </c>
      <c r="S29" s="134">
        <f t="shared" si="21"/>
        <v>50</v>
      </c>
      <c r="T29" s="134">
        <f t="shared" si="29"/>
        <v>50</v>
      </c>
      <c r="U29" s="134">
        <f>IF(N30=1,R28*E11*20/36000+R29*E11*10/36000,IF(N30=0,IF(N29=0,0,R29*E11*Q12/36000+R28*E11*20/36000+R29*E11*10/36000)))</f>
        <v>14.444444444444446</v>
      </c>
      <c r="V29" s="134">
        <f>IF(N30=1,R28*E11*20/36000+R29*E11*10/36000,IF(N30=0,IF(N29=0,0,R29*E11*Q12/36000+R28*E11*20/36000+R29*E11*10/36000)))</f>
        <v>14.444444444444446</v>
      </c>
      <c r="W29" s="134">
        <f t="shared" si="30"/>
        <v>16.666666666666664</v>
      </c>
      <c r="X29" s="134">
        <f t="shared" si="22"/>
        <v>20</v>
      </c>
      <c r="Y29" s="134">
        <f t="shared" si="2"/>
        <v>1000</v>
      </c>
      <c r="Z29" s="134">
        <f>IF(N30=1,Y28*E$11*20/36000+Y29*E$11*10/36000,IF(N30=0,IF(N29=0,0,Y29*E$11*Q$12/36000+Y28*E$11*20/36000+Y29*E$11*10/36000)))</f>
        <v>16.666666666666664</v>
      </c>
      <c r="AA29" s="134">
        <f t="shared" si="23"/>
        <v>16.666666666666664</v>
      </c>
      <c r="AB29" s="134">
        <f>IF(R30=0,R29*Q12,(R28*20+R29*10))</f>
        <v>26000</v>
      </c>
      <c r="AC29" s="134">
        <f t="shared" si="3"/>
        <v>0</v>
      </c>
      <c r="AD29" s="134">
        <f t="shared" si="3"/>
        <v>0</v>
      </c>
      <c r="AE29" s="134">
        <f t="shared" si="24"/>
        <v>0</v>
      </c>
      <c r="AF29" s="134">
        <f t="shared" si="4"/>
        <v>0</v>
      </c>
      <c r="AG29" s="134">
        <f t="shared" si="25"/>
        <v>0</v>
      </c>
      <c r="AH29" s="134">
        <f t="shared" si="5"/>
        <v>0</v>
      </c>
      <c r="AI29" s="134">
        <f t="shared" si="6"/>
        <v>840</v>
      </c>
      <c r="AJ29" s="134">
        <f>IF(N30=1,AI28*G12*20/36000+AI29*G12*10/36000,IF(N30=0,IF(N29=0,0,AI29*G12*Q12/36000+AI28*G12*20/36000+AI29*G12*10/36000)))</f>
        <v>0</v>
      </c>
      <c r="AK29" s="134">
        <f>IF(N30=1,AI28*G12*20/36000+AI29*G12*10/36000,IF(N30=0,IF(N29=0,0,AI29*G12*Q12/36000+AI28*G12*20/36000+AI29*G12*10/36000)))</f>
        <v>0</v>
      </c>
      <c r="AL29" s="132">
        <f t="shared" si="26"/>
        <v>6</v>
      </c>
      <c r="AM29" s="132">
        <f t="shared" si="7"/>
        <v>6</v>
      </c>
      <c r="AN29" s="2">
        <f t="shared" si="27"/>
        <v>2017</v>
      </c>
      <c r="AO29" s="2">
        <f t="shared" si="8"/>
        <v>2017</v>
      </c>
      <c r="AP29" s="2">
        <f t="shared" si="9"/>
        <v>0</v>
      </c>
      <c r="AQ29" s="2">
        <f t="shared" si="10"/>
        <v>30</v>
      </c>
      <c r="AR29" s="2">
        <f t="shared" si="11"/>
        <v>20</v>
      </c>
      <c r="AS29" s="2">
        <f t="shared" si="28"/>
        <v>30</v>
      </c>
      <c r="AT29" s="2"/>
      <c r="AU29" s="2"/>
      <c r="AV29" s="2"/>
      <c r="AW29" s="2"/>
      <c r="AX29" s="2"/>
      <c r="AY29" s="2">
        <f t="shared" si="12"/>
        <v>1</v>
      </c>
      <c r="AZ29" s="2"/>
      <c r="BA29" s="2"/>
      <c r="BB29" s="2"/>
      <c r="BC29" s="2"/>
      <c r="BD29" s="2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3"/>
        <v>6</v>
      </c>
      <c r="B30" s="268">
        <f t="shared" si="14"/>
        <v>42936</v>
      </c>
      <c r="C30" s="401"/>
      <c r="D30" s="269">
        <f>IF(N30=0,IF(N29=1,D25+D26+D27+D28+D29," "),IF(N30=0,0,IF(N31=1,D25,IF(N31=0,D10-D25*(M14-1)," "))))</f>
        <v>40</v>
      </c>
      <c r="E30" s="269"/>
      <c r="F30" s="87">
        <f>IF(N30=0,IF(N29=1,F25+F26+F27+F28+F29," "),IF(M1=1,P30,IF(M1=2,Q30," ")))</f>
        <v>13.777777777777779</v>
      </c>
      <c r="G30" s="87">
        <v>0</v>
      </c>
      <c r="H30" s="87">
        <f t="shared" si="15"/>
        <v>53.777777777777779</v>
      </c>
      <c r="I30" s="87">
        <f t="shared" si="16"/>
        <v>52.631578947368418</v>
      </c>
      <c r="J30" s="87">
        <f t="shared" si="0"/>
        <v>16.666666666666664</v>
      </c>
      <c r="K30" s="87">
        <v>0</v>
      </c>
      <c r="L30" s="87">
        <f t="shared" si="17"/>
        <v>69.298245614035082</v>
      </c>
      <c r="M30" s="2">
        <f t="shared" si="18"/>
        <v>6</v>
      </c>
      <c r="N30" s="2">
        <f>IF(M1=1,IF(M14&gt;5,1,0),IF(M1=2,IF(M14&gt;5,1,0),0))</f>
        <v>1</v>
      </c>
      <c r="O30" s="2">
        <f t="shared" si="1"/>
        <v>20</v>
      </c>
      <c r="P30" s="134">
        <f t="shared" si="19"/>
        <v>13.777777777777779</v>
      </c>
      <c r="Q30" s="134">
        <f t="shared" si="19"/>
        <v>13.777777777777779</v>
      </c>
      <c r="R30" s="134">
        <f t="shared" si="20"/>
        <v>800</v>
      </c>
      <c r="S30" s="134">
        <f t="shared" si="21"/>
        <v>52.631578947368418</v>
      </c>
      <c r="T30" s="134">
        <f t="shared" si="29"/>
        <v>52.631578947368418</v>
      </c>
      <c r="U30" s="134">
        <f>IF(N31=1,R29*E11*20/36000+R30*E11*10/36000,IF(N31=0,IF(N30=0,0,R30*E11*Q12/36000+R29*E11*20/36000+R30*E11*10/36000)))</f>
        <v>13.777777777777779</v>
      </c>
      <c r="V30" s="134">
        <f>IF(N31=1,R29*E11*20/36000+R30*E11*10/36000,IF(N31=0,IF(N30=0,0,R30*E11*Q12/36000+R29*E11*20/36000+R30*E11*10/36000)))</f>
        <v>13.777777777777779</v>
      </c>
      <c r="W30" s="134">
        <f t="shared" si="30"/>
        <v>16.666666666666664</v>
      </c>
      <c r="X30" s="134">
        <f t="shared" si="22"/>
        <v>20</v>
      </c>
      <c r="Y30" s="134">
        <f t="shared" si="2"/>
        <v>1000</v>
      </c>
      <c r="Z30" s="134">
        <f>IF(N31=1,Y29*E$11*20/36000+Y30*E$11*10/36000,IF(N31=0,IF(N30=0,0,Y30*E$11*Q$12/36000+Y29*E$11*20/36000+Y30*E$11*10/36000)))</f>
        <v>16.666666666666664</v>
      </c>
      <c r="AA30" s="134">
        <f t="shared" si="23"/>
        <v>16.666666666666664</v>
      </c>
      <c r="AB30" s="134">
        <f>IF(R31=0,R30*Q12,(R29*20+R30*10))</f>
        <v>24800</v>
      </c>
      <c r="AC30" s="134">
        <f t="shared" si="3"/>
        <v>0</v>
      </c>
      <c r="AD30" s="134">
        <f t="shared" si="3"/>
        <v>0</v>
      </c>
      <c r="AE30" s="134">
        <f t="shared" si="24"/>
        <v>0</v>
      </c>
      <c r="AF30" s="134">
        <f t="shared" si="4"/>
        <v>0</v>
      </c>
      <c r="AG30" s="134">
        <f t="shared" si="25"/>
        <v>0</v>
      </c>
      <c r="AH30" s="134">
        <f t="shared" si="5"/>
        <v>0</v>
      </c>
      <c r="AI30" s="134">
        <f t="shared" si="6"/>
        <v>800</v>
      </c>
      <c r="AJ30" s="134">
        <f>IF(N31=1,AI29*G12*20/36000+AI30*G12*10/36000,IF(N31=0,IF(N30=0,0,AI30*G12*Q12/36000+AI29*G12*20/36000+AI30*G12*10/36000)))</f>
        <v>0</v>
      </c>
      <c r="AK30" s="134">
        <f>IF(N31=1,AI29*G12*20/36000+AI30*G12*10/36000,IF(N31=0,IF(N30=0,0,AI30*G12*Q12/36000+AI29*G12*20/36000+AI30*G12*10/36000)))</f>
        <v>0</v>
      </c>
      <c r="AL30" s="132">
        <f t="shared" si="26"/>
        <v>7</v>
      </c>
      <c r="AM30" s="132">
        <f t="shared" si="7"/>
        <v>7</v>
      </c>
      <c r="AN30" s="2">
        <f t="shared" si="27"/>
        <v>2017</v>
      </c>
      <c r="AO30" s="2">
        <f t="shared" si="8"/>
        <v>2017</v>
      </c>
      <c r="AP30" s="2">
        <f t="shared" si="9"/>
        <v>0</v>
      </c>
      <c r="AQ30" s="2">
        <f t="shared" si="10"/>
        <v>30</v>
      </c>
      <c r="AR30" s="2">
        <f t="shared" si="11"/>
        <v>20</v>
      </c>
      <c r="AS30" s="2">
        <f t="shared" si="28"/>
        <v>30</v>
      </c>
      <c r="AT30" s="2"/>
      <c r="AU30" s="2"/>
      <c r="AV30" s="2"/>
      <c r="AW30" s="2"/>
      <c r="AX30" s="2"/>
      <c r="AY30" s="2">
        <f t="shared" si="12"/>
        <v>1</v>
      </c>
      <c r="AZ30" s="2"/>
      <c r="BA30" s="2"/>
      <c r="BB30" s="2"/>
      <c r="BC30" s="2"/>
      <c r="BD30" s="2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3"/>
        <v>7</v>
      </c>
      <c r="B31" s="268">
        <f t="shared" si="14"/>
        <v>42967</v>
      </c>
      <c r="C31" s="401"/>
      <c r="D31" s="269">
        <f>IF(N31=0,IF(N30=1,D25+D26+D27+D28+D29+D30," "),IF(N31=0," ",IF(N32=1,D25,IF(N32=0,D10-D25*(M14-1)," "))))</f>
        <v>40</v>
      </c>
      <c r="E31" s="269"/>
      <c r="F31" s="87">
        <f>IF(N31=0,IF(N30=1,F25+F26+F27+F28+F29+F30," "),IF(M1=1,P31,IF(M1=2,Q31," ")))</f>
        <v>13.111111111111111</v>
      </c>
      <c r="G31" s="87">
        <v>0</v>
      </c>
      <c r="H31" s="87">
        <f t="shared" si="15"/>
        <v>53.111111111111114</v>
      </c>
      <c r="I31" s="87">
        <f t="shared" si="16"/>
        <v>55.555555555555557</v>
      </c>
      <c r="J31" s="87">
        <f t="shared" si="0"/>
        <v>16.666666666666664</v>
      </c>
      <c r="K31" s="87">
        <v>0</v>
      </c>
      <c r="L31" s="87">
        <f t="shared" si="17"/>
        <v>72.222222222222229</v>
      </c>
      <c r="M31" s="2">
        <f t="shared" si="18"/>
        <v>7</v>
      </c>
      <c r="N31" s="2">
        <f>IF(M1=1,IF(M14&gt;6,1,0),IF(M1=2,IF(M14&gt;6,1,0),0))</f>
        <v>1</v>
      </c>
      <c r="O31" s="2">
        <f t="shared" si="1"/>
        <v>20</v>
      </c>
      <c r="P31" s="134">
        <f t="shared" si="19"/>
        <v>13.111111111111111</v>
      </c>
      <c r="Q31" s="134">
        <f t="shared" si="19"/>
        <v>13.111111111111111</v>
      </c>
      <c r="R31" s="134">
        <f t="shared" si="20"/>
        <v>760</v>
      </c>
      <c r="S31" s="134">
        <f t="shared" si="21"/>
        <v>55.555555555555557</v>
      </c>
      <c r="T31" s="134">
        <f t="shared" si="29"/>
        <v>55.555555555555557</v>
      </c>
      <c r="U31" s="134">
        <f>IF(N32=1,R30*E$11*20/36000+R31*E$11*10/36000,IF(N32=0,IF(N31=0,0,IF(D$16&gt;20,R30*E$11*20/36000+R31*E$11*(Q$12-20)/36000,R31*E$11*Q$12/36000))))</f>
        <v>13.111111111111111</v>
      </c>
      <c r="V31" s="134">
        <f>IF(N32=1,R30*E$11*20/36000+R31*E$11*10/36000,IF(N32=0,IF(N31=0,0,IF(D$16&gt;20,R30*E$11*20/36000+R31*E$11*(Q$12-20)/36000,R31*E$11*Q$12/36000))))</f>
        <v>13.111111111111111</v>
      </c>
      <c r="W31" s="134">
        <f t="shared" si="30"/>
        <v>16.666666666666664</v>
      </c>
      <c r="X31" s="134">
        <f t="shared" si="22"/>
        <v>20</v>
      </c>
      <c r="Y31" s="134">
        <f t="shared" si="2"/>
        <v>1000</v>
      </c>
      <c r="Z31" s="134">
        <f t="shared" ref="Z31:Z73" si="31">IF(N32=1,Y30*E$11*20/36000+Y31*E$11*10/36000,IF(N32=0,IF(N31=0,0,IF(D$16&gt;20,Y30*E$11*20/36000+Y31*E$11*(Q$12-20)/36000,Y31*E$11*Q$12/36000))))</f>
        <v>16.666666666666664</v>
      </c>
      <c r="AA31" s="134">
        <f t="shared" si="23"/>
        <v>16.666666666666664</v>
      </c>
      <c r="AB31" s="134">
        <f>IF(R32=0,R31*Q12,(R30*20+R31*10))</f>
        <v>23600</v>
      </c>
      <c r="AC31" s="134">
        <f t="shared" si="3"/>
        <v>0</v>
      </c>
      <c r="AD31" s="134">
        <f t="shared" si="3"/>
        <v>0</v>
      </c>
      <c r="AE31" s="134">
        <f t="shared" si="24"/>
        <v>0</v>
      </c>
      <c r="AF31" s="134">
        <f t="shared" si="4"/>
        <v>0</v>
      </c>
      <c r="AG31" s="134">
        <f t="shared" si="25"/>
        <v>0</v>
      </c>
      <c r="AH31" s="134">
        <f t="shared" si="5"/>
        <v>0</v>
      </c>
      <c r="AI31" s="134">
        <f t="shared" si="6"/>
        <v>760</v>
      </c>
      <c r="AJ31" s="134">
        <f>IF(N32=1,AI30*G$12*20/36000+AI31*G$12*10/36000,IF(N32=0,IF(N31=0,0,AI31*G$12*Q$12/36000)))</f>
        <v>0</v>
      </c>
      <c r="AK31" s="134">
        <f>IF(N32=1,AI30*G$12*20/36000+AI31*G$12*10/36000,IF(N32=0,IF(N31=0,0,AI31*G$12*Q$12/36000)))</f>
        <v>0</v>
      </c>
      <c r="AL31" s="132">
        <f t="shared" si="26"/>
        <v>8</v>
      </c>
      <c r="AM31" s="132">
        <f t="shared" si="7"/>
        <v>8</v>
      </c>
      <c r="AN31" s="2">
        <f t="shared" si="27"/>
        <v>2017</v>
      </c>
      <c r="AO31" s="2">
        <f t="shared" si="8"/>
        <v>2017</v>
      </c>
      <c r="AP31" s="2">
        <f t="shared" si="9"/>
        <v>0</v>
      </c>
      <c r="AQ31" s="2">
        <f t="shared" si="10"/>
        <v>30</v>
      </c>
      <c r="AR31" s="2">
        <f t="shared" si="11"/>
        <v>20</v>
      </c>
      <c r="AS31" s="2">
        <f t="shared" si="28"/>
        <v>30</v>
      </c>
      <c r="AT31" s="2"/>
      <c r="AU31" s="2"/>
      <c r="AV31" s="2"/>
      <c r="AW31" s="2"/>
      <c r="AX31" s="2"/>
      <c r="AY31" s="2">
        <f t="shared" si="12"/>
        <v>1</v>
      </c>
      <c r="AZ31" s="2"/>
      <c r="BA31" s="2"/>
      <c r="BB31" s="2"/>
      <c r="BC31" s="2"/>
      <c r="BD31" s="2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3"/>
        <v>8</v>
      </c>
      <c r="B32" s="268">
        <f t="shared" si="14"/>
        <v>42998</v>
      </c>
      <c r="C32" s="401"/>
      <c r="D32" s="269">
        <f>IF(N32=0,IF(N31=1,D25+D26+D27+D28+D29+D30+D31," "),IF(N32=0," ",IF(N33=1,D25,IF(N33=0,D10-D25*(M14-1)," "))))</f>
        <v>40</v>
      </c>
      <c r="E32" s="269"/>
      <c r="F32" s="87">
        <f>IF(N32=0,IF(N31=1,F25+F26+F27+F28+F29+F30+F31," "),IF(M1=1,P32,IF(M1=2,Q32," ")))</f>
        <v>12.444444444444445</v>
      </c>
      <c r="G32" s="87">
        <v>0</v>
      </c>
      <c r="H32" s="87">
        <f t="shared" si="15"/>
        <v>52.444444444444443</v>
      </c>
      <c r="I32" s="87">
        <f t="shared" si="16"/>
        <v>58.823529411764703</v>
      </c>
      <c r="J32" s="87">
        <f t="shared" si="0"/>
        <v>16.666666666666664</v>
      </c>
      <c r="K32" s="87">
        <v>0</v>
      </c>
      <c r="L32" s="87">
        <f t="shared" si="17"/>
        <v>75.490196078431367</v>
      </c>
      <c r="M32" s="2">
        <f t="shared" si="18"/>
        <v>8</v>
      </c>
      <c r="N32" s="2">
        <f>IF(M1=1,IF(M14&gt;7,1,0),IF(M1=2,IF(M14&gt;7,1,0),0))</f>
        <v>1</v>
      </c>
      <c r="O32" s="2">
        <f t="shared" si="1"/>
        <v>20</v>
      </c>
      <c r="P32" s="134">
        <f t="shared" si="19"/>
        <v>12.444444444444445</v>
      </c>
      <c r="Q32" s="134">
        <f t="shared" si="19"/>
        <v>12.444444444444445</v>
      </c>
      <c r="R32" s="134">
        <f t="shared" si="20"/>
        <v>720</v>
      </c>
      <c r="S32" s="134">
        <f t="shared" si="21"/>
        <v>58.823529411764703</v>
      </c>
      <c r="T32" s="134">
        <f t="shared" si="29"/>
        <v>58.823529411764703</v>
      </c>
      <c r="U32" s="134">
        <f>IF(N33=1,R31*E$11*20/36000+R32*E$11*10/36000,IF(N33=0,IF(N32=0,0,IF(D$16&gt;20,R31*E$11*20/36000+R32*E$11*(Q$12-20)/36000,R32*E$11*Q$12/36000))))</f>
        <v>12.444444444444445</v>
      </c>
      <c r="V32" s="134">
        <f>IF(N33=1,R31*E$11*20/36000+R32*E$11*10/36000,IF(N33=0,IF(N32=0,0,IF(D$16&gt;20,R31*E$11*20/36000+R32*E$11*(Q$12-20)/36000,R32*E$11*Q$12/36000))))</f>
        <v>12.444444444444445</v>
      </c>
      <c r="W32" s="134">
        <f t="shared" si="30"/>
        <v>16.666666666666664</v>
      </c>
      <c r="X32" s="134">
        <f t="shared" si="22"/>
        <v>20</v>
      </c>
      <c r="Y32" s="134">
        <f t="shared" si="2"/>
        <v>1000</v>
      </c>
      <c r="Z32" s="134">
        <f t="shared" si="31"/>
        <v>16.666666666666664</v>
      </c>
      <c r="AA32" s="134">
        <f t="shared" si="23"/>
        <v>16.666666666666664</v>
      </c>
      <c r="AB32" s="134">
        <f>IF(R33=0,R32*Q12,(R31*20+R32*10))</f>
        <v>22400</v>
      </c>
      <c r="AC32" s="134">
        <f t="shared" si="3"/>
        <v>0</v>
      </c>
      <c r="AD32" s="134">
        <f t="shared" si="3"/>
        <v>0</v>
      </c>
      <c r="AE32" s="134">
        <f t="shared" si="24"/>
        <v>0</v>
      </c>
      <c r="AF32" s="134">
        <f t="shared" si="4"/>
        <v>0</v>
      </c>
      <c r="AG32" s="134">
        <f t="shared" si="25"/>
        <v>0</v>
      </c>
      <c r="AH32" s="134">
        <f t="shared" si="5"/>
        <v>0</v>
      </c>
      <c r="AI32" s="134">
        <f t="shared" si="6"/>
        <v>720</v>
      </c>
      <c r="AJ32" s="134">
        <f>IF(N33=1,AI31*G12*20/36000+AI32*G12*10/36000,IF(N33=0,IF(N32=0,0,AI32*G12*Q12/36000+AI31*G12*20/36000+AI32*G12*10/36000)))</f>
        <v>0</v>
      </c>
      <c r="AK32" s="134">
        <f>IF(N33=1,AI31*G12*20/36000+AI32*G12*10/36000,IF(N33=0,IF(N32=0,0,AI32*G12*Q12/36000+AI31*G12*20/36000+AI32*G12*10/36000)))</f>
        <v>0</v>
      </c>
      <c r="AL32" s="132">
        <f t="shared" si="26"/>
        <v>9</v>
      </c>
      <c r="AM32" s="132">
        <f t="shared" si="7"/>
        <v>9</v>
      </c>
      <c r="AN32" s="2">
        <f t="shared" si="27"/>
        <v>2017</v>
      </c>
      <c r="AO32" s="2">
        <f t="shared" si="8"/>
        <v>2017</v>
      </c>
      <c r="AP32" s="2">
        <f t="shared" si="9"/>
        <v>0</v>
      </c>
      <c r="AQ32" s="2">
        <f t="shared" si="10"/>
        <v>30</v>
      </c>
      <c r="AR32" s="2">
        <f t="shared" si="11"/>
        <v>20</v>
      </c>
      <c r="AS32" s="2">
        <f t="shared" si="28"/>
        <v>30</v>
      </c>
      <c r="AT32" s="2"/>
      <c r="AU32" s="2"/>
      <c r="AV32" s="2"/>
      <c r="AW32" s="2"/>
      <c r="AX32" s="2"/>
      <c r="AY32" s="2">
        <f t="shared" si="12"/>
        <v>1</v>
      </c>
      <c r="AZ32" s="2"/>
      <c r="BA32" s="2"/>
      <c r="BB32" s="2"/>
      <c r="BC32" s="2"/>
      <c r="BD32" s="2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3"/>
        <v>9</v>
      </c>
      <c r="B33" s="268">
        <f t="shared" si="14"/>
        <v>43028</v>
      </c>
      <c r="C33" s="401"/>
      <c r="D33" s="269">
        <f>IF(N33=0,IF(N32=1,D25+D26+D27+D28+D29+D30+D31+D32," "),IF(N33=0," ",IF(N34=1,D25,IF(N34=0,D10-D25*(M14-1)," "))))</f>
        <v>40</v>
      </c>
      <c r="E33" s="269"/>
      <c r="F33" s="87">
        <f>IF(N33=0,IF(N32=1,F25+F26+F27+F28+F29+F30+F31+F32," "),IF(M1=1,P33,IF(M1=2,Q33," ")))</f>
        <v>11.777777777777779</v>
      </c>
      <c r="G33" s="87">
        <v>0</v>
      </c>
      <c r="H33" s="87">
        <f t="shared" si="15"/>
        <v>51.777777777777779</v>
      </c>
      <c r="I33" s="87">
        <f t="shared" si="16"/>
        <v>62.5</v>
      </c>
      <c r="J33" s="87">
        <f t="shared" si="0"/>
        <v>16.666666666666664</v>
      </c>
      <c r="K33" s="87">
        <v>0</v>
      </c>
      <c r="L33" s="87">
        <f t="shared" si="17"/>
        <v>79.166666666666657</v>
      </c>
      <c r="M33" s="2">
        <f t="shared" si="18"/>
        <v>9</v>
      </c>
      <c r="N33" s="2">
        <f>IF(M1=1,IF(M14&gt;8,1,0),IF(M1=2,IF(M14&gt;8,1,0),0))</f>
        <v>1</v>
      </c>
      <c r="O33" s="2">
        <f t="shared" si="1"/>
        <v>20</v>
      </c>
      <c r="P33" s="134">
        <f t="shared" si="19"/>
        <v>11.777777777777779</v>
      </c>
      <c r="Q33" s="134">
        <f t="shared" si="19"/>
        <v>11.777777777777779</v>
      </c>
      <c r="R33" s="134">
        <f t="shared" si="20"/>
        <v>680</v>
      </c>
      <c r="S33" s="134">
        <f t="shared" si="21"/>
        <v>62.5</v>
      </c>
      <c r="T33" s="134">
        <f t="shared" si="29"/>
        <v>62.5</v>
      </c>
      <c r="U33" s="134">
        <f>IF(N34=1,R32*E$11*20/36000+R33*E$11*10/36000,IF(N34=0,IF(N33=0,0,IF(D$16&gt;20,R32*E$11*20/36000+R33*E$11*(Q$12-20)/36000,R33*E$11*Q$12/36000))))</f>
        <v>11.777777777777779</v>
      </c>
      <c r="V33" s="134">
        <f>IF(N34=1,R32*E$11*20/36000+R33*E$11*10/36000,IF(N34=0,IF(N33=0,0,IF(D$16&gt;20,R32*E$11*20/36000+R33*E$11*(Q$12-20)/36000,R33*E$11*Q$12/36000))))</f>
        <v>11.777777777777779</v>
      </c>
      <c r="W33" s="134">
        <f t="shared" si="30"/>
        <v>16.666666666666664</v>
      </c>
      <c r="X33" s="134">
        <f t="shared" si="22"/>
        <v>20</v>
      </c>
      <c r="Y33" s="134">
        <f t="shared" si="2"/>
        <v>1000</v>
      </c>
      <c r="Z33" s="134">
        <f t="shared" si="31"/>
        <v>16.666666666666664</v>
      </c>
      <c r="AA33" s="134">
        <f t="shared" si="23"/>
        <v>16.666666666666664</v>
      </c>
      <c r="AB33" s="134">
        <f>IF(R34=0,R33*Q12,(R32*20+R33*10))</f>
        <v>21200</v>
      </c>
      <c r="AC33" s="134">
        <f t="shared" si="3"/>
        <v>0</v>
      </c>
      <c r="AD33" s="134">
        <f t="shared" si="3"/>
        <v>0</v>
      </c>
      <c r="AE33" s="134">
        <f t="shared" si="24"/>
        <v>0</v>
      </c>
      <c r="AF33" s="134">
        <f t="shared" si="4"/>
        <v>0</v>
      </c>
      <c r="AG33" s="134">
        <f t="shared" si="25"/>
        <v>0</v>
      </c>
      <c r="AH33" s="134">
        <f t="shared" si="5"/>
        <v>0</v>
      </c>
      <c r="AI33" s="134">
        <f t="shared" si="6"/>
        <v>680</v>
      </c>
      <c r="AJ33" s="134">
        <f>IF(N34=1,AI32*G12*20/36000+AI33*G12*10/36000,IF(N34=0,IF(N33=0,0,AI33*G12*Q12/36000+AI32*G12*20/36000+AI33*G12*10/36000)))</f>
        <v>0</v>
      </c>
      <c r="AK33" s="134">
        <f>IF(N34=1,AI32*G12*20/36000+AI33*G12*10/36000,IF(N34=0,IF(N33=0,0,AI33*G12*Q12/36000+AI32*G12*20/36000+AI33*G12*10/36000)))</f>
        <v>0</v>
      </c>
      <c r="AL33" s="132">
        <f t="shared" si="26"/>
        <v>10</v>
      </c>
      <c r="AM33" s="132">
        <f t="shared" si="7"/>
        <v>10</v>
      </c>
      <c r="AN33" s="2">
        <f t="shared" si="27"/>
        <v>2017</v>
      </c>
      <c r="AO33" s="2">
        <f t="shared" si="8"/>
        <v>2017</v>
      </c>
      <c r="AP33" s="2">
        <f t="shared" si="9"/>
        <v>0</v>
      </c>
      <c r="AQ33" s="2">
        <f t="shared" si="10"/>
        <v>30</v>
      </c>
      <c r="AR33" s="2">
        <f t="shared" si="11"/>
        <v>20</v>
      </c>
      <c r="AS33" s="2">
        <f t="shared" si="28"/>
        <v>30</v>
      </c>
      <c r="AT33" s="2"/>
      <c r="AU33" s="2"/>
      <c r="AV33" s="2"/>
      <c r="AW33" s="2"/>
      <c r="AX33" s="2"/>
      <c r="AY33" s="2">
        <f t="shared" si="12"/>
        <v>1</v>
      </c>
      <c r="AZ33" s="2"/>
      <c r="BA33" s="2"/>
      <c r="BB33" s="2"/>
      <c r="BC33" s="2"/>
      <c r="BD33" s="2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3"/>
        <v>10</v>
      </c>
      <c r="B34" s="268">
        <f t="shared" si="14"/>
        <v>43059</v>
      </c>
      <c r="C34" s="401"/>
      <c r="D34" s="269">
        <f>IF(N34=0,IF(N33=1,D25+D26+D27+D28+D29+D30+D31+D32+D33," "),IF(N34=0," ",IF(N35=1,D25,IF(N35=0,D10-D25*(M14-1)," "))))</f>
        <v>40</v>
      </c>
      <c r="E34" s="269"/>
      <c r="F34" s="87">
        <f>IF(N34=0,IF(N33=1,F25+F26+F27+F28+F29+F30+F31+F32+F33," "),IF(M1=1,P34,IF(M1=2,Q34," ")))</f>
        <v>11.111111111111111</v>
      </c>
      <c r="G34" s="87">
        <v>0</v>
      </c>
      <c r="H34" s="87">
        <f t="shared" si="15"/>
        <v>51.111111111111114</v>
      </c>
      <c r="I34" s="87">
        <f t="shared" si="16"/>
        <v>66.666666666666671</v>
      </c>
      <c r="J34" s="87">
        <f t="shared" si="0"/>
        <v>16.666666666666664</v>
      </c>
      <c r="K34" s="87">
        <v>0</v>
      </c>
      <c r="L34" s="87">
        <f t="shared" si="17"/>
        <v>83.333333333333343</v>
      </c>
      <c r="M34" s="2">
        <f t="shared" si="18"/>
        <v>10</v>
      </c>
      <c r="N34" s="2">
        <f>IF(M1=1,IF(M14&gt;9,1,0),IF(M1=2,IF(M14&gt;9,1,0),0))</f>
        <v>1</v>
      </c>
      <c r="O34" s="2">
        <f t="shared" si="1"/>
        <v>20</v>
      </c>
      <c r="P34" s="134">
        <f t="shared" si="19"/>
        <v>11.111111111111111</v>
      </c>
      <c r="Q34" s="134">
        <f t="shared" si="19"/>
        <v>11.111111111111111</v>
      </c>
      <c r="R34" s="134">
        <f t="shared" si="20"/>
        <v>640</v>
      </c>
      <c r="S34" s="134">
        <f t="shared" si="21"/>
        <v>66.666666666666671</v>
      </c>
      <c r="T34" s="134">
        <f t="shared" si="29"/>
        <v>66.666666666666671</v>
      </c>
      <c r="U34" s="134">
        <f>IF(N35=1,R33*E$11*20/36000+R34*E$11*10/36000,IF(N35=0,IF(N34=0,0,IF(D$16&gt;20,R33*E$11*20/36000+R34*E$11*(Q$12-20)/36000,R34*E$11*Q$12/36000))))</f>
        <v>11.111111111111111</v>
      </c>
      <c r="V34" s="134">
        <f>IF(N35=1,R33*E$11*20/36000+R34*E$11*10/36000,IF(N35=0,IF(N34=0,0,IF(D$16&gt;20,R33*E$11*20/36000+R34*E$11*(Q$12-20)/36000,R34*E$11*Q$12/36000))))</f>
        <v>11.111111111111111</v>
      </c>
      <c r="W34" s="134">
        <f t="shared" si="30"/>
        <v>16.666666666666664</v>
      </c>
      <c r="X34" s="134">
        <f t="shared" si="22"/>
        <v>20</v>
      </c>
      <c r="Y34" s="134">
        <f t="shared" si="2"/>
        <v>1000</v>
      </c>
      <c r="Z34" s="134">
        <f t="shared" si="31"/>
        <v>16.666666666666664</v>
      </c>
      <c r="AA34" s="134">
        <f t="shared" si="23"/>
        <v>16.666666666666664</v>
      </c>
      <c r="AB34" s="134">
        <f>IF(R35=0,R34*Q12,(R33*20+R34*10))</f>
        <v>20000</v>
      </c>
      <c r="AC34" s="134">
        <f t="shared" si="3"/>
        <v>0</v>
      </c>
      <c r="AD34" s="134">
        <f t="shared" si="3"/>
        <v>0</v>
      </c>
      <c r="AE34" s="134">
        <f t="shared" si="24"/>
        <v>0</v>
      </c>
      <c r="AF34" s="134">
        <f t="shared" si="4"/>
        <v>0</v>
      </c>
      <c r="AG34" s="134">
        <f t="shared" si="25"/>
        <v>0</v>
      </c>
      <c r="AH34" s="134">
        <f t="shared" si="5"/>
        <v>0</v>
      </c>
      <c r="AI34" s="134">
        <f t="shared" si="6"/>
        <v>640</v>
      </c>
      <c r="AJ34" s="134">
        <f>IF(N35=1,AI33*G12*20/36000+AI34*G12*10/36000,IF(N35=0,IF(N34=0,0,AI34*G12*Q12/36000+29*G12*20/36000+AI34*G12*10/36000)))</f>
        <v>0</v>
      </c>
      <c r="AK34" s="134">
        <f>IF(N35=1,AI33*G12*20/36000+AI34*G12*10/36000,IF(N35=0,IF(N34=0,0,AI34*G12*Q12/36000+29*G12*20/36000+AI34*G12*10/36000)))</f>
        <v>0</v>
      </c>
      <c r="AL34" s="132">
        <f t="shared" si="26"/>
        <v>11</v>
      </c>
      <c r="AM34" s="132">
        <f t="shared" si="7"/>
        <v>11</v>
      </c>
      <c r="AN34" s="2">
        <f t="shared" si="27"/>
        <v>2017</v>
      </c>
      <c r="AO34" s="2">
        <f t="shared" si="8"/>
        <v>2017</v>
      </c>
      <c r="AP34" s="2">
        <f t="shared" si="9"/>
        <v>0</v>
      </c>
      <c r="AQ34" s="2">
        <f t="shared" si="10"/>
        <v>30</v>
      </c>
      <c r="AR34" s="2">
        <f t="shared" si="11"/>
        <v>20</v>
      </c>
      <c r="AS34" s="2">
        <f t="shared" si="28"/>
        <v>30</v>
      </c>
      <c r="AT34" s="2"/>
      <c r="AU34" s="2"/>
      <c r="AV34" s="2"/>
      <c r="AW34" s="2"/>
      <c r="AX34" s="2"/>
      <c r="AY34" s="2">
        <f t="shared" si="12"/>
        <v>1</v>
      </c>
      <c r="AZ34" s="2"/>
      <c r="BA34" s="2"/>
      <c r="BB34" s="2"/>
      <c r="BC34" s="2"/>
      <c r="BD34" s="2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3"/>
        <v>11</v>
      </c>
      <c r="B35" s="268">
        <f t="shared" si="14"/>
        <v>43089</v>
      </c>
      <c r="C35" s="401"/>
      <c r="D35" s="269">
        <f>IF(N35=0,IF(N34=1,D25+D26+D27+D28+D29+D30+D31+D32+D33+D34," "),IF(N35=0," ",IF(N36=1,D25,IF(N36=0,D10-D25*(M14-1)," "))))</f>
        <v>40</v>
      </c>
      <c r="E35" s="269"/>
      <c r="F35" s="87">
        <f>IF(N35=0,IF(N34=1,F25+F26+F27+F28+F29+F30+F31+F32+F33+F34," "),IF(M1=1,P35,IF(M1=2,Q35," ")))</f>
        <v>10.444444444444445</v>
      </c>
      <c r="G35" s="87">
        <v>0</v>
      </c>
      <c r="H35" s="87">
        <f t="shared" si="15"/>
        <v>50.444444444444443</v>
      </c>
      <c r="I35" s="87">
        <f t="shared" si="16"/>
        <v>71.428571428571431</v>
      </c>
      <c r="J35" s="87">
        <f t="shared" si="0"/>
        <v>16.666666666666664</v>
      </c>
      <c r="K35" s="87">
        <v>0</v>
      </c>
      <c r="L35" s="87">
        <f t="shared" si="17"/>
        <v>88.095238095238102</v>
      </c>
      <c r="M35" s="2">
        <f t="shared" si="18"/>
        <v>11</v>
      </c>
      <c r="N35" s="2">
        <f>IF(M1=1,IF(M14&gt;10,1,0),IF(M1=2,IF(M14&gt;10,1,0),0))</f>
        <v>1</v>
      </c>
      <c r="O35" s="2">
        <f t="shared" si="1"/>
        <v>20</v>
      </c>
      <c r="P35" s="134">
        <f t="shared" si="19"/>
        <v>10.444444444444445</v>
      </c>
      <c r="Q35" s="134">
        <f t="shared" si="19"/>
        <v>10.444444444444445</v>
      </c>
      <c r="R35" s="134">
        <f t="shared" si="20"/>
        <v>600</v>
      </c>
      <c r="S35" s="134">
        <f t="shared" si="21"/>
        <v>71.428571428571431</v>
      </c>
      <c r="T35" s="134">
        <f t="shared" si="29"/>
        <v>71.428571428571431</v>
      </c>
      <c r="U35" s="134">
        <f>IF(N36=1,R34*E$11*20/36000+R35*E$11*10/36000,IF(N36=0,IF(N35=0,0,IF(D$16&gt;20,R34*E$11*20/36000+R35*E$11*(Q$12-20)/36000,R35*E$11*Q$12/36000))))</f>
        <v>10.444444444444445</v>
      </c>
      <c r="V35" s="134">
        <f>IF(N36=1,R34*E$11*20/36000+R35*E$11*10/36000,IF(N36=0,IF(N35=0,0,IF(D$16&gt;20,R34*E$11*20/36000+R35*E$11*(Q$12-20)/36000,R35*E$11*Q$12/36000))))</f>
        <v>10.444444444444445</v>
      </c>
      <c r="W35" s="134">
        <f t="shared" si="30"/>
        <v>16.666666666666664</v>
      </c>
      <c r="X35" s="134">
        <f t="shared" si="22"/>
        <v>20</v>
      </c>
      <c r="Y35" s="134">
        <f t="shared" si="2"/>
        <v>1000</v>
      </c>
      <c r="Z35" s="134">
        <f t="shared" si="31"/>
        <v>16.666666666666664</v>
      </c>
      <c r="AA35" s="134">
        <f t="shared" si="23"/>
        <v>16.666666666666664</v>
      </c>
      <c r="AB35" s="134">
        <f>IF(R36=0,R35*Q12,(R34*20+R35*10))</f>
        <v>18800</v>
      </c>
      <c r="AC35" s="134">
        <f t="shared" si="3"/>
        <v>0</v>
      </c>
      <c r="AD35" s="134">
        <f t="shared" si="3"/>
        <v>0</v>
      </c>
      <c r="AE35" s="134">
        <f t="shared" si="24"/>
        <v>0</v>
      </c>
      <c r="AF35" s="134">
        <f t="shared" si="4"/>
        <v>0</v>
      </c>
      <c r="AG35" s="134">
        <f t="shared" si="25"/>
        <v>0</v>
      </c>
      <c r="AH35" s="134">
        <f t="shared" si="5"/>
        <v>0</v>
      </c>
      <c r="AI35" s="134">
        <f t="shared" si="6"/>
        <v>600</v>
      </c>
      <c r="AJ35" s="134">
        <f>IF(N36=1,AI34*G12*20/36000+AI35*G12*10/36000,IF(N36=0,IF(N35=0,0,AI35*G12*Q12/36000+AI34*G12*20/36000+AI35*G12*10/36000)))</f>
        <v>0</v>
      </c>
      <c r="AK35" s="134">
        <f>IF(N36=1,AI34*G12*20/36000+AI35*G12*10/36000,IF(N36=0,IF(N35=0,0,AI35*G12*Q12/36000+AI34*G12*20/36000+AI35*G12*10/36000)))</f>
        <v>0</v>
      </c>
      <c r="AL35" s="132">
        <f t="shared" si="26"/>
        <v>12</v>
      </c>
      <c r="AM35" s="132">
        <f t="shared" si="7"/>
        <v>12</v>
      </c>
      <c r="AN35" s="2">
        <f t="shared" si="27"/>
        <v>2017</v>
      </c>
      <c r="AO35" s="2">
        <f t="shared" si="8"/>
        <v>2017</v>
      </c>
      <c r="AP35" s="2">
        <f t="shared" si="9"/>
        <v>0</v>
      </c>
      <c r="AQ35" s="2">
        <f t="shared" si="10"/>
        <v>30</v>
      </c>
      <c r="AR35" s="2">
        <f t="shared" si="11"/>
        <v>20</v>
      </c>
      <c r="AS35" s="2">
        <f t="shared" si="28"/>
        <v>30</v>
      </c>
      <c r="AT35" s="2"/>
      <c r="AU35" s="2"/>
      <c r="AV35" s="2"/>
      <c r="AW35" s="2"/>
      <c r="AX35" s="2"/>
      <c r="AY35" s="2">
        <f t="shared" si="12"/>
        <v>1</v>
      </c>
      <c r="AZ35" s="2"/>
      <c r="BA35" s="2"/>
      <c r="BB35" s="2"/>
      <c r="BC35" s="2"/>
      <c r="BD35" s="2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3"/>
        <v>12</v>
      </c>
      <c r="B36" s="268">
        <f t="shared" si="14"/>
        <v>43120</v>
      </c>
      <c r="C36" s="401"/>
      <c r="D36" s="269">
        <f>IF(N36=0,IF(N35=1,D25+D26+D27+D28+D29+D30+D31+D32+D33+D34+D35," "),IF(N36=0," ",IF(N37=1,D25,IF(N37=0,D10-D25*(M14-1)," "))))</f>
        <v>40</v>
      </c>
      <c r="E36" s="269"/>
      <c r="F36" s="87">
        <f>IF(N36=0,IF(N35=1,F25+F26+F27+F28+F29+F30+F31+F32+F33+F34+F35," "),IF(M1=1,P36,IF(M1=2,Q36," ")))</f>
        <v>9.7777777777777786</v>
      </c>
      <c r="G36" s="87">
        <v>0</v>
      </c>
      <c r="H36" s="87">
        <f t="shared" si="15"/>
        <v>49.777777777777779</v>
      </c>
      <c r="I36" s="87">
        <f t="shared" si="16"/>
        <v>76.92307692307692</v>
      </c>
      <c r="J36" s="87">
        <f t="shared" si="0"/>
        <v>16.666666666666664</v>
      </c>
      <c r="K36" s="87">
        <v>0</v>
      </c>
      <c r="L36" s="87">
        <f t="shared" si="17"/>
        <v>93.589743589743591</v>
      </c>
      <c r="M36" s="2">
        <f t="shared" si="18"/>
        <v>12</v>
      </c>
      <c r="N36" s="2">
        <f>IF(M1=1,IF(M14&gt;11,1,0),IF(M1=2,IF(M14&gt;11,1,0),0))</f>
        <v>1</v>
      </c>
      <c r="O36" s="2">
        <f t="shared" si="1"/>
        <v>20</v>
      </c>
      <c r="P36" s="134">
        <f t="shared" si="19"/>
        <v>9.7777777777777786</v>
      </c>
      <c r="Q36" s="134">
        <f t="shared" si="19"/>
        <v>9.7777777777777786</v>
      </c>
      <c r="R36" s="134">
        <f t="shared" si="20"/>
        <v>560</v>
      </c>
      <c r="S36" s="134">
        <f t="shared" si="21"/>
        <v>76.92307692307692</v>
      </c>
      <c r="T36" s="134">
        <f t="shared" si="29"/>
        <v>76.92307692307692</v>
      </c>
      <c r="U36" s="134">
        <f>IF(N37=1,R35*E11*20/36000+R36*E11*10/36000,IF(N37=0,IF(N36=0,0,R36*E11*Q12/36000+R35*E11*20/36000+R36*E11*10/36000)))</f>
        <v>9.7777777777777786</v>
      </c>
      <c r="V36" s="134">
        <f>IF(N37=1,R35*E11*20/36000+R36*E11*10/36000,IF(N37=0,IF(N36=0,0,R36*E11*Q12/36000+R35*E11*20/36000+R36*E11*10/36000)))</f>
        <v>9.7777777777777786</v>
      </c>
      <c r="W36" s="134">
        <f t="shared" si="30"/>
        <v>16.666666666666664</v>
      </c>
      <c r="X36" s="134">
        <f t="shared" si="22"/>
        <v>20</v>
      </c>
      <c r="Y36" s="134">
        <f t="shared" si="2"/>
        <v>1000</v>
      </c>
      <c r="Z36" s="134">
        <f t="shared" si="31"/>
        <v>16.666666666666664</v>
      </c>
      <c r="AA36" s="134">
        <f t="shared" si="23"/>
        <v>16.666666666666664</v>
      </c>
      <c r="AB36" s="134">
        <f>IF(R37=0,R36*Q12,(R35*20+R36*10))</f>
        <v>17600</v>
      </c>
      <c r="AC36" s="134">
        <f t="shared" si="3"/>
        <v>0</v>
      </c>
      <c r="AD36" s="134">
        <f t="shared" si="3"/>
        <v>0</v>
      </c>
      <c r="AE36" s="134">
        <f t="shared" si="24"/>
        <v>0</v>
      </c>
      <c r="AF36" s="134">
        <f t="shared" si="4"/>
        <v>0</v>
      </c>
      <c r="AG36" s="134">
        <f t="shared" si="25"/>
        <v>0</v>
      </c>
      <c r="AH36" s="134">
        <f t="shared" si="5"/>
        <v>0</v>
      </c>
      <c r="AI36" s="134">
        <f t="shared" si="6"/>
        <v>560</v>
      </c>
      <c r="AJ36" s="134">
        <f>IF(N37=1,AI35*G12*20/36000+AI36*G12*10/36000,IF(N37=0,IF(N36=0,0,AI36*G12*Q12/36000+AI35*G12*20/36000+AI36*G12*10/36000)))</f>
        <v>0</v>
      </c>
      <c r="AK36" s="134">
        <f>IF(N37=1,AI35*G12*20/36000+AI36*G12*10/36000,IF(N37=0,IF(N36=0,0,AI36*G12*Q12/36000+AI35*G12*20/36000+AI36*G12*10/36000)))</f>
        <v>0</v>
      </c>
      <c r="AL36" s="132">
        <f t="shared" si="26"/>
        <v>13</v>
      </c>
      <c r="AM36" s="132">
        <f t="shared" si="7"/>
        <v>1</v>
      </c>
      <c r="AN36" s="2">
        <f t="shared" si="27"/>
        <v>2017</v>
      </c>
      <c r="AO36" s="2">
        <f t="shared" si="8"/>
        <v>2018</v>
      </c>
      <c r="AP36" s="2">
        <f t="shared" si="9"/>
        <v>0</v>
      </c>
      <c r="AQ36" s="2">
        <f t="shared" si="10"/>
        <v>30</v>
      </c>
      <c r="AR36" s="2">
        <f t="shared" si="11"/>
        <v>20</v>
      </c>
      <c r="AS36" s="2">
        <f t="shared" si="28"/>
        <v>30</v>
      </c>
      <c r="AT36" s="2"/>
      <c r="AU36" s="2"/>
      <c r="AV36" s="2"/>
      <c r="AW36" s="2"/>
      <c r="AX36" s="2"/>
      <c r="AY36" s="2">
        <f t="shared" si="12"/>
        <v>1</v>
      </c>
      <c r="AZ36" s="2"/>
      <c r="BA36" s="2"/>
      <c r="BB36" s="2"/>
      <c r="BC36" s="2"/>
      <c r="BD36" s="2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3"/>
        <v>13</v>
      </c>
      <c r="B37" s="268">
        <f t="shared" si="14"/>
        <v>43151</v>
      </c>
      <c r="C37" s="401"/>
      <c r="D37" s="269">
        <f>IF(N37=0,IF(N36=1,D25+D26+D27+D28+D29+D30+D31+D32+D33+D34+D35+D36," "),IF(N37=0," ",IF(N38=1,D25,IF(N38=0,D10-D25*(M14-1)," "))))</f>
        <v>40</v>
      </c>
      <c r="E37" s="269"/>
      <c r="F37" s="87">
        <f>IF(N37=0,IF(N36=1,F25+F26+F27+F28+F29+F30+F31+F32+F33+F34+F35+F36," "),IF(M1=1,P37,IF(M1=2,Q37," ")))</f>
        <v>9.1111111111111107</v>
      </c>
      <c r="G37" s="87">
        <v>0</v>
      </c>
      <c r="H37" s="87">
        <f t="shared" si="15"/>
        <v>49.111111111111114</v>
      </c>
      <c r="I37" s="87">
        <f t="shared" si="16"/>
        <v>76.930000000000007</v>
      </c>
      <c r="J37" s="87">
        <f t="shared" si="0"/>
        <v>16.666666666666664</v>
      </c>
      <c r="K37" s="87">
        <v>0</v>
      </c>
      <c r="L37" s="87">
        <f t="shared" si="17"/>
        <v>93.596666666666664</v>
      </c>
      <c r="M37" s="2">
        <f t="shared" si="18"/>
        <v>13</v>
      </c>
      <c r="N37" s="2">
        <f>IF(M1=1,IF(M14&gt;12,1,0),IF(M1=2,IF(M14&gt;12,1,0),0))</f>
        <v>1</v>
      </c>
      <c r="O37" s="2">
        <f t="shared" si="1"/>
        <v>20</v>
      </c>
      <c r="P37" s="134">
        <f t="shared" si="19"/>
        <v>9.1111111111111107</v>
      </c>
      <c r="Q37" s="134">
        <f t="shared" si="19"/>
        <v>9.1111111111111107</v>
      </c>
      <c r="R37" s="134">
        <f t="shared" si="20"/>
        <v>520</v>
      </c>
      <c r="S37" s="134">
        <f t="shared" si="21"/>
        <v>40</v>
      </c>
      <c r="T37" s="134">
        <f t="shared" si="29"/>
        <v>40</v>
      </c>
      <c r="U37" s="134">
        <f t="shared" ref="U37:U47" si="32">IF(N38=1,R36*E$11*20/36000+R37*E$11*10/36000,IF(N38=0,IF(N37=0,0,IF(D$16&gt;20,R36*E$11*20/36000+R37*E$11*(Q$12-20)/36000,R37*E$11*Q$12/36000))))</f>
        <v>9.1111111111111107</v>
      </c>
      <c r="V37" s="134">
        <f t="shared" ref="V37:V47" si="33">IF(N38=1,R36*E$11*20/36000+R37*E$11*10/36000,IF(N38=0,IF(N37=0,0,IF(D$16&gt;20,R36*E$11*20/36000+R37*E$11*(Q$12-20)/36000,R37*E$11*Q$12/36000))))</f>
        <v>9.1111111111111107</v>
      </c>
      <c r="W37" s="134">
        <f t="shared" si="30"/>
        <v>16.666666666666664</v>
      </c>
      <c r="X37" s="134">
        <f t="shared" si="22"/>
        <v>20</v>
      </c>
      <c r="Y37" s="134">
        <f t="shared" si="2"/>
        <v>1000</v>
      </c>
      <c r="Z37" s="134">
        <f t="shared" si="31"/>
        <v>16.666666666666664</v>
      </c>
      <c r="AA37" s="134">
        <f t="shared" si="23"/>
        <v>16.666666666666664</v>
      </c>
      <c r="AB37" s="134">
        <f>IF(R38=0,R37*Q12,(R36*20+R37*10))</f>
        <v>16400</v>
      </c>
      <c r="AC37" s="134">
        <f t="shared" si="3"/>
        <v>0</v>
      </c>
      <c r="AD37" s="134">
        <f t="shared" si="3"/>
        <v>0</v>
      </c>
      <c r="AE37" s="134">
        <f t="shared" si="24"/>
        <v>0</v>
      </c>
      <c r="AF37" s="134">
        <f t="shared" si="4"/>
        <v>0</v>
      </c>
      <c r="AG37" s="134">
        <f t="shared" si="25"/>
        <v>0</v>
      </c>
      <c r="AH37" s="134">
        <f t="shared" si="5"/>
        <v>0</v>
      </c>
      <c r="AI37" s="134">
        <f t="shared" si="6"/>
        <v>520</v>
      </c>
      <c r="AJ37" s="134">
        <f>IF(N38=1,AI36*G12*20/36000+AI37*G12*10/36000,IF(N38=0,IF(N37=0,0,AI37*G12*Q12/36000)))</f>
        <v>0</v>
      </c>
      <c r="AK37" s="134">
        <f>IF(N38=1,AI36*G12*20/36000+AI37*G12*10/36000,IF(N38=0,IF(N37=0,0,AI37*G12*Q12/36000)))</f>
        <v>0</v>
      </c>
      <c r="AL37" s="132">
        <f t="shared" si="26"/>
        <v>2</v>
      </c>
      <c r="AM37" s="132">
        <f t="shared" si="7"/>
        <v>2</v>
      </c>
      <c r="AN37" s="2">
        <f t="shared" si="27"/>
        <v>2018</v>
      </c>
      <c r="AO37" s="2">
        <f t="shared" si="8"/>
        <v>2018</v>
      </c>
      <c r="AP37" s="2">
        <f t="shared" si="9"/>
        <v>0</v>
      </c>
      <c r="AQ37" s="2">
        <f t="shared" si="10"/>
        <v>28</v>
      </c>
      <c r="AR37" s="2">
        <f t="shared" si="11"/>
        <v>20</v>
      </c>
      <c r="AS37" s="2">
        <f t="shared" si="28"/>
        <v>30</v>
      </c>
      <c r="AT37" s="2"/>
      <c r="AU37" s="2"/>
      <c r="AV37" s="2"/>
      <c r="AW37" s="2"/>
      <c r="AX37" s="2"/>
      <c r="AY37" s="2">
        <f t="shared" si="12"/>
        <v>1</v>
      </c>
      <c r="AZ37" s="2"/>
      <c r="BA37" s="2"/>
      <c r="BB37" s="2"/>
      <c r="BC37" s="2"/>
      <c r="BD37" s="2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3"/>
        <v>14</v>
      </c>
      <c r="B38" s="268">
        <f t="shared" si="14"/>
        <v>43179</v>
      </c>
      <c r="C38" s="401"/>
      <c r="D38" s="269">
        <f>IF(N38=0,IF(N37=1,D25+D26+D27+D28+D29+D30+D31+D32+D33+D34+D35+D36+D37," "),IF(N38=0," ",IF(N39=1,D25,IF(N39=0,D10-D25*(M14-1)," "))))</f>
        <v>40</v>
      </c>
      <c r="E38" s="269"/>
      <c r="F38" s="87">
        <f>IF(N38=0,IF(N37=1,F25+F26+F27+F28+F29+F30+F31+F32+F33+F34+F35+F36+F37," "),IF(M1=1,P38,IF(M1=2,Q38," ")))</f>
        <v>8.4444444444444446</v>
      </c>
      <c r="G38" s="87">
        <v>0</v>
      </c>
      <c r="H38" s="87">
        <f t="shared" si="15"/>
        <v>48.444444444444443</v>
      </c>
      <c r="I38" s="87">
        <f t="shared" si="16"/>
        <v>76.930000000000007</v>
      </c>
      <c r="J38" s="87">
        <f t="shared" si="0"/>
        <v>16.239277777777776</v>
      </c>
      <c r="K38" s="87">
        <v>0</v>
      </c>
      <c r="L38" s="87">
        <f t="shared" si="17"/>
        <v>93.169277777777779</v>
      </c>
      <c r="M38" s="2">
        <f t="shared" si="18"/>
        <v>14</v>
      </c>
      <c r="N38" s="2">
        <f>IF(M1=1,IF(M14&gt;13,1,0),IF(M1=2,IF(M14&gt;13,1,0),0))</f>
        <v>1</v>
      </c>
      <c r="O38" s="2">
        <f t="shared" si="1"/>
        <v>20</v>
      </c>
      <c r="P38" s="134">
        <f t="shared" si="19"/>
        <v>8.4444444444444446</v>
      </c>
      <c r="Q38" s="134">
        <f t="shared" si="19"/>
        <v>8.4444444444444446</v>
      </c>
      <c r="R38" s="134">
        <f t="shared" si="20"/>
        <v>480</v>
      </c>
      <c r="S38" s="134">
        <f t="shared" si="21"/>
        <v>40</v>
      </c>
      <c r="T38" s="134">
        <f t="shared" si="29"/>
        <v>40</v>
      </c>
      <c r="U38" s="134">
        <f t="shared" si="32"/>
        <v>8.4444444444444446</v>
      </c>
      <c r="V38" s="134">
        <f t="shared" si="33"/>
        <v>8.4444444444444446</v>
      </c>
      <c r="W38" s="134">
        <f t="shared" si="30"/>
        <v>16.666666666666664</v>
      </c>
      <c r="X38" s="134">
        <f t="shared" si="22"/>
        <v>20</v>
      </c>
      <c r="Y38" s="134">
        <f t="shared" si="2"/>
        <v>923.06999999999994</v>
      </c>
      <c r="Z38" s="134">
        <f t="shared" si="31"/>
        <v>16.239277777777776</v>
      </c>
      <c r="AA38" s="134">
        <f t="shared" si="23"/>
        <v>16.239277777777776</v>
      </c>
      <c r="AB38" s="134">
        <f>IF(R39=0,R38*Q12,(R37*20+R38*10))</f>
        <v>15200</v>
      </c>
      <c r="AC38" s="134">
        <f t="shared" si="3"/>
        <v>0</v>
      </c>
      <c r="AD38" s="134">
        <f t="shared" si="3"/>
        <v>0</v>
      </c>
      <c r="AE38" s="134">
        <f t="shared" si="24"/>
        <v>0</v>
      </c>
      <c r="AF38" s="134">
        <f t="shared" si="4"/>
        <v>0</v>
      </c>
      <c r="AG38" s="134">
        <f t="shared" si="25"/>
        <v>0</v>
      </c>
      <c r="AH38" s="134">
        <f t="shared" si="5"/>
        <v>0</v>
      </c>
      <c r="AI38" s="134">
        <f t="shared" si="6"/>
        <v>480</v>
      </c>
      <c r="AJ38" s="134">
        <f>IF(N39=1,AI37*G12*20/36000+AI38*G12*10/36000,IF(N39=0,IF(N38=0,0,AI38*G12*Q12/36000+AI37*G12*20/36000+AI38*G12*10/36000)))</f>
        <v>0</v>
      </c>
      <c r="AK38" s="134">
        <f>IF(N39=1,AI37*G12*20/36000+AI38*G12*10/36000,IF(N39=0,IF(N38=0,0,AI38*G12*Q12/36000+AI37*G12*20/36000+AI38*G12*10/36000)))</f>
        <v>0</v>
      </c>
      <c r="AL38" s="132">
        <f t="shared" si="26"/>
        <v>3</v>
      </c>
      <c r="AM38" s="132">
        <f t="shared" si="7"/>
        <v>3</v>
      </c>
      <c r="AN38" s="2">
        <f t="shared" si="27"/>
        <v>2018</v>
      </c>
      <c r="AO38" s="2">
        <f t="shared" si="8"/>
        <v>2018</v>
      </c>
      <c r="AP38" s="2">
        <f t="shared" si="9"/>
        <v>0</v>
      </c>
      <c r="AQ38" s="2">
        <f t="shared" si="10"/>
        <v>30</v>
      </c>
      <c r="AR38" s="2">
        <f t="shared" si="11"/>
        <v>20</v>
      </c>
      <c r="AS38" s="2">
        <f t="shared" si="28"/>
        <v>28</v>
      </c>
      <c r="AT38" s="2"/>
      <c r="AU38" s="2"/>
      <c r="AV38" s="2"/>
      <c r="AW38" s="2"/>
      <c r="AX38" s="2"/>
      <c r="AY38" s="2">
        <f t="shared" si="12"/>
        <v>1</v>
      </c>
      <c r="AZ38" s="2"/>
      <c r="BA38" s="2"/>
      <c r="BB38" s="2"/>
      <c r="BC38" s="2"/>
      <c r="BD38" s="2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3"/>
        <v>15</v>
      </c>
      <c r="B39" s="268">
        <f t="shared" si="14"/>
        <v>43210</v>
      </c>
      <c r="C39" s="401"/>
      <c r="D39" s="269">
        <f>IF(N39=0,IF(N38=1,D25+D26+D27+D28+D29+D30+D31+D32+D33+D34+D35+D36+D37+D38," "),IF(N39=0," ",IF(N40=1,D25,IF(N40=0,D10-D25*(M14-1)," "))))</f>
        <v>40</v>
      </c>
      <c r="E39" s="269"/>
      <c r="F39" s="87">
        <f>IF(N39=0,IF(N38=1,F25+F26+F27+F28+F29+F30+F31+F32+F33+F34+F35+F36+F37+F38," "),IF(M1=1,P39,IF(M1=2,Q39," ")))</f>
        <v>7.7777777777777777</v>
      </c>
      <c r="G39" s="87">
        <v>0</v>
      </c>
      <c r="H39" s="87">
        <f t="shared" si="15"/>
        <v>47.777777777777779</v>
      </c>
      <c r="I39" s="87">
        <f t="shared" si="16"/>
        <v>76.930000000000007</v>
      </c>
      <c r="J39" s="87">
        <f t="shared" si="0"/>
        <v>14.957111111111107</v>
      </c>
      <c r="K39" s="87">
        <v>0</v>
      </c>
      <c r="L39" s="87">
        <f t="shared" si="17"/>
        <v>91.887111111111111</v>
      </c>
      <c r="M39" s="2">
        <f t="shared" si="18"/>
        <v>15</v>
      </c>
      <c r="N39" s="2">
        <f>IF(M1=1,IF(M14&gt;14,1,0),IF(M1=2,IF(M14&gt;14,1,0),0))</f>
        <v>1</v>
      </c>
      <c r="O39" s="2">
        <f t="shared" si="1"/>
        <v>20</v>
      </c>
      <c r="P39" s="134">
        <f t="shared" si="19"/>
        <v>7.7777777777777777</v>
      </c>
      <c r="Q39" s="134">
        <f t="shared" si="19"/>
        <v>7.7777777777777777</v>
      </c>
      <c r="R39" s="134">
        <f t="shared" si="20"/>
        <v>440</v>
      </c>
      <c r="S39" s="134">
        <f t="shared" si="21"/>
        <v>40</v>
      </c>
      <c r="T39" s="134">
        <f t="shared" si="29"/>
        <v>40</v>
      </c>
      <c r="U39" s="134">
        <f t="shared" si="32"/>
        <v>7.7777777777777777</v>
      </c>
      <c r="V39" s="134">
        <f t="shared" si="33"/>
        <v>7.7777777777777777</v>
      </c>
      <c r="W39" s="134">
        <f t="shared" si="30"/>
        <v>16.666666666666664</v>
      </c>
      <c r="X39" s="134">
        <f t="shared" si="22"/>
        <v>20</v>
      </c>
      <c r="Y39" s="134">
        <f t="shared" si="2"/>
        <v>846.13999999999987</v>
      </c>
      <c r="Z39" s="134">
        <f t="shared" si="31"/>
        <v>14.957111111111107</v>
      </c>
      <c r="AA39" s="134">
        <f t="shared" si="23"/>
        <v>14.957111111111107</v>
      </c>
      <c r="AB39" s="134">
        <f>IF(R40=0,R39*Q12,(R38*20+R39*10))</f>
        <v>14000</v>
      </c>
      <c r="AC39" s="134">
        <f t="shared" si="3"/>
        <v>0</v>
      </c>
      <c r="AD39" s="134">
        <f t="shared" si="3"/>
        <v>0</v>
      </c>
      <c r="AE39" s="134">
        <f t="shared" si="24"/>
        <v>0</v>
      </c>
      <c r="AF39" s="134">
        <f t="shared" si="4"/>
        <v>0</v>
      </c>
      <c r="AG39" s="134">
        <f t="shared" si="25"/>
        <v>0</v>
      </c>
      <c r="AH39" s="134">
        <f t="shared" si="5"/>
        <v>0</v>
      </c>
      <c r="AI39" s="134">
        <f t="shared" si="6"/>
        <v>440</v>
      </c>
      <c r="AJ39" s="134">
        <f>IF(N40=1,AI38*G12*20/36000+AI39*G12*10/36000,IF(N40=0,IF(N39=0,0,AI39*G12*Q12/36000+AI38*G12*20/36000+AI39*G12*10/36000)))</f>
        <v>0</v>
      </c>
      <c r="AK39" s="134">
        <f>IF(N40=1,AI38*G12*20/36000+AI39*G12*10/36000,IF(N40=0,IF(N39=0,0,AI39*G12*Q12/36000+AI38*G12*20/36000+AI39*G12*10/36000)))</f>
        <v>0</v>
      </c>
      <c r="AL39" s="132">
        <f t="shared" si="26"/>
        <v>4</v>
      </c>
      <c r="AM39" s="132">
        <f t="shared" si="7"/>
        <v>4</v>
      </c>
      <c r="AN39" s="2">
        <f t="shared" si="27"/>
        <v>2018</v>
      </c>
      <c r="AO39" s="2">
        <f t="shared" si="8"/>
        <v>2018</v>
      </c>
      <c r="AP39" s="2">
        <f t="shared" si="9"/>
        <v>0</v>
      </c>
      <c r="AQ39" s="2">
        <f t="shared" si="10"/>
        <v>30</v>
      </c>
      <c r="AR39" s="2">
        <f t="shared" si="11"/>
        <v>20</v>
      </c>
      <c r="AS39" s="2">
        <f t="shared" si="28"/>
        <v>30</v>
      </c>
      <c r="AT39" s="2"/>
      <c r="AU39" s="2"/>
      <c r="AV39" s="2"/>
      <c r="AW39" s="2"/>
      <c r="AX39" s="2"/>
      <c r="AY39" s="2">
        <f t="shared" si="12"/>
        <v>1</v>
      </c>
      <c r="AZ39" s="2"/>
      <c r="BA39" s="2"/>
      <c r="BB39" s="2"/>
      <c r="BC39" s="2"/>
      <c r="BD39" s="2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3"/>
        <v>16</v>
      </c>
      <c r="B40" s="268">
        <f t="shared" si="14"/>
        <v>43240</v>
      </c>
      <c r="C40" s="401"/>
      <c r="D40" s="269">
        <f>IF(N40=0,IF(N39=1,D25+D26+D27+D28+D29+D30+D31+D32+D33+D34+D35+D36+D37+D38+D39," "),IF(N40=0," ",IF(N41=1,D25,IF(N41=0,D10-D25*(M14-1)," "))))</f>
        <v>40</v>
      </c>
      <c r="E40" s="269"/>
      <c r="F40" s="87">
        <f>IF(N40=0,IF(N39=1,F25+F26+F27+F28+F29+F30+F31+F32+F33+F34+F35+F36+F37+F38+F39," "),IF(M1=1,P40,IF(M1=2,Q40," ")))</f>
        <v>7.1111111111111116</v>
      </c>
      <c r="G40" s="87">
        <v>0</v>
      </c>
      <c r="H40" s="87">
        <f t="shared" si="15"/>
        <v>47.111111111111114</v>
      </c>
      <c r="I40" s="87">
        <f t="shared" si="16"/>
        <v>76.930000000000007</v>
      </c>
      <c r="J40" s="87">
        <f t="shared" si="0"/>
        <v>13.67494444444444</v>
      </c>
      <c r="K40" s="87">
        <v>0</v>
      </c>
      <c r="L40" s="87">
        <f t="shared" si="17"/>
        <v>90.604944444444442</v>
      </c>
      <c r="M40" s="2">
        <f t="shared" si="18"/>
        <v>16</v>
      </c>
      <c r="N40" s="2">
        <f>IF(M1=1,IF(M14&gt;15,1,0),IF(M1=2,IF(M14&gt;15,1,0),0))</f>
        <v>1</v>
      </c>
      <c r="O40" s="2">
        <f t="shared" si="1"/>
        <v>20</v>
      </c>
      <c r="P40" s="134">
        <f t="shared" si="19"/>
        <v>7.1111111111111116</v>
      </c>
      <c r="Q40" s="134">
        <f t="shared" si="19"/>
        <v>7.1111111111111116</v>
      </c>
      <c r="R40" s="134">
        <f t="shared" si="20"/>
        <v>400</v>
      </c>
      <c r="S40" s="134">
        <f t="shared" si="21"/>
        <v>40</v>
      </c>
      <c r="T40" s="134">
        <f t="shared" si="29"/>
        <v>40</v>
      </c>
      <c r="U40" s="134">
        <f t="shared" si="32"/>
        <v>7.1111111111111116</v>
      </c>
      <c r="V40" s="134">
        <f t="shared" si="33"/>
        <v>7.1111111111111116</v>
      </c>
      <c r="W40" s="134">
        <f t="shared" si="30"/>
        <v>16.666666666666664</v>
      </c>
      <c r="X40" s="134">
        <f t="shared" si="22"/>
        <v>20</v>
      </c>
      <c r="Y40" s="134">
        <f t="shared" si="2"/>
        <v>769.20999999999981</v>
      </c>
      <c r="Z40" s="134">
        <f t="shared" si="31"/>
        <v>13.67494444444444</v>
      </c>
      <c r="AA40" s="134">
        <f t="shared" si="23"/>
        <v>13.67494444444444</v>
      </c>
      <c r="AB40" s="134">
        <f>IF(R41=0,R40*Q12,(R39*20+R40*10))</f>
        <v>12800</v>
      </c>
      <c r="AC40" s="134">
        <f t="shared" si="3"/>
        <v>0</v>
      </c>
      <c r="AD40" s="134">
        <f t="shared" si="3"/>
        <v>0</v>
      </c>
      <c r="AE40" s="134">
        <f t="shared" si="24"/>
        <v>0</v>
      </c>
      <c r="AF40" s="134">
        <f t="shared" si="4"/>
        <v>0</v>
      </c>
      <c r="AG40" s="134">
        <f t="shared" si="25"/>
        <v>0</v>
      </c>
      <c r="AH40" s="134">
        <f t="shared" si="5"/>
        <v>0</v>
      </c>
      <c r="AI40" s="134">
        <f t="shared" si="6"/>
        <v>400</v>
      </c>
      <c r="AJ40" s="134">
        <f>IF(N41=1,AI39*G12*20/36000+AI40*G12*10/36000,IF(N41=0,IF(N40=0,0,AI40*G12*Q12/36000+AI39*G12*20/36000+AI40*G12*10/36000)))</f>
        <v>0</v>
      </c>
      <c r="AK40" s="134">
        <f>IF(N41=1,AI39*G12*20/36000+AI40*G12*10/36000,IF(N41=0,IF(N40=0,0,AI40*G12*Q12/36000+AI39*G12*20/36000+AI40*G12*10/36000)))</f>
        <v>0</v>
      </c>
      <c r="AL40" s="132">
        <f t="shared" si="26"/>
        <v>5</v>
      </c>
      <c r="AM40" s="132">
        <f t="shared" si="7"/>
        <v>5</v>
      </c>
      <c r="AN40" s="2">
        <f t="shared" si="27"/>
        <v>2018</v>
      </c>
      <c r="AO40" s="2">
        <f t="shared" si="8"/>
        <v>2018</v>
      </c>
      <c r="AP40" s="2">
        <f t="shared" si="9"/>
        <v>0</v>
      </c>
      <c r="AQ40" s="2">
        <f t="shared" si="10"/>
        <v>30</v>
      </c>
      <c r="AR40" s="2">
        <f t="shared" si="11"/>
        <v>20</v>
      </c>
      <c r="AS40" s="2">
        <f t="shared" si="28"/>
        <v>30</v>
      </c>
      <c r="AT40" s="2"/>
      <c r="AU40" s="2"/>
      <c r="AV40" s="2"/>
      <c r="AW40" s="2"/>
      <c r="AX40" s="2"/>
      <c r="AY40" s="2">
        <f t="shared" si="12"/>
        <v>1</v>
      </c>
      <c r="AZ40" s="2"/>
      <c r="BA40" s="2"/>
      <c r="BB40" s="2"/>
      <c r="BC40" s="2"/>
      <c r="BD40" s="2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3"/>
        <v>17</v>
      </c>
      <c r="B41" s="268">
        <f t="shared" si="14"/>
        <v>43271</v>
      </c>
      <c r="C41" s="401"/>
      <c r="D41" s="269">
        <f>IF(N41=0,IF(N40=1,D25+D26+D27+D28+D29+D30+D31+D32+D33+D34+D35+D36+D37+D38+D39+D40," "),IF(N41=0," ",IF(N42=1,D25,IF(N42=0,D10-D25*(M14-1)," "))))</f>
        <v>40</v>
      </c>
      <c r="E41" s="269"/>
      <c r="F41" s="87">
        <f>IF(N41=0,IF(N40=1,F25+F26+F27+F28+F29+F30+F31+F32+F33+F34+F36+F35+F37+F38+F39+F40," "),IF(M1=1,P41,IF(M1=2,Q41," ")))</f>
        <v>6.4444444444444446</v>
      </c>
      <c r="G41" s="87">
        <v>0</v>
      </c>
      <c r="H41" s="87">
        <f t="shared" si="15"/>
        <v>46.444444444444443</v>
      </c>
      <c r="I41" s="87">
        <f t="shared" si="16"/>
        <v>76.930000000000007</v>
      </c>
      <c r="J41" s="87">
        <f t="shared" si="0"/>
        <v>12.392777777777775</v>
      </c>
      <c r="K41" s="87">
        <v>0</v>
      </c>
      <c r="L41" s="87">
        <f t="shared" si="17"/>
        <v>89.322777777777787</v>
      </c>
      <c r="M41" s="2">
        <f t="shared" si="18"/>
        <v>17</v>
      </c>
      <c r="N41" s="2">
        <f>IF(M1=1,IF(M14&gt;16,1,0),IF(M1=2,IF(M14&gt;16,1,0),0))</f>
        <v>1</v>
      </c>
      <c r="O41" s="2">
        <f t="shared" si="1"/>
        <v>20</v>
      </c>
      <c r="P41" s="134">
        <f t="shared" si="19"/>
        <v>6.4444444444444446</v>
      </c>
      <c r="Q41" s="134">
        <f t="shared" si="19"/>
        <v>6.4444444444444446</v>
      </c>
      <c r="R41" s="134">
        <f t="shared" si="20"/>
        <v>360</v>
      </c>
      <c r="S41" s="134">
        <f t="shared" si="21"/>
        <v>40</v>
      </c>
      <c r="T41" s="134">
        <f t="shared" si="29"/>
        <v>40</v>
      </c>
      <c r="U41" s="134">
        <f t="shared" si="32"/>
        <v>6.4444444444444446</v>
      </c>
      <c r="V41" s="134">
        <f t="shared" si="33"/>
        <v>6.4444444444444446</v>
      </c>
      <c r="W41" s="134">
        <f t="shared" si="30"/>
        <v>16.666666666666664</v>
      </c>
      <c r="X41" s="134">
        <f t="shared" si="22"/>
        <v>20</v>
      </c>
      <c r="Y41" s="134">
        <f t="shared" si="2"/>
        <v>692.27999999999975</v>
      </c>
      <c r="Z41" s="134">
        <f t="shared" si="31"/>
        <v>12.392777777777775</v>
      </c>
      <c r="AA41" s="134">
        <f t="shared" si="23"/>
        <v>12.392777777777775</v>
      </c>
      <c r="AB41" s="134">
        <f>IF(R42=0,R41*Q12,(R40*20+R41*10))</f>
        <v>11600</v>
      </c>
      <c r="AC41" s="134">
        <f t="shared" si="3"/>
        <v>0</v>
      </c>
      <c r="AD41" s="134">
        <f t="shared" si="3"/>
        <v>0</v>
      </c>
      <c r="AE41" s="134">
        <f t="shared" si="24"/>
        <v>0</v>
      </c>
      <c r="AF41" s="134">
        <f t="shared" si="4"/>
        <v>0</v>
      </c>
      <c r="AG41" s="134">
        <f t="shared" si="25"/>
        <v>0</v>
      </c>
      <c r="AH41" s="134">
        <f t="shared" si="5"/>
        <v>0</v>
      </c>
      <c r="AI41" s="134">
        <f t="shared" si="6"/>
        <v>360</v>
      </c>
      <c r="AJ41" s="134">
        <f>IF(N42=1,AI40*G12*20/36000+AI41*G12*10/36000,IF(N42=0,IF(N41=0,0,AI41*G12*Q12/36000+AI40*G12*20/36000+AI41*G12*10/36000)))</f>
        <v>0</v>
      </c>
      <c r="AK41" s="134">
        <f>IF(N42=1,AI40*G12*20/36000+AI41*G12*10/36000,IF(N42=0,IF(N41=0,0,AI41*G12*Q12/36000+AI40*G12*20/36000+AI41*G12*10/36000)))</f>
        <v>0</v>
      </c>
      <c r="AL41" s="132">
        <f t="shared" si="26"/>
        <v>6</v>
      </c>
      <c r="AM41" s="132">
        <f t="shared" si="7"/>
        <v>6</v>
      </c>
      <c r="AN41" s="2">
        <f t="shared" si="27"/>
        <v>2018</v>
      </c>
      <c r="AO41" s="2">
        <f t="shared" si="8"/>
        <v>2018</v>
      </c>
      <c r="AP41" s="2">
        <f t="shared" si="9"/>
        <v>0</v>
      </c>
      <c r="AQ41" s="2">
        <f t="shared" si="10"/>
        <v>30</v>
      </c>
      <c r="AR41" s="2">
        <f t="shared" si="11"/>
        <v>20</v>
      </c>
      <c r="AS41" s="2">
        <f t="shared" si="28"/>
        <v>30</v>
      </c>
      <c r="AT41" s="2"/>
      <c r="AU41" s="2"/>
      <c r="AV41" s="2"/>
      <c r="AW41" s="2"/>
      <c r="AX41" s="2"/>
      <c r="AY41" s="2">
        <f t="shared" si="12"/>
        <v>1</v>
      </c>
      <c r="AZ41" s="2"/>
      <c r="BA41" s="2"/>
      <c r="BB41" s="2"/>
      <c r="BC41" s="2"/>
      <c r="BD41" s="2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3"/>
        <v>18</v>
      </c>
      <c r="B42" s="268">
        <f t="shared" si="14"/>
        <v>43301</v>
      </c>
      <c r="C42" s="401"/>
      <c r="D42" s="269">
        <f>IF(N42=0,IF(N41=1,D25+D26+D27+D28+D29+D30+D31+D32+D33+D34+D35+D36+D37+D38+D39+D40+D41," "),IF(N42=0," ",IF(N43=1,D25,IF(N43=0,D10-D25*(M14-1)," "))))</f>
        <v>40</v>
      </c>
      <c r="E42" s="269"/>
      <c r="F42" s="87">
        <f>IF(N42=0,IF(N41=1,F25+F26+F27+F28+F29+F30+F31+F32+F33+F34+F35+F36+F37+F38+F39+F40+F41," "),IF(M1=1,P42,IF(M1=2,Q42," ")))</f>
        <v>5.7777777777777777</v>
      </c>
      <c r="G42" s="87">
        <v>0</v>
      </c>
      <c r="H42" s="87">
        <f t="shared" si="15"/>
        <v>45.777777777777779</v>
      </c>
      <c r="I42" s="87">
        <f t="shared" si="16"/>
        <v>76.930000000000007</v>
      </c>
      <c r="J42" s="87">
        <f t="shared" si="0"/>
        <v>11.110611111111105</v>
      </c>
      <c r="K42" s="87">
        <v>0</v>
      </c>
      <c r="L42" s="87">
        <f t="shared" si="17"/>
        <v>88.040611111111104</v>
      </c>
      <c r="M42" s="2">
        <f t="shared" si="18"/>
        <v>18</v>
      </c>
      <c r="N42" s="2">
        <f>IF(M1=1,IF(M14&gt;17,1,0),IF(M1=2,IF(M14&gt;17,1,0),0))</f>
        <v>1</v>
      </c>
      <c r="O42" s="2">
        <f t="shared" si="1"/>
        <v>20</v>
      </c>
      <c r="P42" s="134">
        <f t="shared" si="19"/>
        <v>5.7777777777777777</v>
      </c>
      <c r="Q42" s="134">
        <f t="shared" si="19"/>
        <v>5.7777777777777777</v>
      </c>
      <c r="R42" s="134">
        <f t="shared" si="20"/>
        <v>320</v>
      </c>
      <c r="S42" s="134">
        <f t="shared" si="21"/>
        <v>40</v>
      </c>
      <c r="T42" s="134">
        <f t="shared" si="29"/>
        <v>40</v>
      </c>
      <c r="U42" s="134">
        <f t="shared" si="32"/>
        <v>5.7777777777777777</v>
      </c>
      <c r="V42" s="134">
        <f t="shared" si="33"/>
        <v>5.7777777777777777</v>
      </c>
      <c r="W42" s="134">
        <f t="shared" si="30"/>
        <v>16.666666666666664</v>
      </c>
      <c r="X42" s="134">
        <f t="shared" si="22"/>
        <v>20</v>
      </c>
      <c r="Y42" s="134">
        <f t="shared" si="2"/>
        <v>615.34999999999968</v>
      </c>
      <c r="Z42" s="134">
        <f t="shared" si="31"/>
        <v>11.110611111111105</v>
      </c>
      <c r="AA42" s="134">
        <f t="shared" si="23"/>
        <v>11.110611111111105</v>
      </c>
      <c r="AB42" s="134">
        <f>IF(R43=0,R42*Q12,(R41*20+R42*10))</f>
        <v>10400</v>
      </c>
      <c r="AC42" s="134">
        <f t="shared" si="3"/>
        <v>0</v>
      </c>
      <c r="AD42" s="134">
        <f t="shared" si="3"/>
        <v>0</v>
      </c>
      <c r="AE42" s="134">
        <f t="shared" si="24"/>
        <v>0</v>
      </c>
      <c r="AF42" s="134">
        <f t="shared" si="4"/>
        <v>0</v>
      </c>
      <c r="AG42" s="134">
        <f t="shared" si="25"/>
        <v>0</v>
      </c>
      <c r="AH42" s="134">
        <f t="shared" si="5"/>
        <v>0</v>
      </c>
      <c r="AI42" s="134">
        <f t="shared" si="6"/>
        <v>320</v>
      </c>
      <c r="AJ42" s="134">
        <f>IF(N43=1,AI41*G12*20/36000+AI42*G12*10/36000,IF(N43=0,IF(N42=0,0,AI42*G12*Q12/36000+AI41*G12*20/36000+AI42*G12*10/36000)))</f>
        <v>0</v>
      </c>
      <c r="AK42" s="134">
        <f>IF(N43=1,AI41*G12*20/36000+AI42*G12*10/36000,IF(N43=0,IF(N42=0,0,AI42*G12*Q12/36000+AI41*G12*20/36000+AI42*G12*10/36000)))</f>
        <v>0</v>
      </c>
      <c r="AL42" s="132">
        <f t="shared" si="26"/>
        <v>7</v>
      </c>
      <c r="AM42" s="132">
        <f t="shared" si="7"/>
        <v>7</v>
      </c>
      <c r="AN42" s="2">
        <f t="shared" si="27"/>
        <v>2018</v>
      </c>
      <c r="AO42" s="2">
        <f t="shared" si="8"/>
        <v>2018</v>
      </c>
      <c r="AP42" s="2">
        <f t="shared" si="9"/>
        <v>0</v>
      </c>
      <c r="AQ42" s="2">
        <f t="shared" si="10"/>
        <v>30</v>
      </c>
      <c r="AR42" s="2">
        <f t="shared" si="11"/>
        <v>20</v>
      </c>
      <c r="AS42" s="2">
        <f t="shared" si="28"/>
        <v>30</v>
      </c>
      <c r="AT42" s="2"/>
      <c r="AU42" s="2"/>
      <c r="AV42" s="2"/>
      <c r="AW42" s="2"/>
      <c r="AX42" s="2"/>
      <c r="AY42" s="2">
        <f t="shared" si="12"/>
        <v>1</v>
      </c>
      <c r="AZ42" s="2"/>
      <c r="BA42" s="2"/>
      <c r="BB42" s="2"/>
      <c r="BC42" s="2"/>
      <c r="BD42" s="2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3"/>
        <v>19</v>
      </c>
      <c r="B43" s="268">
        <f t="shared" si="14"/>
        <v>43332</v>
      </c>
      <c r="C43" s="401"/>
      <c r="D43" s="269">
        <f>IF(N43=0,IF(N42=1,D25+D26+D27+D28+D29+D30+D31+D32+D33+D34+D35+D36+D37+D38+D39+D40+D41+D42," "),IF(N43=0," ",IF(N44=1,D25,IF(N44=0,D10-D25*(M14-1)," "))))</f>
        <v>40</v>
      </c>
      <c r="E43" s="269"/>
      <c r="F43" s="87">
        <f>IF(N43=0,IF(N42=1,F25+F26+F27+F28+F29+F30+F31+F32+F33+F34+F35+F36+F37+F38+F39+F40+F41+F42," "),IF(M1=1,P43,IF(M1=2,Q43," ")))</f>
        <v>5.1111111111111107</v>
      </c>
      <c r="G43" s="87">
        <v>0</v>
      </c>
      <c r="H43" s="87">
        <f t="shared" si="15"/>
        <v>45.111111111111114</v>
      </c>
      <c r="I43" s="87">
        <f t="shared" si="16"/>
        <v>76.930000000000007</v>
      </c>
      <c r="J43" s="87">
        <f t="shared" si="0"/>
        <v>9.8284444444444379</v>
      </c>
      <c r="K43" s="87">
        <v>0</v>
      </c>
      <c r="L43" s="87">
        <f t="shared" si="17"/>
        <v>86.75844444444445</v>
      </c>
      <c r="M43" s="2">
        <f t="shared" si="18"/>
        <v>19</v>
      </c>
      <c r="N43" s="2">
        <f>IF(M1=1,IF(M14&gt;18,1,0),IF(M1=2,IF(M14&gt;18,1,0),0))</f>
        <v>1</v>
      </c>
      <c r="O43" s="2">
        <f t="shared" si="1"/>
        <v>20</v>
      </c>
      <c r="P43" s="134">
        <f t="shared" si="19"/>
        <v>5.1111111111111107</v>
      </c>
      <c r="Q43" s="134">
        <f t="shared" si="19"/>
        <v>5.1111111111111107</v>
      </c>
      <c r="R43" s="134">
        <f t="shared" si="20"/>
        <v>280</v>
      </c>
      <c r="S43" s="134">
        <f t="shared" si="21"/>
        <v>40</v>
      </c>
      <c r="T43" s="134">
        <f t="shared" si="29"/>
        <v>40</v>
      </c>
      <c r="U43" s="134">
        <f t="shared" si="32"/>
        <v>5.1111111111111107</v>
      </c>
      <c r="V43" s="134">
        <f t="shared" si="33"/>
        <v>5.1111111111111107</v>
      </c>
      <c r="W43" s="134">
        <f t="shared" si="30"/>
        <v>16.666666666666664</v>
      </c>
      <c r="X43" s="134">
        <f t="shared" si="22"/>
        <v>20</v>
      </c>
      <c r="Y43" s="134">
        <f t="shared" si="2"/>
        <v>538.41999999999962</v>
      </c>
      <c r="Z43" s="134">
        <f t="shared" si="31"/>
        <v>9.8284444444444379</v>
      </c>
      <c r="AA43" s="134">
        <f t="shared" si="23"/>
        <v>9.8284444444444379</v>
      </c>
      <c r="AB43" s="134">
        <f>IF(R44=0,R43*Q12,(R42*20+R43*10))</f>
        <v>9200</v>
      </c>
      <c r="AC43" s="134">
        <f t="shared" si="3"/>
        <v>0</v>
      </c>
      <c r="AD43" s="134">
        <f t="shared" si="3"/>
        <v>0</v>
      </c>
      <c r="AE43" s="134">
        <f t="shared" si="24"/>
        <v>0</v>
      </c>
      <c r="AF43" s="134">
        <f t="shared" si="4"/>
        <v>0</v>
      </c>
      <c r="AG43" s="134">
        <f t="shared" si="25"/>
        <v>0</v>
      </c>
      <c r="AH43" s="134">
        <f t="shared" si="5"/>
        <v>0</v>
      </c>
      <c r="AI43" s="134">
        <f t="shared" si="6"/>
        <v>280</v>
      </c>
      <c r="AJ43" s="134">
        <f>IF(N44=1,AI42*G$12*20/36000+AI43*G$12*10/36000,IF(N44=0,IF(N43=0,0,AI43*G$12*Q$12/36000)))</f>
        <v>0</v>
      </c>
      <c r="AK43" s="134">
        <f>IF(N44=1,AI42*G$12*20/36000+AI43*G$12*10/36000,IF(N44=0,IF(N43=0,0,AI43*G$12*Q$12/36000)))</f>
        <v>0</v>
      </c>
      <c r="AL43" s="132">
        <f t="shared" si="26"/>
        <v>8</v>
      </c>
      <c r="AM43" s="132">
        <f t="shared" si="7"/>
        <v>8</v>
      </c>
      <c r="AN43" s="2">
        <f t="shared" si="27"/>
        <v>2018</v>
      </c>
      <c r="AO43" s="2">
        <f t="shared" si="8"/>
        <v>2018</v>
      </c>
      <c r="AP43" s="2">
        <f t="shared" si="9"/>
        <v>0</v>
      </c>
      <c r="AQ43" s="2">
        <f t="shared" si="10"/>
        <v>30</v>
      </c>
      <c r="AR43" s="2">
        <f t="shared" si="11"/>
        <v>20</v>
      </c>
      <c r="AS43" s="2">
        <f t="shared" si="28"/>
        <v>30</v>
      </c>
      <c r="AT43" s="2"/>
      <c r="AU43" s="2"/>
      <c r="AV43" s="2"/>
      <c r="AW43" s="2"/>
      <c r="AX43" s="2"/>
      <c r="AY43" s="2">
        <f t="shared" si="12"/>
        <v>1</v>
      </c>
      <c r="AZ43" s="2"/>
      <c r="BA43" s="2"/>
      <c r="BB43" s="2"/>
      <c r="BC43" s="2"/>
      <c r="BD43" s="2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3"/>
        <v>20</v>
      </c>
      <c r="B44" s="268">
        <f t="shared" si="14"/>
        <v>43363</v>
      </c>
      <c r="C44" s="401"/>
      <c r="D44" s="269">
        <f>IF(N44=0,IF(N43=1,D25+D26+D27+D28+D29+D30+D31+D32+D33+D34+D35+D36+D37+D38+D39+D40+D41+D42+D43," "),IF(N44=0," ",IF(N45=1,D25,IF(N45=0,D10-D25*(M14-1)," "))))</f>
        <v>40</v>
      </c>
      <c r="E44" s="269"/>
      <c r="F44" s="87">
        <f>IF(N44=0,IF(N43=1,F25+F26+F27+F28+F29+F30+F31+F32+F33+F34+F35+F36+F37+F38+F39+F40+F41+F42+F43," "),IF(M1=1,P44,IF(M1=2,Q44," ")))</f>
        <v>4.4444444444444446</v>
      </c>
      <c r="G44" s="87">
        <v>0</v>
      </c>
      <c r="H44" s="87">
        <f t="shared" si="15"/>
        <v>44.444444444444443</v>
      </c>
      <c r="I44" s="87">
        <f t="shared" si="16"/>
        <v>76.930000000000007</v>
      </c>
      <c r="J44" s="87">
        <f t="shared" si="0"/>
        <v>8.546277777777771</v>
      </c>
      <c r="K44" s="87">
        <v>0</v>
      </c>
      <c r="L44" s="87">
        <f t="shared" si="17"/>
        <v>85.476277777777781</v>
      </c>
      <c r="M44" s="2">
        <f t="shared" si="18"/>
        <v>20</v>
      </c>
      <c r="N44" s="2">
        <f>IF(M1=1,IF(M14&gt;19,1,0),IF(M1=2,IF(M14&gt;19,1,0),0))</f>
        <v>1</v>
      </c>
      <c r="O44" s="2">
        <f t="shared" si="1"/>
        <v>20</v>
      </c>
      <c r="P44" s="134">
        <f t="shared" si="19"/>
        <v>4.4444444444444446</v>
      </c>
      <c r="Q44" s="134">
        <f t="shared" si="19"/>
        <v>4.4444444444444446</v>
      </c>
      <c r="R44" s="134">
        <f t="shared" si="20"/>
        <v>240</v>
      </c>
      <c r="S44" s="134">
        <f t="shared" si="21"/>
        <v>40</v>
      </c>
      <c r="T44" s="134">
        <f t="shared" si="29"/>
        <v>40</v>
      </c>
      <c r="U44" s="134">
        <f t="shared" si="32"/>
        <v>4.4444444444444446</v>
      </c>
      <c r="V44" s="134">
        <f t="shared" si="33"/>
        <v>4.4444444444444446</v>
      </c>
      <c r="W44" s="134">
        <f t="shared" si="30"/>
        <v>16.666666666666664</v>
      </c>
      <c r="X44" s="134">
        <f t="shared" si="22"/>
        <v>20</v>
      </c>
      <c r="Y44" s="134">
        <f t="shared" si="2"/>
        <v>461.48999999999961</v>
      </c>
      <c r="Z44" s="134">
        <f t="shared" si="31"/>
        <v>8.546277777777771</v>
      </c>
      <c r="AA44" s="134">
        <f t="shared" si="23"/>
        <v>8.546277777777771</v>
      </c>
      <c r="AB44" s="134">
        <f>IF(R45=0,R44*Q12,(R43*20+R44*10))</f>
        <v>8000</v>
      </c>
      <c r="AC44" s="134">
        <f t="shared" si="3"/>
        <v>0</v>
      </c>
      <c r="AD44" s="134">
        <f t="shared" si="3"/>
        <v>0</v>
      </c>
      <c r="AE44" s="134">
        <f t="shared" si="24"/>
        <v>0</v>
      </c>
      <c r="AF44" s="134">
        <f t="shared" si="4"/>
        <v>0</v>
      </c>
      <c r="AG44" s="134">
        <f t="shared" si="25"/>
        <v>0</v>
      </c>
      <c r="AH44" s="134">
        <f t="shared" si="5"/>
        <v>0</v>
      </c>
      <c r="AI44" s="134">
        <f t="shared" si="6"/>
        <v>240</v>
      </c>
      <c r="AJ44" s="134">
        <f>IF(N45=1,AI43*G12*20/36000+AI44*G12*10/36000,IF(N45=0,IF(N44=0,0,AI44*G12*Q12/36000+AI43*G12*20/36000+AI44*G12*10/36000)))</f>
        <v>0</v>
      </c>
      <c r="AK44" s="134">
        <f>IF(N45=1,AI43*G12*20/36000+AI44*G12*10/36000,IF(N45=0,IF(N44=0,0,AI44*G12*Q12/36000+AI43*G12*20/36000+AI44*G12*10/36000)))</f>
        <v>0</v>
      </c>
      <c r="AL44" s="132">
        <f t="shared" si="26"/>
        <v>9</v>
      </c>
      <c r="AM44" s="132">
        <f t="shared" si="7"/>
        <v>9</v>
      </c>
      <c r="AN44" s="2">
        <f t="shared" si="27"/>
        <v>2018</v>
      </c>
      <c r="AO44" s="2">
        <f t="shared" si="8"/>
        <v>2018</v>
      </c>
      <c r="AP44" s="2">
        <f t="shared" si="9"/>
        <v>0</v>
      </c>
      <c r="AQ44" s="2">
        <f t="shared" si="10"/>
        <v>30</v>
      </c>
      <c r="AR44" s="2">
        <f t="shared" si="11"/>
        <v>20</v>
      </c>
      <c r="AS44" s="2">
        <f t="shared" si="28"/>
        <v>30</v>
      </c>
      <c r="AT44" s="2"/>
      <c r="AU44" s="2"/>
      <c r="AV44" s="2"/>
      <c r="AW44" s="2"/>
      <c r="AX44" s="2"/>
      <c r="AY44" s="2">
        <f t="shared" si="12"/>
        <v>1</v>
      </c>
      <c r="AZ44" s="2"/>
      <c r="BA44" s="2"/>
      <c r="BB44" s="2"/>
      <c r="BC44" s="2"/>
      <c r="BD44" s="2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3"/>
        <v>21</v>
      </c>
      <c r="B45" s="268">
        <f t="shared" si="14"/>
        <v>43393</v>
      </c>
      <c r="C45" s="401"/>
      <c r="D45" s="269">
        <f>IF(N45=0,IF(N44=1,D25+D26+D27+D28+D29+D30+D31+D32+D33+D34+D35+D36+D37+D38+D39+D40+D41+D42+D43+D44," "),IF(N45=0," ",IF(N46=1,D25,IF(N46=0,D10-D25*(M14-1)," "))))</f>
        <v>40</v>
      </c>
      <c r="E45" s="269"/>
      <c r="F45" s="87">
        <f>IF(N45=0,IF(N44=1,F25+F26+F27+F28+F29+F30+F31+F32+F33+F34+F35+F36+F37+F38+F39+F40+F41+F42+F43+F44," "),IF(M1=1,P45,IF(M1=2,Q45," ")))</f>
        <v>3.7777777777777777</v>
      </c>
      <c r="G45" s="87">
        <v>0</v>
      </c>
      <c r="H45" s="87">
        <f t="shared" si="15"/>
        <v>43.777777777777779</v>
      </c>
      <c r="I45" s="87">
        <f t="shared" si="16"/>
        <v>76.930000000000007</v>
      </c>
      <c r="J45" s="87">
        <f t="shared" si="0"/>
        <v>7.2641111111111041</v>
      </c>
      <c r="K45" s="87">
        <v>0</v>
      </c>
      <c r="L45" s="87">
        <f t="shared" si="17"/>
        <v>84.194111111111113</v>
      </c>
      <c r="M45" s="2">
        <f t="shared" si="18"/>
        <v>21</v>
      </c>
      <c r="N45" s="2">
        <f>IF(M1=1,IF(M14&gt;20,1,0),IF(M1=2,IF(M14&gt;20,1,0),0))</f>
        <v>1</v>
      </c>
      <c r="O45" s="2">
        <f t="shared" si="1"/>
        <v>20</v>
      </c>
      <c r="P45" s="134">
        <f t="shared" si="19"/>
        <v>3.7777777777777777</v>
      </c>
      <c r="Q45" s="134">
        <f t="shared" si="19"/>
        <v>3.7777777777777777</v>
      </c>
      <c r="R45" s="134">
        <f t="shared" si="20"/>
        <v>200</v>
      </c>
      <c r="S45" s="134">
        <f t="shared" si="21"/>
        <v>40</v>
      </c>
      <c r="T45" s="134">
        <f t="shared" si="29"/>
        <v>40</v>
      </c>
      <c r="U45" s="134">
        <f t="shared" si="32"/>
        <v>3.7777777777777777</v>
      </c>
      <c r="V45" s="134">
        <f t="shared" si="33"/>
        <v>3.7777777777777777</v>
      </c>
      <c r="W45" s="134">
        <f t="shared" si="30"/>
        <v>16.666666666666664</v>
      </c>
      <c r="X45" s="134">
        <f t="shared" si="22"/>
        <v>20</v>
      </c>
      <c r="Y45" s="134">
        <f t="shared" si="2"/>
        <v>384.5599999999996</v>
      </c>
      <c r="Z45" s="134">
        <f t="shared" si="31"/>
        <v>7.2641111111111041</v>
      </c>
      <c r="AA45" s="134">
        <f t="shared" si="23"/>
        <v>7.2641111111111041</v>
      </c>
      <c r="AB45" s="134">
        <f>IF(R46=0,R45*Q12,(R44*20+R45*10))</f>
        <v>6800</v>
      </c>
      <c r="AC45" s="134">
        <f t="shared" si="3"/>
        <v>0</v>
      </c>
      <c r="AD45" s="134">
        <f t="shared" si="3"/>
        <v>0</v>
      </c>
      <c r="AE45" s="134">
        <f t="shared" si="24"/>
        <v>0</v>
      </c>
      <c r="AF45" s="134">
        <f t="shared" si="4"/>
        <v>0</v>
      </c>
      <c r="AG45" s="134">
        <f t="shared" si="25"/>
        <v>0</v>
      </c>
      <c r="AH45" s="134">
        <f t="shared" si="5"/>
        <v>0</v>
      </c>
      <c r="AI45" s="134">
        <f t="shared" si="6"/>
        <v>200</v>
      </c>
      <c r="AJ45" s="134">
        <f>IF(N46=1,AI44*G12*20/36000+AI45*G12*10/36000,IF(N46=0,IF(N45=0,0,AI45*G12*Q12/36000+AI44*G12*20/36000+AI45*G12*10/36000)))</f>
        <v>0</v>
      </c>
      <c r="AK45" s="134">
        <f>IF(N46=1,AI44*G12*20/36000+AI45*G12*10/36000,IF(N46=0,IF(N45=0,0,AI45*G12*Q12/36000+AI44*G12*20/36000+AI45*G12*10/36000)))</f>
        <v>0</v>
      </c>
      <c r="AL45" s="132">
        <f t="shared" si="26"/>
        <v>10</v>
      </c>
      <c r="AM45" s="132">
        <f t="shared" si="7"/>
        <v>10</v>
      </c>
      <c r="AN45" s="2">
        <f t="shared" si="27"/>
        <v>2018</v>
      </c>
      <c r="AO45" s="2">
        <f t="shared" si="8"/>
        <v>2018</v>
      </c>
      <c r="AP45" s="2">
        <f t="shared" si="9"/>
        <v>0</v>
      </c>
      <c r="AQ45" s="2">
        <f t="shared" si="10"/>
        <v>30</v>
      </c>
      <c r="AR45" s="2">
        <f t="shared" si="11"/>
        <v>20</v>
      </c>
      <c r="AS45" s="2">
        <f t="shared" si="28"/>
        <v>30</v>
      </c>
      <c r="AT45" s="2"/>
      <c r="AU45" s="2"/>
      <c r="AV45" s="2"/>
      <c r="AW45" s="2"/>
      <c r="AX45" s="2"/>
      <c r="AY45" s="2">
        <f t="shared" si="12"/>
        <v>1</v>
      </c>
      <c r="AZ45" s="2"/>
      <c r="BA45" s="2"/>
      <c r="BB45" s="2"/>
      <c r="BC45" s="2"/>
      <c r="BD45" s="2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3"/>
        <v>22</v>
      </c>
      <c r="B46" s="268">
        <f t="shared" si="14"/>
        <v>43424</v>
      </c>
      <c r="C46" s="401"/>
      <c r="D46" s="269">
        <f>IF(N46=0,IF(N45=1,D25+D26+D27+D28+D29+D30+D31+D32+D33+D34+D35+D36+D37+D38+D39+D40+D41+D42+D43+D44+D45," "),IF(N46=0," ",IF(N47=1,D25,IF(N47=0,D10-D25*(M14-1)," "))))</f>
        <v>40</v>
      </c>
      <c r="E46" s="269"/>
      <c r="F46" s="87">
        <f>IF(N46=0,IF(N45=1,F25+F26+F27+F28+F29+F30+F31+F32+F33+F34+F35+F36+F37+F38+F39+F40+F41+F42+F43+F44+F45," "),IF(M1=1,P46,IF(M1=2,Q46," ")))</f>
        <v>3.1111111111111112</v>
      </c>
      <c r="G46" s="87">
        <v>0</v>
      </c>
      <c r="H46" s="87">
        <f t="shared" si="15"/>
        <v>43.111111111111114</v>
      </c>
      <c r="I46" s="87">
        <f t="shared" si="16"/>
        <v>76.930000000000007</v>
      </c>
      <c r="J46" s="87">
        <f t="shared" si="0"/>
        <v>5.9819444444444372</v>
      </c>
      <c r="K46" s="87">
        <v>0</v>
      </c>
      <c r="L46" s="87">
        <f t="shared" si="17"/>
        <v>82.911944444444444</v>
      </c>
      <c r="M46" s="2">
        <f t="shared" si="18"/>
        <v>22</v>
      </c>
      <c r="N46" s="2">
        <f>IF(M1=1,IF(M14&gt;21,1,0),IF(M1=2,IF(M14&gt;21,1,0),0))</f>
        <v>1</v>
      </c>
      <c r="O46" s="2">
        <f t="shared" si="1"/>
        <v>20</v>
      </c>
      <c r="P46" s="134">
        <f t="shared" si="19"/>
        <v>3.1111111111111112</v>
      </c>
      <c r="Q46" s="134">
        <f t="shared" si="19"/>
        <v>3.1111111111111112</v>
      </c>
      <c r="R46" s="134">
        <f t="shared" si="20"/>
        <v>160</v>
      </c>
      <c r="S46" s="134">
        <f t="shared" si="21"/>
        <v>40</v>
      </c>
      <c r="T46" s="134">
        <f t="shared" si="29"/>
        <v>40</v>
      </c>
      <c r="U46" s="134">
        <f t="shared" si="32"/>
        <v>3.1111111111111112</v>
      </c>
      <c r="V46" s="134">
        <f t="shared" si="33"/>
        <v>3.1111111111111112</v>
      </c>
      <c r="W46" s="134">
        <f t="shared" si="30"/>
        <v>16.666666666666664</v>
      </c>
      <c r="X46" s="134">
        <f t="shared" si="22"/>
        <v>20</v>
      </c>
      <c r="Y46" s="134">
        <f t="shared" si="2"/>
        <v>307.6299999999996</v>
      </c>
      <c r="Z46" s="134">
        <f t="shared" si="31"/>
        <v>5.9819444444444372</v>
      </c>
      <c r="AA46" s="134">
        <f t="shared" si="23"/>
        <v>5.9819444444444372</v>
      </c>
      <c r="AB46" s="134">
        <f>IF(R47=0,R46*Q12,(R45*20+R46*10))</f>
        <v>5600</v>
      </c>
      <c r="AC46" s="134">
        <f t="shared" si="3"/>
        <v>0</v>
      </c>
      <c r="AD46" s="134">
        <f t="shared" si="3"/>
        <v>0</v>
      </c>
      <c r="AE46" s="134">
        <f t="shared" si="24"/>
        <v>0</v>
      </c>
      <c r="AF46" s="134">
        <f t="shared" si="4"/>
        <v>0</v>
      </c>
      <c r="AG46" s="134">
        <f t="shared" si="25"/>
        <v>0</v>
      </c>
      <c r="AH46" s="134">
        <f t="shared" si="5"/>
        <v>0</v>
      </c>
      <c r="AI46" s="134">
        <f t="shared" si="6"/>
        <v>160</v>
      </c>
      <c r="AJ46" s="134">
        <f>IF(N47=1,AI45*G12*20/36000+AI46*G12*10/36000,IF(N47=0,IF(N46=0,0,AI46*G12*Q12/36000+AI45*G12*20/36000+AI46*G12*10/36000)))</f>
        <v>0</v>
      </c>
      <c r="AK46" s="134">
        <f>IF(N47=1,AI45*G12*20/36000+AI46*G12*10/36000,IF(N47=0,IF(N46=0,0,AI46*G12*Q12/36000+AI45*G12*20/36000+AI46*G12*10/36000)))</f>
        <v>0</v>
      </c>
      <c r="AL46" s="132">
        <f t="shared" si="26"/>
        <v>11</v>
      </c>
      <c r="AM46" s="132">
        <f t="shared" si="7"/>
        <v>11</v>
      </c>
      <c r="AN46" s="2">
        <f t="shared" si="27"/>
        <v>2018</v>
      </c>
      <c r="AO46" s="2">
        <f t="shared" si="8"/>
        <v>2018</v>
      </c>
      <c r="AP46" s="2">
        <f t="shared" si="9"/>
        <v>0</v>
      </c>
      <c r="AQ46" s="2">
        <f t="shared" si="10"/>
        <v>30</v>
      </c>
      <c r="AR46" s="2">
        <f t="shared" si="11"/>
        <v>20</v>
      </c>
      <c r="AS46" s="2">
        <f t="shared" si="28"/>
        <v>30</v>
      </c>
      <c r="AT46" s="2"/>
      <c r="AU46" s="2"/>
      <c r="AV46" s="2"/>
      <c r="AW46" s="2"/>
      <c r="AX46" s="2"/>
      <c r="AY46" s="2">
        <f t="shared" si="12"/>
        <v>1</v>
      </c>
      <c r="AZ46" s="2"/>
      <c r="BA46" s="2"/>
      <c r="BB46" s="2"/>
      <c r="BC46" s="2"/>
      <c r="BD46" s="2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3"/>
        <v>23</v>
      </c>
      <c r="B47" s="268">
        <f t="shared" si="14"/>
        <v>43454</v>
      </c>
      <c r="C47" s="401"/>
      <c r="D47" s="269">
        <f>IF(N47=0,IF(N46=1,D25+D26+D27+D28+D29+D30+D31+D32+D33+D34+D35+D36+D37+D38+D39+D40+D41+D42+D43+D44+D45+D46," "),IF(N47=0," ",IF(N48=1,D25,IF(N48=0,D10-D25*(M14-1)," "))))</f>
        <v>40</v>
      </c>
      <c r="E47" s="269"/>
      <c r="F47" s="87">
        <f>IF(N47=0,IF(N46=1,F25+F26+F27+F28+F29+F30+F31+F32+F33+F34+F35+F36+F37+F38+F39+F40+F41+F42+F43+F44+F45+F46," "),IF(M1=1,P47,IF(M1=2,Q47," ")))</f>
        <v>2.4444444444444442</v>
      </c>
      <c r="G47" s="87">
        <v>0</v>
      </c>
      <c r="H47" s="87">
        <f t="shared" si="15"/>
        <v>42.444444444444443</v>
      </c>
      <c r="I47" s="87">
        <f t="shared" si="16"/>
        <v>76.930000000000007</v>
      </c>
      <c r="J47" s="87">
        <f t="shared" si="0"/>
        <v>4.6997777777777712</v>
      </c>
      <c r="K47" s="87">
        <v>0</v>
      </c>
      <c r="L47" s="87">
        <f t="shared" si="17"/>
        <v>81.629777777777775</v>
      </c>
      <c r="M47" s="2">
        <f t="shared" si="18"/>
        <v>23</v>
      </c>
      <c r="N47" s="2">
        <f>IF(M1=1,IF(M14&gt;22,1,0),IF(M1=2,IF(M14&gt;22,1,0),0))</f>
        <v>1</v>
      </c>
      <c r="O47" s="2">
        <f t="shared" si="1"/>
        <v>20</v>
      </c>
      <c r="P47" s="134">
        <f t="shared" si="19"/>
        <v>2.4444444444444442</v>
      </c>
      <c r="Q47" s="134">
        <f t="shared" si="19"/>
        <v>2.4444444444444442</v>
      </c>
      <c r="R47" s="134">
        <f t="shared" si="20"/>
        <v>120</v>
      </c>
      <c r="S47" s="134">
        <f t="shared" si="21"/>
        <v>40</v>
      </c>
      <c r="T47" s="134">
        <f t="shared" si="29"/>
        <v>40</v>
      </c>
      <c r="U47" s="134">
        <f t="shared" si="32"/>
        <v>2.4444444444444442</v>
      </c>
      <c r="V47" s="134">
        <f t="shared" si="33"/>
        <v>2.4444444444444442</v>
      </c>
      <c r="W47" s="134">
        <f t="shared" si="30"/>
        <v>16.666666666666664</v>
      </c>
      <c r="X47" s="134">
        <f t="shared" si="22"/>
        <v>20</v>
      </c>
      <c r="Y47" s="134">
        <f t="shared" si="2"/>
        <v>230.69999999999959</v>
      </c>
      <c r="Z47" s="134">
        <f t="shared" si="31"/>
        <v>4.6997777777777712</v>
      </c>
      <c r="AA47" s="134">
        <f t="shared" si="23"/>
        <v>4.6997777777777712</v>
      </c>
      <c r="AB47" s="134">
        <f>IF(R48=0,R47*Q12,(R46*20+R47*10))</f>
        <v>4400</v>
      </c>
      <c r="AC47" s="134">
        <f t="shared" si="3"/>
        <v>0</v>
      </c>
      <c r="AD47" s="134">
        <f t="shared" si="3"/>
        <v>0</v>
      </c>
      <c r="AE47" s="134">
        <f t="shared" si="24"/>
        <v>0</v>
      </c>
      <c r="AF47" s="134">
        <f t="shared" si="4"/>
        <v>0</v>
      </c>
      <c r="AG47" s="134">
        <f t="shared" si="25"/>
        <v>0</v>
      </c>
      <c r="AH47" s="134">
        <f t="shared" si="5"/>
        <v>0</v>
      </c>
      <c r="AI47" s="134">
        <f t="shared" si="6"/>
        <v>120</v>
      </c>
      <c r="AJ47" s="134">
        <f>IF(N48=1,AI46*G12*20/36000+AI47*G12*10/36000,IF(N48=0,IF(N47=0,0,AI47*G12*Q12/36000+AI46*G12*20/36000+AI47*G12*10/36000)))</f>
        <v>0</v>
      </c>
      <c r="AK47" s="134">
        <f>IF(N48=1,AI46*G12*20/36000+AI47*G12*10/36000,IF(N48=0,IF(N47=0,0,AI47*G12*Q12/36000+AI46*G12*20/36000+AI47*G12*10/36000)))</f>
        <v>0</v>
      </c>
      <c r="AL47" s="132">
        <f t="shared" si="26"/>
        <v>12</v>
      </c>
      <c r="AM47" s="132">
        <f t="shared" si="7"/>
        <v>12</v>
      </c>
      <c r="AN47" s="2">
        <f t="shared" si="27"/>
        <v>2018</v>
      </c>
      <c r="AO47" s="2">
        <f t="shared" si="8"/>
        <v>2018</v>
      </c>
      <c r="AP47" s="2">
        <f t="shared" si="9"/>
        <v>0</v>
      </c>
      <c r="AQ47" s="2">
        <f t="shared" si="10"/>
        <v>30</v>
      </c>
      <c r="AR47" s="2">
        <f t="shared" si="11"/>
        <v>20</v>
      </c>
      <c r="AS47" s="2">
        <f t="shared" si="28"/>
        <v>30</v>
      </c>
      <c r="AT47" s="2"/>
      <c r="AU47" s="2"/>
      <c r="AV47" s="2"/>
      <c r="AW47" s="2"/>
      <c r="AX47" s="2"/>
      <c r="AY47" s="2">
        <f t="shared" si="12"/>
        <v>1</v>
      </c>
      <c r="AZ47" s="2"/>
      <c r="BA47" s="2"/>
      <c r="BB47" s="2"/>
      <c r="BC47" s="2"/>
      <c r="BD47" s="2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3"/>
        <v>24</v>
      </c>
      <c r="B48" s="268">
        <f t="shared" si="14"/>
        <v>43485</v>
      </c>
      <c r="C48" s="401"/>
      <c r="D48" s="269">
        <f>IF(N48=0,IF(N47=1,SUM(D$25:E47)," "),IF(N48=0," ",IF(N49=1,D$25,IF(N49=0,D$10-D$25*(M$14-1)," "))))</f>
        <v>40</v>
      </c>
      <c r="E48" s="269"/>
      <c r="F48" s="87">
        <f>IF(N48=0,IF(N47=1,SUM(F$25:F47)," "),IF(M$1=1,P48,IF(M$1=2,Q48," ")))</f>
        <v>1.7777777777777777</v>
      </c>
      <c r="G48" s="87">
        <v>0</v>
      </c>
      <c r="H48" s="87">
        <f t="shared" si="15"/>
        <v>41.777777777777779</v>
      </c>
      <c r="I48" s="87">
        <f t="shared" si="16"/>
        <v>76.930000000000007</v>
      </c>
      <c r="J48" s="87">
        <f t="shared" si="0"/>
        <v>3.4176111111111043</v>
      </c>
      <c r="K48" s="87">
        <v>0</v>
      </c>
      <c r="L48" s="87">
        <f t="shared" si="17"/>
        <v>80.347611111111107</v>
      </c>
      <c r="M48" s="2">
        <f t="shared" si="18"/>
        <v>24</v>
      </c>
      <c r="N48" s="2">
        <f t="shared" ref="N48:N85" si="34">IF(M$1=1,IF(M$14&gt;M47,1,0),IF(M$1=2,IF(M$14&gt;M47,1,0),0))</f>
        <v>1</v>
      </c>
      <c r="O48" s="2">
        <f t="shared" si="1"/>
        <v>20</v>
      </c>
      <c r="P48" s="134">
        <f t="shared" si="19"/>
        <v>1.7777777777777777</v>
      </c>
      <c r="Q48" s="134">
        <f t="shared" si="19"/>
        <v>1.7777777777777777</v>
      </c>
      <c r="R48" s="134">
        <f t="shared" si="20"/>
        <v>80</v>
      </c>
      <c r="S48" s="134">
        <f t="shared" si="21"/>
        <v>40</v>
      </c>
      <c r="T48" s="134">
        <f t="shared" si="29"/>
        <v>40</v>
      </c>
      <c r="U48" s="134">
        <f>IF(N49=1,R47*E11*20/36000+R48*E11*10/36000,IF(N49=0,IF(N48=0,0,R48*E11*Q12/36000+R47*E11*20/36000+R48*E11*10/36000)))</f>
        <v>1.7777777777777777</v>
      </c>
      <c r="V48" s="134">
        <f>IF(N49=1,R47*E11*20/36000+R48*E11*10/36000,IF(N49=0,IF(N48=0,0,R48*E11*Q12/36000+R47*E11*20/36000+R48*E11*10/36000)))</f>
        <v>1.7777777777777777</v>
      </c>
      <c r="W48" s="134">
        <f t="shared" si="30"/>
        <v>16.666666666666664</v>
      </c>
      <c r="X48" s="134">
        <f t="shared" si="22"/>
        <v>20</v>
      </c>
      <c r="Y48" s="134">
        <f t="shared" si="2"/>
        <v>153.76999999999958</v>
      </c>
      <c r="Z48" s="134">
        <f t="shared" si="31"/>
        <v>3.4176111111111043</v>
      </c>
      <c r="AA48" s="134">
        <f t="shared" si="23"/>
        <v>3.4176111111111043</v>
      </c>
      <c r="AB48" s="134">
        <f t="shared" ref="AB48:AB84" si="35">IF(R49=0,R48*Q$12,(R47*20+R48*10))</f>
        <v>3200</v>
      </c>
      <c r="AC48" s="134">
        <f t="shared" si="3"/>
        <v>0</v>
      </c>
      <c r="AD48" s="134">
        <f t="shared" si="3"/>
        <v>0</v>
      </c>
      <c r="AE48" s="134">
        <f t="shared" si="24"/>
        <v>0</v>
      </c>
      <c r="AF48" s="134">
        <f t="shared" si="4"/>
        <v>0</v>
      </c>
      <c r="AG48" s="134">
        <f t="shared" si="25"/>
        <v>0</v>
      </c>
      <c r="AH48" s="134">
        <f t="shared" si="5"/>
        <v>0</v>
      </c>
      <c r="AI48" s="134">
        <f t="shared" si="6"/>
        <v>80</v>
      </c>
      <c r="AJ48" s="134">
        <f>IF(N49=1,AI47*G$12*20/36000+AI48*G$12*10/36000,IF(N49=0,IF(N48=0,0,AI48*G$12*Q$12/36000+AI47*G$12*20/36000+AI48*G$12*10/36000)))</f>
        <v>0</v>
      </c>
      <c r="AK48" s="134">
        <f>IF(N49=1,AI47*G$12*20/36000+AI48*G$12*10/36000,IF(N49=0,IF(N48=0,0,AI48*G$12*Q$12/36000+AI47*G$12*20/36000+AI48*G$12*10/36000)))</f>
        <v>0</v>
      </c>
      <c r="AL48" s="132">
        <f t="shared" si="26"/>
        <v>13</v>
      </c>
      <c r="AM48" s="132">
        <f t="shared" si="7"/>
        <v>1</v>
      </c>
      <c r="AN48" s="2">
        <f t="shared" si="27"/>
        <v>2018</v>
      </c>
      <c r="AO48" s="2">
        <f t="shared" si="8"/>
        <v>2019</v>
      </c>
      <c r="AP48" s="2">
        <f t="shared" si="9"/>
        <v>0</v>
      </c>
      <c r="AQ48" s="2">
        <f t="shared" si="10"/>
        <v>30</v>
      </c>
      <c r="AR48" s="2">
        <f t="shared" si="11"/>
        <v>20</v>
      </c>
      <c r="AS48" s="2">
        <f t="shared" si="28"/>
        <v>30</v>
      </c>
      <c r="AT48" s="2"/>
      <c r="AU48" s="2"/>
      <c r="AV48" s="2"/>
      <c r="AW48" s="2"/>
      <c r="AX48" s="2"/>
      <c r="AY48" s="2">
        <f t="shared" si="12"/>
        <v>1</v>
      </c>
      <c r="AZ48" s="2"/>
      <c r="BA48" s="2"/>
      <c r="BB48" s="2"/>
      <c r="BC48" s="2"/>
      <c r="BD48" s="2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si="14"/>
        <v>43490</v>
      </c>
      <c r="C49" s="401"/>
      <c r="D49" s="269">
        <f>IF(N49=0,IF(N48=1,SUM(D$25:E48)," "),IF(N49=0," ",IF(N50=1,D$25,IF(N50=0,D$10-D$25*(M$14-1)," "))))</f>
        <v>40</v>
      </c>
      <c r="E49" s="269"/>
      <c r="F49" s="87">
        <f>IF(N49=0,IF(N48=1,SUM(F$25:F48)," "),IF(M$1=1,P49,IF(M$1=2,Q49," ")))</f>
        <v>1</v>
      </c>
      <c r="G49" s="87">
        <v>0</v>
      </c>
      <c r="H49" s="87">
        <f t="shared" si="15"/>
        <v>41</v>
      </c>
      <c r="I49" s="87">
        <f t="shared" si="16"/>
        <v>76.839999999999861</v>
      </c>
      <c r="J49" s="87">
        <f t="shared" si="0"/>
        <v>1.9219999999999939</v>
      </c>
      <c r="K49" s="87">
        <v>0</v>
      </c>
      <c r="L49" s="87">
        <f t="shared" si="17"/>
        <v>78.761999999999858</v>
      </c>
      <c r="M49" s="2">
        <v>25</v>
      </c>
      <c r="N49" s="2">
        <f t="shared" si="34"/>
        <v>1</v>
      </c>
      <c r="O49" s="2">
        <f t="shared" si="1"/>
        <v>25</v>
      </c>
      <c r="P49" s="134">
        <f t="shared" si="19"/>
        <v>1</v>
      </c>
      <c r="Q49" s="134">
        <f t="shared" si="19"/>
        <v>1</v>
      </c>
      <c r="R49" s="134">
        <f t="shared" si="20"/>
        <v>40</v>
      </c>
      <c r="S49" s="134">
        <f t="shared" si="21"/>
        <v>40</v>
      </c>
      <c r="T49" s="134">
        <f t="shared" si="29"/>
        <v>40</v>
      </c>
      <c r="U49" s="134">
        <f>IF(N50=1,R48*E$11*20/36000+R49*E$11*10/36000,IF(N50=0,IF(N49=0,0,IF(D$16&gt;20,R48*E$11*20/36000+R49*E$11*(Q$12-20)/36000,R49*E$11*Q$12/36000))))</f>
        <v>1</v>
      </c>
      <c r="V49" s="134">
        <f t="shared" ref="V49:V59" si="36">IF(N50=1,R48*E$11*20/36000+R49*E$11*10/36000,IF(N50=0,IF(N49=0,0,IF(D$16&gt;20,R48*E$11*20/36000+R49*E$11*(Q$12-20)/36000,R49*E$11*Q$12/36000))))</f>
        <v>1</v>
      </c>
      <c r="W49" s="134">
        <f t="shared" si="30"/>
        <v>30.555555555555557</v>
      </c>
      <c r="X49" s="134">
        <f t="shared" si="22"/>
        <v>30</v>
      </c>
      <c r="Y49" s="134">
        <f t="shared" si="2"/>
        <v>76.839999999999577</v>
      </c>
      <c r="Z49" s="134">
        <f t="shared" si="31"/>
        <v>1.9219999999999939</v>
      </c>
      <c r="AA49" s="134">
        <f t="shared" si="23"/>
        <v>1.9219999999999939</v>
      </c>
      <c r="AB49" s="134">
        <f t="shared" si="35"/>
        <v>1000</v>
      </c>
      <c r="AC49" s="134">
        <f t="shared" si="3"/>
        <v>0</v>
      </c>
      <c r="AD49" s="134">
        <f t="shared" si="3"/>
        <v>0</v>
      </c>
      <c r="AE49" s="134">
        <f t="shared" si="24"/>
        <v>0</v>
      </c>
      <c r="AF49" s="134">
        <f t="shared" si="4"/>
        <v>0</v>
      </c>
      <c r="AG49" s="134">
        <f t="shared" si="25"/>
        <v>0</v>
      </c>
      <c r="AH49" s="134">
        <f t="shared" si="5"/>
        <v>0</v>
      </c>
      <c r="AI49" s="134">
        <f t="shared" si="6"/>
        <v>40</v>
      </c>
      <c r="AJ49" s="134">
        <f>IF(N50=1,AI48*G$12*20/36000+AI49*G$12*10/36000,IF(N50=0,IF(N49=0,0,AI49*G$12*Q$12/36000)))</f>
        <v>0</v>
      </c>
      <c r="AK49" s="134">
        <f>IF(N50=1,AI48*G$12*20/36000+AI49*G$12*10/36000,IF(N50=0,IF(N49=0,0,AI49*G$12*Q$12/36000)))</f>
        <v>0</v>
      </c>
      <c r="AL49" s="132">
        <f t="shared" si="26"/>
        <v>2</v>
      </c>
      <c r="AM49" s="132">
        <f t="shared" si="7"/>
        <v>2</v>
      </c>
      <c r="AN49" s="2">
        <f t="shared" si="27"/>
        <v>2019</v>
      </c>
      <c r="AO49" s="2">
        <f t="shared" si="8"/>
        <v>2019</v>
      </c>
      <c r="AP49" s="2">
        <f t="shared" si="9"/>
        <v>0</v>
      </c>
      <c r="AQ49" s="2">
        <f t="shared" si="10"/>
        <v>28</v>
      </c>
      <c r="AR49" s="2">
        <f t="shared" si="11"/>
        <v>20</v>
      </c>
      <c r="AS49" s="2">
        <f t="shared" si="28"/>
        <v>30</v>
      </c>
      <c r="AT49" s="2"/>
      <c r="AU49" s="2"/>
      <c r="AV49" s="2"/>
      <c r="AW49" s="2"/>
      <c r="AX49" s="2"/>
      <c r="AY49" s="2">
        <f t="shared" si="12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si="14"/>
        <v>ИТОГО</v>
      </c>
      <c r="C50" s="401"/>
      <c r="D50" s="269">
        <f>IF(N50=0,IF(N49=1,SUM(D$25:E49)," "),IF(N50=0," ",IF(N51=1,D$25,IF(N51=0,D$10-D$25*(M$14-1)," "))))</f>
        <v>1000</v>
      </c>
      <c r="E50" s="269"/>
      <c r="F50" s="87">
        <f>IF(N50=0,IF(N49=1,SUM(F$25:F49)," "),IF(M$1=1,P50,IF(M$1=2,Q50," ")))</f>
        <v>196.34444444444449</v>
      </c>
      <c r="G50" s="87">
        <v>0</v>
      </c>
      <c r="H50" s="87">
        <f t="shared" si="15"/>
        <v>1196.3444444444444</v>
      </c>
      <c r="I50" s="87">
        <f t="shared" si="16"/>
        <v>0</v>
      </c>
      <c r="J50" s="87">
        <f t="shared" si="0"/>
        <v>0</v>
      </c>
      <c r="K50" s="87">
        <v>0</v>
      </c>
      <c r="L50" s="87" t="str">
        <f t="shared" si="17"/>
        <v xml:space="preserve"> </v>
      </c>
      <c r="M50" s="2">
        <v>26</v>
      </c>
      <c r="N50" s="2">
        <f t="shared" si="34"/>
        <v>0</v>
      </c>
      <c r="O50" s="2">
        <f t="shared" si="1"/>
        <v>20</v>
      </c>
      <c r="P50" s="134">
        <f t="shared" si="19"/>
        <v>0</v>
      </c>
      <c r="Q50" s="134">
        <f t="shared" si="19"/>
        <v>0</v>
      </c>
      <c r="R50" s="134">
        <f t="shared" si="20"/>
        <v>0</v>
      </c>
      <c r="S50" s="134">
        <f t="shared" si="21"/>
        <v>1000</v>
      </c>
      <c r="T50" s="134">
        <f t="shared" si="29"/>
        <v>1000</v>
      </c>
      <c r="U50" s="134">
        <f t="shared" ref="U50:U59" si="37">IF(N51=1,R49*E$11*20/36000+R50*E$11*10/36000,IF(N51=0,IF(N50=0,0,IF(D$16&gt;20,R49*E$11*20/36000+R50*E$11*(Q$12-20)/36000,R50*E$11*Q$12/36000))))</f>
        <v>0</v>
      </c>
      <c r="V50" s="134">
        <f t="shared" si="36"/>
        <v>0</v>
      </c>
      <c r="W50" s="134">
        <f t="shared" si="30"/>
        <v>0</v>
      </c>
      <c r="X50" s="134">
        <f t="shared" si="22"/>
        <v>0</v>
      </c>
      <c r="Y50" s="134">
        <f t="shared" si="2"/>
        <v>-2.8421709430404007E-13</v>
      </c>
      <c r="Z50" s="134">
        <f t="shared" si="31"/>
        <v>0</v>
      </c>
      <c r="AA50" s="134">
        <f t="shared" si="23"/>
        <v>0</v>
      </c>
      <c r="AB50" s="134">
        <f t="shared" si="35"/>
        <v>0</v>
      </c>
      <c r="AC50" s="134">
        <f t="shared" si="3"/>
        <v>0</v>
      </c>
      <c r="AD50" s="134">
        <f t="shared" si="3"/>
        <v>0</v>
      </c>
      <c r="AE50" s="134">
        <f t="shared" si="24"/>
        <v>0</v>
      </c>
      <c r="AF50" s="134">
        <f t="shared" si="4"/>
        <v>0</v>
      </c>
      <c r="AG50" s="134">
        <f t="shared" si="25"/>
        <v>0</v>
      </c>
      <c r="AH50" s="134">
        <f t="shared" si="5"/>
        <v>0</v>
      </c>
      <c r="AI50" s="134">
        <f t="shared" si="6"/>
        <v>0</v>
      </c>
      <c r="AJ50" s="134">
        <f t="shared" ref="AJ50:AJ60" si="38">IF(N51=1,AI49*G$12*20/36000+AI50*G$12*10/36000,IF(N51=0,IF(N50=0,0,AI50*G$12*Q$12/36000+AI49*G$12*20/36000+AI50*G$12*10/36000)))</f>
        <v>0</v>
      </c>
      <c r="AK50" s="134">
        <f t="shared" ref="AK50:AK60" si="39">IF(N51=1,AI49*G$12*20/36000+AI50*G$12*10/36000,IF(N51=0,IF(N50=0,0,AI50*G$12*Q$12/36000+AI49*G$12*20/36000+AI50*G$12*10/36000)))</f>
        <v>0</v>
      </c>
      <c r="AL50" s="132">
        <f t="shared" si="26"/>
        <v>0</v>
      </c>
      <c r="AM50" s="132">
        <f t="shared" si="7"/>
        <v>0</v>
      </c>
      <c r="AN50" s="2">
        <f t="shared" si="27"/>
        <v>0</v>
      </c>
      <c r="AO50" s="2">
        <f t="shared" si="8"/>
        <v>0</v>
      </c>
      <c r="AP50" s="2">
        <f t="shared" si="9"/>
        <v>0</v>
      </c>
      <c r="AQ50" s="2">
        <f t="shared" si="10"/>
        <v>30</v>
      </c>
      <c r="AR50" s="2">
        <f t="shared" si="11"/>
        <v>20</v>
      </c>
      <c r="AS50" s="2">
        <f t="shared" si="28"/>
        <v>28</v>
      </c>
      <c r="AT50" s="2"/>
      <c r="AU50" s="2"/>
      <c r="AV50" s="2"/>
      <c r="AW50" s="2"/>
      <c r="AX50" s="2"/>
      <c r="AY50" s="2">
        <f t="shared" si="12"/>
        <v>0</v>
      </c>
      <c r="AZ50" s="2"/>
      <c r="BA50" s="2"/>
      <c r="BB50" s="2"/>
      <c r="BC50" s="2"/>
      <c r="BD50" s="2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si="14"/>
        <v xml:space="preserve"> </v>
      </c>
      <c r="C51" s="401"/>
      <c r="D51" s="269" t="str">
        <f>IF(N51=0,IF(N50=1,SUM(D$25:E50)," "),IF(N51=0," ",IF(N52=1,D$25,IF(N52=0,D$10-D$25*(M$14-1)," "))))</f>
        <v xml:space="preserve"> </v>
      </c>
      <c r="E51" s="269"/>
      <c r="F51" s="87" t="str">
        <f>IF(N51=0,IF(N50=1,SUM(F$25:F50)," "),IF(M$1=1,P51,IF(M$1=2,Q51," ")))</f>
        <v xml:space="preserve"> </v>
      </c>
      <c r="G51" s="87">
        <v>0</v>
      </c>
      <c r="H51" s="87" t="str">
        <f t="shared" si="15"/>
        <v xml:space="preserve"> </v>
      </c>
      <c r="I51" s="87">
        <f t="shared" si="16"/>
        <v>0</v>
      </c>
      <c r="J51" s="87">
        <f t="shared" si="0"/>
        <v>0</v>
      </c>
      <c r="K51" s="87">
        <v>0</v>
      </c>
      <c r="L51" s="87" t="str">
        <f t="shared" si="17"/>
        <v xml:space="preserve"> </v>
      </c>
      <c r="M51" s="2">
        <v>27</v>
      </c>
      <c r="N51" s="2">
        <f t="shared" si="34"/>
        <v>0</v>
      </c>
      <c r="O51" s="2">
        <f t="shared" si="1"/>
        <v>20</v>
      </c>
      <c r="P51" s="134">
        <f t="shared" si="19"/>
        <v>0</v>
      </c>
      <c r="Q51" s="134">
        <f t="shared" si="19"/>
        <v>0</v>
      </c>
      <c r="R51" s="134">
        <f t="shared" si="20"/>
        <v>0</v>
      </c>
      <c r="S51" s="134" t="str">
        <f t="shared" si="21"/>
        <v xml:space="preserve"> </v>
      </c>
      <c r="T51" s="134" t="str">
        <f t="shared" si="29"/>
        <v xml:space="preserve"> </v>
      </c>
      <c r="U51" s="134">
        <f t="shared" si="37"/>
        <v>0</v>
      </c>
      <c r="V51" s="134">
        <f t="shared" si="36"/>
        <v>0</v>
      </c>
      <c r="W51" s="134">
        <f t="shared" si="30"/>
        <v>0</v>
      </c>
      <c r="X51" s="134">
        <f t="shared" si="22"/>
        <v>0</v>
      </c>
      <c r="Y51" s="134">
        <f t="shared" si="2"/>
        <v>-2.8421709430404007E-13</v>
      </c>
      <c r="Z51" s="134">
        <f t="shared" si="31"/>
        <v>0</v>
      </c>
      <c r="AA51" s="134">
        <f t="shared" si="23"/>
        <v>0</v>
      </c>
      <c r="AB51" s="134">
        <f t="shared" si="35"/>
        <v>0</v>
      </c>
      <c r="AC51" s="134">
        <f t="shared" si="3"/>
        <v>0</v>
      </c>
      <c r="AD51" s="134">
        <f t="shared" si="3"/>
        <v>0</v>
      </c>
      <c r="AE51" s="134">
        <f t="shared" si="24"/>
        <v>0</v>
      </c>
      <c r="AF51" s="134">
        <f t="shared" si="4"/>
        <v>0</v>
      </c>
      <c r="AG51" s="134">
        <f t="shared" si="25"/>
        <v>0</v>
      </c>
      <c r="AH51" s="134">
        <f t="shared" si="5"/>
        <v>0</v>
      </c>
      <c r="AI51" s="134">
        <f t="shared" si="6"/>
        <v>0</v>
      </c>
      <c r="AJ51" s="134">
        <f t="shared" si="38"/>
        <v>0</v>
      </c>
      <c r="AK51" s="134">
        <f t="shared" si="39"/>
        <v>0</v>
      </c>
      <c r="AL51" s="132">
        <f t="shared" si="26"/>
        <v>0</v>
      </c>
      <c r="AM51" s="132">
        <f t="shared" si="7"/>
        <v>0</v>
      </c>
      <c r="AN51" s="2">
        <f t="shared" si="27"/>
        <v>0</v>
      </c>
      <c r="AO51" s="2">
        <f t="shared" si="8"/>
        <v>0</v>
      </c>
      <c r="AP51" s="2">
        <f t="shared" si="9"/>
        <v>0</v>
      </c>
      <c r="AQ51" s="2">
        <f t="shared" si="10"/>
        <v>30</v>
      </c>
      <c r="AR51" s="2">
        <f t="shared" si="11"/>
        <v>20</v>
      </c>
      <c r="AS51" s="2">
        <f t="shared" si="28"/>
        <v>30</v>
      </c>
      <c r="AT51" s="2"/>
      <c r="AU51" s="2"/>
      <c r="AV51" s="2"/>
      <c r="AW51" s="2"/>
      <c r="AX51" s="2"/>
      <c r="AY51" s="2">
        <f t="shared" si="12"/>
        <v>0</v>
      </c>
      <c r="AZ51" s="2"/>
      <c r="BA51" s="2"/>
      <c r="BB51" s="2"/>
      <c r="BC51" s="2"/>
      <c r="BD51" s="2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si="14"/>
        <v xml:space="preserve"> </v>
      </c>
      <c r="C52" s="401"/>
      <c r="D52" s="269" t="str">
        <f>IF(N52=0,IF(N51=1,SUM(D$25:E51)," "),IF(N52=0," ",IF(N53=1,D$25,IF(N53=0,D$10-D$25*(M$14-1)," "))))</f>
        <v xml:space="preserve"> </v>
      </c>
      <c r="E52" s="269"/>
      <c r="F52" s="87" t="str">
        <f>IF(N52=0,IF(N51=1,SUM(F$25:F51)," "),IF(M$1=1,P52,IF(M$1=2,Q52," ")))</f>
        <v xml:space="preserve"> </v>
      </c>
      <c r="G52" s="87">
        <v>0</v>
      </c>
      <c r="H52" s="87" t="str">
        <f t="shared" si="15"/>
        <v xml:space="preserve"> </v>
      </c>
      <c r="I52" s="87">
        <f t="shared" si="16"/>
        <v>0</v>
      </c>
      <c r="J52" s="87">
        <f t="shared" si="0"/>
        <v>0</v>
      </c>
      <c r="K52" s="87">
        <v>0</v>
      </c>
      <c r="L52" s="87" t="str">
        <f t="shared" si="17"/>
        <v xml:space="preserve"> </v>
      </c>
      <c r="M52" s="2">
        <v>28</v>
      </c>
      <c r="N52" s="2">
        <f t="shared" si="34"/>
        <v>0</v>
      </c>
      <c r="O52" s="2">
        <f t="shared" si="1"/>
        <v>20</v>
      </c>
      <c r="P52" s="134">
        <f t="shared" si="19"/>
        <v>0</v>
      </c>
      <c r="Q52" s="134">
        <f t="shared" si="19"/>
        <v>0</v>
      </c>
      <c r="R52" s="134">
        <f t="shared" si="20"/>
        <v>0</v>
      </c>
      <c r="S52" s="134" t="str">
        <f t="shared" si="21"/>
        <v xml:space="preserve"> </v>
      </c>
      <c r="T52" s="134" t="str">
        <f t="shared" si="29"/>
        <v xml:space="preserve"> </v>
      </c>
      <c r="U52" s="134">
        <f t="shared" si="37"/>
        <v>0</v>
      </c>
      <c r="V52" s="134">
        <f t="shared" si="36"/>
        <v>0</v>
      </c>
      <c r="W52" s="134">
        <f t="shared" si="30"/>
        <v>0</v>
      </c>
      <c r="X52" s="134">
        <f t="shared" si="22"/>
        <v>0</v>
      </c>
      <c r="Y52" s="134">
        <f t="shared" si="2"/>
        <v>-2.8421709430404007E-13</v>
      </c>
      <c r="Z52" s="134">
        <f t="shared" si="31"/>
        <v>0</v>
      </c>
      <c r="AA52" s="134">
        <f t="shared" si="23"/>
        <v>0</v>
      </c>
      <c r="AB52" s="134">
        <f t="shared" si="35"/>
        <v>0</v>
      </c>
      <c r="AC52" s="134">
        <f t="shared" si="3"/>
        <v>0</v>
      </c>
      <c r="AD52" s="134">
        <f t="shared" si="3"/>
        <v>0</v>
      </c>
      <c r="AE52" s="134">
        <f t="shared" si="24"/>
        <v>0</v>
      </c>
      <c r="AF52" s="134">
        <f t="shared" si="4"/>
        <v>0</v>
      </c>
      <c r="AG52" s="134">
        <f t="shared" si="25"/>
        <v>0</v>
      </c>
      <c r="AH52" s="134">
        <f t="shared" si="5"/>
        <v>0</v>
      </c>
      <c r="AI52" s="134">
        <f t="shared" si="6"/>
        <v>0</v>
      </c>
      <c r="AJ52" s="134">
        <f t="shared" si="38"/>
        <v>0</v>
      </c>
      <c r="AK52" s="134">
        <f t="shared" si="39"/>
        <v>0</v>
      </c>
      <c r="AL52" s="132">
        <f t="shared" si="26"/>
        <v>0</v>
      </c>
      <c r="AM52" s="132">
        <f t="shared" si="7"/>
        <v>0</v>
      </c>
      <c r="AN52" s="2">
        <f t="shared" si="27"/>
        <v>0</v>
      </c>
      <c r="AO52" s="2">
        <f t="shared" si="8"/>
        <v>0</v>
      </c>
      <c r="AP52" s="2">
        <f t="shared" si="9"/>
        <v>0</v>
      </c>
      <c r="AQ52" s="2">
        <f t="shared" si="10"/>
        <v>30</v>
      </c>
      <c r="AR52" s="2">
        <f t="shared" si="11"/>
        <v>20</v>
      </c>
      <c r="AS52" s="2">
        <f t="shared" si="28"/>
        <v>30</v>
      </c>
      <c r="AT52" s="2"/>
      <c r="AU52" s="2"/>
      <c r="AV52" s="2"/>
      <c r="AW52" s="2"/>
      <c r="AX52" s="2"/>
      <c r="AY52" s="2">
        <f t="shared" si="12"/>
        <v>0</v>
      </c>
      <c r="AZ52" s="2"/>
      <c r="BA52" s="2"/>
      <c r="BB52" s="2"/>
      <c r="BC52" s="2"/>
      <c r="BD52" s="2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si="14"/>
        <v xml:space="preserve"> </v>
      </c>
      <c r="C53" s="401"/>
      <c r="D53" s="269" t="str">
        <f>IF(N53=0,IF(N52=1,SUM(D$25:E52)," "),IF(N53=0," ",IF(N54=1,D$25,IF(N54=0,D$10-D$25*(M$14-1)," "))))</f>
        <v xml:space="preserve"> </v>
      </c>
      <c r="E53" s="269"/>
      <c r="F53" s="87" t="str">
        <f>IF(N53=0,IF(N52=1,SUM(F$25:F52)," "),IF(M$1=1,P53,IF(M$1=2,Q53," ")))</f>
        <v xml:space="preserve"> </v>
      </c>
      <c r="G53" s="87">
        <v>0</v>
      </c>
      <c r="H53" s="87" t="str">
        <f t="shared" si="15"/>
        <v xml:space="preserve"> </v>
      </c>
      <c r="I53" s="87">
        <f t="shared" si="16"/>
        <v>0</v>
      </c>
      <c r="J53" s="87">
        <f t="shared" si="0"/>
        <v>0</v>
      </c>
      <c r="K53" s="87">
        <v>0</v>
      </c>
      <c r="L53" s="87" t="str">
        <f t="shared" si="17"/>
        <v xml:space="preserve"> </v>
      </c>
      <c r="M53" s="2">
        <v>29</v>
      </c>
      <c r="N53" s="2">
        <f t="shared" si="34"/>
        <v>0</v>
      </c>
      <c r="O53" s="2">
        <f t="shared" si="1"/>
        <v>20</v>
      </c>
      <c r="P53" s="134">
        <f t="shared" si="19"/>
        <v>0</v>
      </c>
      <c r="Q53" s="134">
        <f t="shared" si="19"/>
        <v>0</v>
      </c>
      <c r="R53" s="134">
        <f t="shared" si="20"/>
        <v>0</v>
      </c>
      <c r="S53" s="134" t="str">
        <f t="shared" si="21"/>
        <v xml:space="preserve"> </v>
      </c>
      <c r="T53" s="134" t="str">
        <f t="shared" si="29"/>
        <v xml:space="preserve"> </v>
      </c>
      <c r="U53" s="134">
        <f t="shared" si="37"/>
        <v>0</v>
      </c>
      <c r="V53" s="134">
        <f t="shared" si="36"/>
        <v>0</v>
      </c>
      <c r="W53" s="134">
        <f t="shared" si="30"/>
        <v>0</v>
      </c>
      <c r="X53" s="134">
        <f t="shared" si="22"/>
        <v>0</v>
      </c>
      <c r="Y53" s="134">
        <f t="shared" si="2"/>
        <v>-2.8421709430404007E-13</v>
      </c>
      <c r="Z53" s="134">
        <f t="shared" si="31"/>
        <v>0</v>
      </c>
      <c r="AA53" s="134">
        <f t="shared" si="23"/>
        <v>0</v>
      </c>
      <c r="AB53" s="134">
        <f t="shared" si="35"/>
        <v>0</v>
      </c>
      <c r="AC53" s="134">
        <f t="shared" si="3"/>
        <v>0</v>
      </c>
      <c r="AD53" s="134">
        <f t="shared" si="3"/>
        <v>0</v>
      </c>
      <c r="AE53" s="134">
        <f t="shared" si="24"/>
        <v>0</v>
      </c>
      <c r="AF53" s="134">
        <f t="shared" si="4"/>
        <v>0</v>
      </c>
      <c r="AG53" s="134">
        <f t="shared" si="25"/>
        <v>0</v>
      </c>
      <c r="AH53" s="134">
        <f t="shared" si="5"/>
        <v>0</v>
      </c>
      <c r="AI53" s="134">
        <f t="shared" si="6"/>
        <v>0</v>
      </c>
      <c r="AJ53" s="134">
        <f t="shared" si="38"/>
        <v>0</v>
      </c>
      <c r="AK53" s="134">
        <f t="shared" si="39"/>
        <v>0</v>
      </c>
      <c r="AL53" s="132">
        <f t="shared" si="26"/>
        <v>0</v>
      </c>
      <c r="AM53" s="132">
        <f t="shared" si="7"/>
        <v>0</v>
      </c>
      <c r="AN53" s="2">
        <f t="shared" si="27"/>
        <v>0</v>
      </c>
      <c r="AO53" s="2">
        <f t="shared" si="8"/>
        <v>0</v>
      </c>
      <c r="AP53" s="2">
        <f t="shared" si="9"/>
        <v>0</v>
      </c>
      <c r="AQ53" s="2">
        <f t="shared" si="10"/>
        <v>30</v>
      </c>
      <c r="AR53" s="2">
        <f t="shared" si="11"/>
        <v>20</v>
      </c>
      <c r="AS53" s="2">
        <f t="shared" si="28"/>
        <v>30</v>
      </c>
      <c r="AT53" s="2"/>
      <c r="AU53" s="2"/>
      <c r="AV53" s="2"/>
      <c r="AW53" s="2"/>
      <c r="AX53" s="2"/>
      <c r="AY53" s="2">
        <f t="shared" si="12"/>
        <v>0</v>
      </c>
      <c r="AZ53" s="2"/>
      <c r="BA53" s="2"/>
      <c r="BB53" s="2"/>
      <c r="BC53" s="2"/>
      <c r="BD53" s="2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si="14"/>
        <v xml:space="preserve"> </v>
      </c>
      <c r="C54" s="401"/>
      <c r="D54" s="269" t="str">
        <f>IF(N54=0,IF(N53=1,SUM(D$25:E53)," "),IF(N54=0," ",IF(N55=1,D$25,IF(N55=0,D$10-D$25*(M$14-1)," "))))</f>
        <v xml:space="preserve"> </v>
      </c>
      <c r="E54" s="269"/>
      <c r="F54" s="87" t="str">
        <f>IF(N54=0,IF(N53=1,SUM(F$25:F53)," "),IF(M$1=1,P54,IF(M$1=2,Q54," ")))</f>
        <v xml:space="preserve"> </v>
      </c>
      <c r="G54" s="87">
        <v>0</v>
      </c>
      <c r="H54" s="87" t="str">
        <f t="shared" si="15"/>
        <v xml:space="preserve"> </v>
      </c>
      <c r="I54" s="87">
        <f t="shared" si="16"/>
        <v>0</v>
      </c>
      <c r="J54" s="87">
        <f t="shared" si="0"/>
        <v>0</v>
      </c>
      <c r="K54" s="87">
        <v>0</v>
      </c>
      <c r="L54" s="87" t="str">
        <f t="shared" si="17"/>
        <v xml:space="preserve"> </v>
      </c>
      <c r="M54" s="2">
        <v>30</v>
      </c>
      <c r="N54" s="2">
        <f t="shared" si="34"/>
        <v>0</v>
      </c>
      <c r="O54" s="2">
        <f t="shared" si="1"/>
        <v>20</v>
      </c>
      <c r="P54" s="134">
        <f t="shared" si="19"/>
        <v>0</v>
      </c>
      <c r="Q54" s="134">
        <f t="shared" si="19"/>
        <v>0</v>
      </c>
      <c r="R54" s="134">
        <f t="shared" si="20"/>
        <v>0</v>
      </c>
      <c r="S54" s="134" t="str">
        <f t="shared" si="21"/>
        <v xml:space="preserve"> </v>
      </c>
      <c r="T54" s="134" t="str">
        <f t="shared" si="29"/>
        <v xml:space="preserve"> </v>
      </c>
      <c r="U54" s="134">
        <f t="shared" si="37"/>
        <v>0</v>
      </c>
      <c r="V54" s="134">
        <f t="shared" si="36"/>
        <v>0</v>
      </c>
      <c r="W54" s="134">
        <f t="shared" si="30"/>
        <v>0</v>
      </c>
      <c r="X54" s="134">
        <f t="shared" si="22"/>
        <v>0</v>
      </c>
      <c r="Y54" s="134">
        <f t="shared" si="2"/>
        <v>-2.8421709430404007E-13</v>
      </c>
      <c r="Z54" s="134">
        <f t="shared" si="31"/>
        <v>0</v>
      </c>
      <c r="AA54" s="134">
        <f t="shared" si="23"/>
        <v>0</v>
      </c>
      <c r="AB54" s="134">
        <f t="shared" si="35"/>
        <v>0</v>
      </c>
      <c r="AC54" s="134">
        <f t="shared" si="3"/>
        <v>0</v>
      </c>
      <c r="AD54" s="134">
        <f t="shared" si="3"/>
        <v>0</v>
      </c>
      <c r="AE54" s="134">
        <f t="shared" si="24"/>
        <v>0</v>
      </c>
      <c r="AF54" s="134">
        <f t="shared" si="4"/>
        <v>0</v>
      </c>
      <c r="AG54" s="134">
        <f t="shared" si="25"/>
        <v>0</v>
      </c>
      <c r="AH54" s="134">
        <f t="shared" si="5"/>
        <v>0</v>
      </c>
      <c r="AI54" s="134">
        <f t="shared" si="6"/>
        <v>0</v>
      </c>
      <c r="AJ54" s="134">
        <f t="shared" si="38"/>
        <v>0</v>
      </c>
      <c r="AK54" s="134">
        <f t="shared" si="39"/>
        <v>0</v>
      </c>
      <c r="AL54" s="132">
        <f t="shared" si="26"/>
        <v>0</v>
      </c>
      <c r="AM54" s="132">
        <f t="shared" si="7"/>
        <v>0</v>
      </c>
      <c r="AN54" s="2">
        <f t="shared" si="27"/>
        <v>0</v>
      </c>
      <c r="AO54" s="2">
        <f t="shared" si="8"/>
        <v>0</v>
      </c>
      <c r="AP54" s="2">
        <f t="shared" si="9"/>
        <v>0</v>
      </c>
      <c r="AQ54" s="2">
        <f t="shared" si="10"/>
        <v>30</v>
      </c>
      <c r="AR54" s="2">
        <f t="shared" si="11"/>
        <v>20</v>
      </c>
      <c r="AS54" s="2">
        <f t="shared" si="28"/>
        <v>30</v>
      </c>
      <c r="AT54" s="2"/>
      <c r="AU54" s="2"/>
      <c r="AV54" s="2"/>
      <c r="AW54" s="2"/>
      <c r="AX54" s="2"/>
      <c r="AY54" s="2">
        <f t="shared" si="12"/>
        <v>0</v>
      </c>
      <c r="AZ54" s="2"/>
      <c r="BA54" s="2"/>
      <c r="BB54" s="2"/>
      <c r="BC54" s="2"/>
      <c r="BD54" s="2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si="14"/>
        <v xml:space="preserve"> </v>
      </c>
      <c r="C55" s="401"/>
      <c r="D55" s="269" t="str">
        <f>IF(N55=0,IF(N54=1,SUM(D$25:E54)," "),IF(N55=0," ",IF(N56=1,D$25,IF(N56=0,D$10-D$25*(M$14-1)," "))))</f>
        <v xml:space="preserve"> </v>
      </c>
      <c r="E55" s="269"/>
      <c r="F55" s="87" t="str">
        <f>IF(N55=0,IF(N54=1,SUM(F$25:F54)," "),IF(M$1=1,P55,IF(M$1=2,Q55," ")))</f>
        <v xml:space="preserve"> </v>
      </c>
      <c r="G55" s="87">
        <v>0</v>
      </c>
      <c r="H55" s="87" t="str">
        <f t="shared" si="15"/>
        <v xml:space="preserve"> </v>
      </c>
      <c r="I55" s="87">
        <f t="shared" si="16"/>
        <v>0</v>
      </c>
      <c r="J55" s="87">
        <f t="shared" si="0"/>
        <v>0</v>
      </c>
      <c r="K55" s="87">
        <v>0</v>
      </c>
      <c r="L55" s="87" t="str">
        <f t="shared" si="17"/>
        <v xml:space="preserve"> </v>
      </c>
      <c r="M55" s="2">
        <v>31</v>
      </c>
      <c r="N55" s="2">
        <f t="shared" si="34"/>
        <v>0</v>
      </c>
      <c r="O55" s="2">
        <f t="shared" si="1"/>
        <v>20</v>
      </c>
      <c r="P55" s="134">
        <f t="shared" si="19"/>
        <v>0</v>
      </c>
      <c r="Q55" s="134">
        <f t="shared" si="19"/>
        <v>0</v>
      </c>
      <c r="R55" s="134">
        <f t="shared" si="20"/>
        <v>0</v>
      </c>
      <c r="S55" s="134" t="str">
        <f t="shared" si="21"/>
        <v xml:space="preserve"> </v>
      </c>
      <c r="T55" s="134" t="str">
        <f t="shared" si="29"/>
        <v xml:space="preserve"> </v>
      </c>
      <c r="U55" s="134">
        <f t="shared" si="37"/>
        <v>0</v>
      </c>
      <c r="V55" s="134">
        <f t="shared" si="36"/>
        <v>0</v>
      </c>
      <c r="W55" s="134">
        <f t="shared" si="30"/>
        <v>0</v>
      </c>
      <c r="X55" s="134">
        <f t="shared" si="22"/>
        <v>0</v>
      </c>
      <c r="Y55" s="134">
        <f t="shared" si="2"/>
        <v>-2.8421709430404007E-13</v>
      </c>
      <c r="Z55" s="134">
        <f t="shared" si="31"/>
        <v>0</v>
      </c>
      <c r="AA55" s="134">
        <f t="shared" si="23"/>
        <v>0</v>
      </c>
      <c r="AB55" s="134">
        <f t="shared" si="35"/>
        <v>0</v>
      </c>
      <c r="AC55" s="134">
        <f t="shared" si="3"/>
        <v>0</v>
      </c>
      <c r="AD55" s="134">
        <f t="shared" si="3"/>
        <v>0</v>
      </c>
      <c r="AE55" s="134">
        <f t="shared" si="24"/>
        <v>0</v>
      </c>
      <c r="AF55" s="134">
        <f t="shared" si="4"/>
        <v>0</v>
      </c>
      <c r="AG55" s="134">
        <f t="shared" si="25"/>
        <v>0</v>
      </c>
      <c r="AH55" s="134">
        <f t="shared" si="5"/>
        <v>0</v>
      </c>
      <c r="AI55" s="134">
        <f t="shared" si="6"/>
        <v>0</v>
      </c>
      <c r="AJ55" s="134">
        <f t="shared" si="38"/>
        <v>0</v>
      </c>
      <c r="AK55" s="134">
        <f t="shared" si="39"/>
        <v>0</v>
      </c>
      <c r="AL55" s="132">
        <f t="shared" si="26"/>
        <v>0</v>
      </c>
      <c r="AM55" s="132">
        <f t="shared" si="7"/>
        <v>0</v>
      </c>
      <c r="AN55" s="2">
        <f t="shared" si="27"/>
        <v>0</v>
      </c>
      <c r="AO55" s="2">
        <f t="shared" si="8"/>
        <v>0</v>
      </c>
      <c r="AP55" s="2">
        <f t="shared" si="9"/>
        <v>0</v>
      </c>
      <c r="AQ55" s="2">
        <f t="shared" si="10"/>
        <v>30</v>
      </c>
      <c r="AR55" s="2">
        <f t="shared" si="11"/>
        <v>20</v>
      </c>
      <c r="AS55" s="2">
        <f t="shared" si="28"/>
        <v>30</v>
      </c>
      <c r="AT55" s="2"/>
      <c r="AU55" s="2"/>
      <c r="AV55" s="2"/>
      <c r="AW55" s="2"/>
      <c r="AX55" s="2"/>
      <c r="AY55" s="2">
        <f t="shared" si="12"/>
        <v>0</v>
      </c>
      <c r="AZ55" s="2"/>
      <c r="BA55" s="2"/>
      <c r="BB55" s="2"/>
      <c r="BC55" s="2"/>
      <c r="BD55" s="2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si="14"/>
        <v xml:space="preserve"> </v>
      </c>
      <c r="C56" s="401"/>
      <c r="D56" s="269" t="str">
        <f>IF(N56=0,IF(N55=1,SUM(D$25:E55)," "),IF(N56=0," ",IF(N57=1,D$25,IF(N57=0,D$10-D$25*(M$14-1)," "))))</f>
        <v xml:space="preserve"> </v>
      </c>
      <c r="E56" s="269"/>
      <c r="F56" s="87" t="str">
        <f>IF(N56=0,IF(N55=1,SUM(F$25:F55)," "),IF(M$1=1,P56,IF(M$1=2,Q56," ")))</f>
        <v xml:space="preserve"> </v>
      </c>
      <c r="G56" s="87">
        <v>0</v>
      </c>
      <c r="H56" s="87" t="str">
        <f t="shared" si="15"/>
        <v xml:space="preserve"> </v>
      </c>
      <c r="I56" s="87">
        <f t="shared" si="16"/>
        <v>0</v>
      </c>
      <c r="J56" s="87">
        <f t="shared" si="0"/>
        <v>0</v>
      </c>
      <c r="K56" s="87">
        <v>0</v>
      </c>
      <c r="L56" s="87" t="str">
        <f t="shared" si="17"/>
        <v xml:space="preserve"> </v>
      </c>
      <c r="M56" s="2">
        <v>32</v>
      </c>
      <c r="N56" s="2">
        <f t="shared" si="34"/>
        <v>0</v>
      </c>
      <c r="O56" s="2">
        <f t="shared" si="1"/>
        <v>20</v>
      </c>
      <c r="P56" s="134">
        <f t="shared" si="19"/>
        <v>0</v>
      </c>
      <c r="Q56" s="134">
        <f t="shared" si="19"/>
        <v>0</v>
      </c>
      <c r="R56" s="134">
        <f t="shared" si="20"/>
        <v>0</v>
      </c>
      <c r="S56" s="134" t="str">
        <f t="shared" si="21"/>
        <v xml:space="preserve"> </v>
      </c>
      <c r="T56" s="134" t="str">
        <f t="shared" si="29"/>
        <v xml:space="preserve"> </v>
      </c>
      <c r="U56" s="134">
        <f t="shared" si="37"/>
        <v>0</v>
      </c>
      <c r="V56" s="134">
        <f t="shared" si="36"/>
        <v>0</v>
      </c>
      <c r="W56" s="134">
        <f t="shared" si="30"/>
        <v>0</v>
      </c>
      <c r="X56" s="134">
        <f t="shared" si="22"/>
        <v>0</v>
      </c>
      <c r="Y56" s="134">
        <f t="shared" si="2"/>
        <v>-2.8421709430404007E-13</v>
      </c>
      <c r="Z56" s="134">
        <f t="shared" si="31"/>
        <v>0</v>
      </c>
      <c r="AA56" s="134">
        <f t="shared" si="23"/>
        <v>0</v>
      </c>
      <c r="AB56" s="134">
        <f t="shared" si="35"/>
        <v>0</v>
      </c>
      <c r="AC56" s="134">
        <f t="shared" si="3"/>
        <v>0</v>
      </c>
      <c r="AD56" s="134">
        <f t="shared" si="3"/>
        <v>0</v>
      </c>
      <c r="AE56" s="134">
        <f t="shared" si="24"/>
        <v>0</v>
      </c>
      <c r="AF56" s="134">
        <f t="shared" si="4"/>
        <v>0</v>
      </c>
      <c r="AG56" s="134">
        <f t="shared" si="25"/>
        <v>0</v>
      </c>
      <c r="AH56" s="134">
        <f t="shared" si="5"/>
        <v>0</v>
      </c>
      <c r="AI56" s="134">
        <f t="shared" si="6"/>
        <v>0</v>
      </c>
      <c r="AJ56" s="134">
        <f t="shared" si="38"/>
        <v>0</v>
      </c>
      <c r="AK56" s="134">
        <f t="shared" si="39"/>
        <v>0</v>
      </c>
      <c r="AL56" s="132">
        <f t="shared" si="26"/>
        <v>0</v>
      </c>
      <c r="AM56" s="132">
        <f t="shared" si="7"/>
        <v>0</v>
      </c>
      <c r="AN56" s="2">
        <f t="shared" si="27"/>
        <v>0</v>
      </c>
      <c r="AO56" s="2">
        <f t="shared" si="8"/>
        <v>0</v>
      </c>
      <c r="AP56" s="2">
        <f t="shared" si="9"/>
        <v>0</v>
      </c>
      <c r="AQ56" s="2">
        <f t="shared" si="10"/>
        <v>30</v>
      </c>
      <c r="AR56" s="2">
        <f t="shared" si="11"/>
        <v>20</v>
      </c>
      <c r="AS56" s="2">
        <f t="shared" si="28"/>
        <v>30</v>
      </c>
      <c r="AT56" s="2"/>
      <c r="AU56" s="2"/>
      <c r="AV56" s="2"/>
      <c r="AW56" s="2"/>
      <c r="AX56" s="2"/>
      <c r="AY56" s="2">
        <f t="shared" si="12"/>
        <v>0</v>
      </c>
      <c r="AZ56" s="2"/>
      <c r="BA56" s="2"/>
      <c r="BB56" s="2"/>
      <c r="BC56" s="2"/>
      <c r="BD56" s="2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si="14"/>
        <v xml:space="preserve"> </v>
      </c>
      <c r="C57" s="401"/>
      <c r="D57" s="269" t="str">
        <f>IF(N57=0,IF(N56=1,SUM(D$25:E56)," "),IF(N57=0," ",IF(N58=1,D$25,IF(N58=0,D$10-D$25*(M$14-1)," "))))</f>
        <v xml:space="preserve"> </v>
      </c>
      <c r="E57" s="269"/>
      <c r="F57" s="87" t="str">
        <f>IF(N57=0,IF(N56=1,SUM(F$25:F56)," "),IF(M$1=1,P57,IF(M$1=2,Q57," ")))</f>
        <v xml:space="preserve"> </v>
      </c>
      <c r="G57" s="87">
        <v>0</v>
      </c>
      <c r="H57" s="87" t="str">
        <f t="shared" si="15"/>
        <v xml:space="preserve"> </v>
      </c>
      <c r="I57" s="87">
        <f t="shared" si="16"/>
        <v>0</v>
      </c>
      <c r="J57" s="87">
        <f t="shared" si="0"/>
        <v>0</v>
      </c>
      <c r="K57" s="87">
        <v>0</v>
      </c>
      <c r="L57" s="87" t="str">
        <f t="shared" si="17"/>
        <v xml:space="preserve"> </v>
      </c>
      <c r="M57" s="2">
        <v>33</v>
      </c>
      <c r="N57" s="2">
        <f t="shared" si="34"/>
        <v>0</v>
      </c>
      <c r="O57" s="2">
        <f t="shared" si="1"/>
        <v>20</v>
      </c>
      <c r="P57" s="134">
        <f t="shared" si="19"/>
        <v>0</v>
      </c>
      <c r="Q57" s="134">
        <f t="shared" si="19"/>
        <v>0</v>
      </c>
      <c r="R57" s="134">
        <f t="shared" si="20"/>
        <v>0</v>
      </c>
      <c r="S57" s="134" t="str">
        <f t="shared" si="21"/>
        <v xml:space="preserve"> </v>
      </c>
      <c r="T57" s="134" t="str">
        <f t="shared" si="29"/>
        <v xml:space="preserve"> </v>
      </c>
      <c r="U57" s="134">
        <f t="shared" si="37"/>
        <v>0</v>
      </c>
      <c r="V57" s="134">
        <f t="shared" si="36"/>
        <v>0</v>
      </c>
      <c r="W57" s="134">
        <f t="shared" si="30"/>
        <v>0</v>
      </c>
      <c r="X57" s="134">
        <f t="shared" si="22"/>
        <v>0</v>
      </c>
      <c r="Y57" s="134">
        <f t="shared" si="2"/>
        <v>-2.8421709430404007E-13</v>
      </c>
      <c r="Z57" s="134">
        <f t="shared" si="31"/>
        <v>0</v>
      </c>
      <c r="AA57" s="134">
        <f t="shared" si="23"/>
        <v>0</v>
      </c>
      <c r="AB57" s="134">
        <f t="shared" si="35"/>
        <v>0</v>
      </c>
      <c r="AC57" s="134">
        <f t="shared" ref="AC57:AD85" si="40">IF(AJ57&lt;&gt;0,IF(VALUE(RIGHT(ROUND(AJ57,0)))&lt;=5,ROUND(AJ57,0)-VALUE(RIGHT(ROUND(AJ57,0))),ROUND(AJ57,0)+10-VALUE(RIGHT(ROUND(AJ57,0)))),0)</f>
        <v>0</v>
      </c>
      <c r="AD57" s="134">
        <f t="shared" si="40"/>
        <v>0</v>
      </c>
      <c r="AE57" s="134">
        <f t="shared" si="24"/>
        <v>0</v>
      </c>
      <c r="AF57" s="134">
        <f t="shared" si="4"/>
        <v>0</v>
      </c>
      <c r="AG57" s="134">
        <f t="shared" si="25"/>
        <v>0</v>
      </c>
      <c r="AH57" s="134">
        <f t="shared" si="5"/>
        <v>0</v>
      </c>
      <c r="AI57" s="134">
        <f t="shared" si="6"/>
        <v>0</v>
      </c>
      <c r="AJ57" s="134">
        <f t="shared" si="38"/>
        <v>0</v>
      </c>
      <c r="AK57" s="134">
        <f t="shared" si="39"/>
        <v>0</v>
      </c>
      <c r="AL57" s="132">
        <f t="shared" si="26"/>
        <v>0</v>
      </c>
      <c r="AM57" s="132">
        <f t="shared" si="7"/>
        <v>0</v>
      </c>
      <c r="AN57" s="2">
        <f t="shared" si="27"/>
        <v>0</v>
      </c>
      <c r="AO57" s="2">
        <f t="shared" si="8"/>
        <v>0</v>
      </c>
      <c r="AP57" s="2">
        <f t="shared" si="9"/>
        <v>0</v>
      </c>
      <c r="AQ57" s="2">
        <f t="shared" si="10"/>
        <v>30</v>
      </c>
      <c r="AR57" s="2">
        <f t="shared" si="11"/>
        <v>20</v>
      </c>
      <c r="AS57" s="2">
        <f t="shared" si="28"/>
        <v>30</v>
      </c>
      <c r="AT57" s="2"/>
      <c r="AU57" s="2"/>
      <c r="AV57" s="2"/>
      <c r="AW57" s="2"/>
      <c r="AX57" s="2"/>
      <c r="AY57" s="2">
        <f t="shared" si="12"/>
        <v>0</v>
      </c>
      <c r="AZ57" s="2"/>
      <c r="BA57" s="2"/>
      <c r="BB57" s="2"/>
      <c r="BC57" s="2"/>
      <c r="BD57" s="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si="14"/>
        <v xml:space="preserve"> </v>
      </c>
      <c r="C58" s="401"/>
      <c r="D58" s="269" t="str">
        <f>IF(N58=0,IF(N57=1,SUM(D$25:E57)," "),IF(N58=0," ",IF(N59=1,D$25,IF(N59=0,D$10-D$25*(M$14-1)," "))))</f>
        <v xml:space="preserve"> </v>
      </c>
      <c r="E58" s="269"/>
      <c r="F58" s="87" t="str">
        <f>IF(N58=0,IF(N57=1,SUM(F$25:F57)," "),IF(M$1=1,P58,IF(M$1=2,Q58," ")))</f>
        <v xml:space="preserve"> </v>
      </c>
      <c r="G58" s="87">
        <v>0</v>
      </c>
      <c r="H58" s="87" t="str">
        <f t="shared" si="15"/>
        <v xml:space="preserve"> </v>
      </c>
      <c r="I58" s="87">
        <f t="shared" si="16"/>
        <v>0</v>
      </c>
      <c r="J58" s="87">
        <f t="shared" si="0"/>
        <v>0</v>
      </c>
      <c r="K58" s="87">
        <v>0</v>
      </c>
      <c r="L58" s="87" t="str">
        <f t="shared" si="17"/>
        <v xml:space="preserve"> </v>
      </c>
      <c r="M58" s="2">
        <v>34</v>
      </c>
      <c r="N58" s="2">
        <f t="shared" si="34"/>
        <v>0</v>
      </c>
      <c r="O58" s="2">
        <f t="shared" si="1"/>
        <v>20</v>
      </c>
      <c r="P58" s="134">
        <f t="shared" si="19"/>
        <v>0</v>
      </c>
      <c r="Q58" s="134">
        <f t="shared" si="19"/>
        <v>0</v>
      </c>
      <c r="R58" s="134">
        <f t="shared" si="20"/>
        <v>0</v>
      </c>
      <c r="S58" s="134" t="str">
        <f t="shared" si="21"/>
        <v xml:space="preserve"> </v>
      </c>
      <c r="T58" s="134" t="str">
        <f t="shared" si="29"/>
        <v xml:space="preserve"> </v>
      </c>
      <c r="U58" s="134">
        <f t="shared" si="37"/>
        <v>0</v>
      </c>
      <c r="V58" s="134">
        <f t="shared" si="36"/>
        <v>0</v>
      </c>
      <c r="W58" s="134">
        <f t="shared" si="30"/>
        <v>0</v>
      </c>
      <c r="X58" s="134">
        <f t="shared" si="22"/>
        <v>0</v>
      </c>
      <c r="Y58" s="134">
        <f t="shared" si="2"/>
        <v>-2.8421709430404007E-13</v>
      </c>
      <c r="Z58" s="134">
        <f t="shared" si="31"/>
        <v>0</v>
      </c>
      <c r="AA58" s="134">
        <f t="shared" si="23"/>
        <v>0</v>
      </c>
      <c r="AB58" s="134">
        <f t="shared" si="35"/>
        <v>0</v>
      </c>
      <c r="AC58" s="134">
        <f t="shared" si="40"/>
        <v>0</v>
      </c>
      <c r="AD58" s="134">
        <f t="shared" si="40"/>
        <v>0</v>
      </c>
      <c r="AE58" s="134">
        <f t="shared" si="24"/>
        <v>0</v>
      </c>
      <c r="AF58" s="134">
        <f t="shared" si="4"/>
        <v>0</v>
      </c>
      <c r="AG58" s="134">
        <f t="shared" si="25"/>
        <v>0</v>
      </c>
      <c r="AH58" s="134">
        <f t="shared" si="5"/>
        <v>0</v>
      </c>
      <c r="AI58" s="134">
        <f t="shared" si="6"/>
        <v>0</v>
      </c>
      <c r="AJ58" s="134">
        <f t="shared" si="38"/>
        <v>0</v>
      </c>
      <c r="AK58" s="134">
        <f t="shared" si="39"/>
        <v>0</v>
      </c>
      <c r="AL58" s="132">
        <f t="shared" si="26"/>
        <v>0</v>
      </c>
      <c r="AM58" s="132">
        <f t="shared" si="7"/>
        <v>0</v>
      </c>
      <c r="AN58" s="2">
        <f t="shared" si="27"/>
        <v>0</v>
      </c>
      <c r="AO58" s="2">
        <f t="shared" si="8"/>
        <v>0</v>
      </c>
      <c r="AP58" s="2">
        <f t="shared" si="9"/>
        <v>0</v>
      </c>
      <c r="AQ58" s="2">
        <f t="shared" si="10"/>
        <v>30</v>
      </c>
      <c r="AR58" s="2">
        <f t="shared" si="11"/>
        <v>20</v>
      </c>
      <c r="AS58" s="2">
        <f t="shared" si="28"/>
        <v>30</v>
      </c>
      <c r="AT58" s="2"/>
      <c r="AU58" s="2"/>
      <c r="AV58" s="2"/>
      <c r="AW58" s="2"/>
      <c r="AX58" s="2"/>
      <c r="AY58" s="2">
        <f t="shared" si="12"/>
        <v>0</v>
      </c>
      <c r="AZ58" s="2"/>
      <c r="BA58" s="2"/>
      <c r="BB58" s="2"/>
      <c r="BC58" s="2"/>
      <c r="BD58" s="2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si="14"/>
        <v xml:space="preserve"> </v>
      </c>
      <c r="C59" s="401"/>
      <c r="D59" s="269" t="str">
        <f>IF(N59=0,IF(N58=1,SUM(D$25:E58)," "),IF(N59=0," ",IF(N60=1,D$25,IF(N60=0,D$10-D$25*(M$14-1)," "))))</f>
        <v xml:space="preserve"> </v>
      </c>
      <c r="E59" s="269"/>
      <c r="F59" s="87" t="str">
        <f>IF(N59=0,IF(N58=1,SUM(F$25:F58)," "),IF(M$1=1,P59,IF(M$1=2,Q59," ")))</f>
        <v xml:space="preserve"> </v>
      </c>
      <c r="G59" s="87">
        <v>0</v>
      </c>
      <c r="H59" s="87" t="str">
        <f t="shared" si="15"/>
        <v xml:space="preserve"> </v>
      </c>
      <c r="I59" s="87">
        <f t="shared" si="16"/>
        <v>0</v>
      </c>
      <c r="J59" s="87">
        <f t="shared" si="0"/>
        <v>0</v>
      </c>
      <c r="K59" s="87">
        <v>0</v>
      </c>
      <c r="L59" s="87" t="str">
        <f t="shared" si="17"/>
        <v xml:space="preserve"> </v>
      </c>
      <c r="M59" s="2">
        <v>35</v>
      </c>
      <c r="N59" s="2">
        <f t="shared" si="34"/>
        <v>0</v>
      </c>
      <c r="O59" s="2">
        <f t="shared" si="1"/>
        <v>20</v>
      </c>
      <c r="P59" s="134">
        <f t="shared" si="19"/>
        <v>0</v>
      </c>
      <c r="Q59" s="134">
        <f t="shared" si="19"/>
        <v>0</v>
      </c>
      <c r="R59" s="134">
        <f t="shared" si="20"/>
        <v>0</v>
      </c>
      <c r="S59" s="134" t="str">
        <f t="shared" si="21"/>
        <v xml:space="preserve"> </v>
      </c>
      <c r="T59" s="134" t="str">
        <f t="shared" si="29"/>
        <v xml:space="preserve"> </v>
      </c>
      <c r="U59" s="134">
        <f t="shared" si="37"/>
        <v>0</v>
      </c>
      <c r="V59" s="134">
        <f t="shared" si="36"/>
        <v>0</v>
      </c>
      <c r="W59" s="134">
        <f t="shared" si="30"/>
        <v>0</v>
      </c>
      <c r="X59" s="134">
        <f t="shared" si="22"/>
        <v>0</v>
      </c>
      <c r="Y59" s="134">
        <f t="shared" si="2"/>
        <v>-2.8421709430404007E-13</v>
      </c>
      <c r="Z59" s="134">
        <f t="shared" si="31"/>
        <v>0</v>
      </c>
      <c r="AA59" s="134">
        <f t="shared" si="23"/>
        <v>0</v>
      </c>
      <c r="AB59" s="134">
        <f t="shared" si="35"/>
        <v>0</v>
      </c>
      <c r="AC59" s="134">
        <f t="shared" si="40"/>
        <v>0</v>
      </c>
      <c r="AD59" s="134">
        <f t="shared" si="40"/>
        <v>0</v>
      </c>
      <c r="AE59" s="134">
        <f t="shared" si="24"/>
        <v>0</v>
      </c>
      <c r="AF59" s="134">
        <f t="shared" si="4"/>
        <v>0</v>
      </c>
      <c r="AG59" s="134">
        <f t="shared" si="25"/>
        <v>0</v>
      </c>
      <c r="AH59" s="134">
        <f t="shared" si="5"/>
        <v>0</v>
      </c>
      <c r="AI59" s="134">
        <f t="shared" si="6"/>
        <v>0</v>
      </c>
      <c r="AJ59" s="134">
        <f t="shared" si="38"/>
        <v>0</v>
      </c>
      <c r="AK59" s="134">
        <f t="shared" si="39"/>
        <v>0</v>
      </c>
      <c r="AL59" s="132">
        <f t="shared" si="26"/>
        <v>0</v>
      </c>
      <c r="AM59" s="132">
        <f t="shared" si="7"/>
        <v>0</v>
      </c>
      <c r="AN59" s="2">
        <f t="shared" si="27"/>
        <v>0</v>
      </c>
      <c r="AO59" s="2">
        <f t="shared" si="8"/>
        <v>0</v>
      </c>
      <c r="AP59" s="2">
        <f t="shared" si="9"/>
        <v>0</v>
      </c>
      <c r="AQ59" s="2">
        <f t="shared" si="10"/>
        <v>30</v>
      </c>
      <c r="AR59" s="2">
        <f t="shared" si="11"/>
        <v>20</v>
      </c>
      <c r="AS59" s="2">
        <f t="shared" si="28"/>
        <v>30</v>
      </c>
      <c r="AT59" s="2"/>
      <c r="AU59" s="2"/>
      <c r="AV59" s="2"/>
      <c r="AW59" s="2"/>
      <c r="AX59" s="2"/>
      <c r="AY59" s="2">
        <f t="shared" si="12"/>
        <v>0</v>
      </c>
      <c r="AZ59" s="2"/>
      <c r="BA59" s="2"/>
      <c r="BB59" s="2"/>
      <c r="BC59" s="2"/>
      <c r="BD59" s="2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si="14"/>
        <v xml:space="preserve"> </v>
      </c>
      <c r="C60" s="401"/>
      <c r="D60" s="269" t="str">
        <f>IF(N60=0,IF(N59=1,SUM(D$25:E59)," "),IF(N60=0," ",IF(N61=1,D$25,IF(N61=0,D$10-D$25*(M$14-1)," "))))</f>
        <v xml:space="preserve"> </v>
      </c>
      <c r="E60" s="269"/>
      <c r="F60" s="87" t="str">
        <f>IF(N60=0,IF(N59=1,SUM(F$25:F59)," "),IF(M$1=1,P60,IF(M$1=2,Q60," ")))</f>
        <v xml:space="preserve"> </v>
      </c>
      <c r="G60" s="87">
        <v>0</v>
      </c>
      <c r="H60" s="87" t="str">
        <f t="shared" si="15"/>
        <v xml:space="preserve"> </v>
      </c>
      <c r="I60" s="87">
        <f t="shared" si="16"/>
        <v>0</v>
      </c>
      <c r="J60" s="87">
        <f t="shared" si="0"/>
        <v>0</v>
      </c>
      <c r="K60" s="87">
        <v>0</v>
      </c>
      <c r="L60" s="87" t="str">
        <f t="shared" si="17"/>
        <v xml:space="preserve"> </v>
      </c>
      <c r="M60" s="2">
        <v>36</v>
      </c>
      <c r="N60" s="2">
        <f t="shared" si="34"/>
        <v>0</v>
      </c>
      <c r="O60" s="2">
        <f t="shared" si="1"/>
        <v>20</v>
      </c>
      <c r="P60" s="134">
        <f t="shared" si="19"/>
        <v>0</v>
      </c>
      <c r="Q60" s="134">
        <f t="shared" si="19"/>
        <v>0</v>
      </c>
      <c r="R60" s="134">
        <f t="shared" si="20"/>
        <v>0</v>
      </c>
      <c r="S60" s="134" t="str">
        <f t="shared" si="21"/>
        <v xml:space="preserve"> </v>
      </c>
      <c r="T60" s="134" t="str">
        <f t="shared" si="29"/>
        <v xml:space="preserve"> </v>
      </c>
      <c r="U60" s="134">
        <f>IF(N61=1,R59*E11*20/36000+R60*E11*10/36000,IF(N61=0,IF(N60=0,0,R60*E11*Q12/36000+R59*E11*20/36000+R60*E11*10/36000)))</f>
        <v>0</v>
      </c>
      <c r="V60" s="134">
        <f>IF(N61=1,R59*E11*20/36000+R60*E11*10/36000,IF(N61=0,IF(N60=0,0,R60*E11*Q12/36000+R59*E11*20/36000+R60*E11*10/36000)))</f>
        <v>0</v>
      </c>
      <c r="W60" s="134">
        <f t="shared" si="30"/>
        <v>0</v>
      </c>
      <c r="X60" s="134">
        <f t="shared" si="22"/>
        <v>0</v>
      </c>
      <c r="Y60" s="134">
        <f t="shared" si="2"/>
        <v>-2.8421709430404007E-13</v>
      </c>
      <c r="Z60" s="134">
        <f t="shared" si="31"/>
        <v>0</v>
      </c>
      <c r="AA60" s="134">
        <f t="shared" si="23"/>
        <v>0</v>
      </c>
      <c r="AB60" s="134">
        <f t="shared" si="35"/>
        <v>0</v>
      </c>
      <c r="AC60" s="134">
        <f t="shared" si="40"/>
        <v>0</v>
      </c>
      <c r="AD60" s="134">
        <f t="shared" si="40"/>
        <v>0</v>
      </c>
      <c r="AE60" s="134">
        <f t="shared" si="24"/>
        <v>0</v>
      </c>
      <c r="AF60" s="134">
        <f t="shared" si="4"/>
        <v>0</v>
      </c>
      <c r="AG60" s="134">
        <f t="shared" si="25"/>
        <v>0</v>
      </c>
      <c r="AH60" s="134">
        <f t="shared" si="5"/>
        <v>0</v>
      </c>
      <c r="AI60" s="134">
        <f t="shared" si="6"/>
        <v>0</v>
      </c>
      <c r="AJ60" s="134">
        <f t="shared" si="38"/>
        <v>0</v>
      </c>
      <c r="AK60" s="134">
        <f t="shared" si="39"/>
        <v>0</v>
      </c>
      <c r="AL60" s="132">
        <f t="shared" si="26"/>
        <v>0</v>
      </c>
      <c r="AM60" s="132">
        <f t="shared" si="7"/>
        <v>0</v>
      </c>
      <c r="AN60" s="2">
        <f t="shared" si="27"/>
        <v>0</v>
      </c>
      <c r="AO60" s="2">
        <f t="shared" si="8"/>
        <v>0</v>
      </c>
      <c r="AP60" s="2">
        <f t="shared" si="9"/>
        <v>0</v>
      </c>
      <c r="AQ60" s="2">
        <f t="shared" si="10"/>
        <v>30</v>
      </c>
      <c r="AR60" s="2">
        <f t="shared" si="11"/>
        <v>20</v>
      </c>
      <c r="AS60" s="2">
        <f t="shared" si="28"/>
        <v>30</v>
      </c>
      <c r="AT60" s="2"/>
      <c r="AU60" s="2"/>
      <c r="AV60" s="2"/>
      <c r="AW60" s="2"/>
      <c r="AX60" s="2"/>
      <c r="AY60" s="2">
        <f t="shared" si="12"/>
        <v>0</v>
      </c>
      <c r="AZ60" s="2"/>
      <c r="BA60" s="2"/>
      <c r="BB60" s="2"/>
      <c r="BC60" s="2"/>
      <c r="BD60" s="2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si="14"/>
        <v xml:space="preserve"> </v>
      </c>
      <c r="C61" s="401"/>
      <c r="D61" s="269" t="str">
        <f>IF(N61=0,IF(N60=1,SUM(D$25:E60)," "),IF(N61=0," ",IF(N62=1,D$25,IF(N62=0,D$10-D$25*(M$14-1)," "))))</f>
        <v xml:space="preserve"> </v>
      </c>
      <c r="E61" s="269"/>
      <c r="F61" s="87" t="str">
        <f>IF(N61=0,IF(N60=1,SUM(F$25:F60)," "),IF(M$1=1,P61,IF(M$1=2,Q61," ")))</f>
        <v xml:space="preserve"> </v>
      </c>
      <c r="G61" s="87">
        <v>0</v>
      </c>
      <c r="H61" s="87" t="str">
        <f t="shared" si="15"/>
        <v xml:space="preserve"> </v>
      </c>
      <c r="I61" s="87">
        <f t="shared" si="16"/>
        <v>0</v>
      </c>
      <c r="J61" s="87">
        <f t="shared" si="0"/>
        <v>0</v>
      </c>
      <c r="K61" s="87">
        <v>0</v>
      </c>
      <c r="L61" s="87" t="str">
        <f t="shared" si="17"/>
        <v xml:space="preserve"> </v>
      </c>
      <c r="M61" s="2">
        <v>37</v>
      </c>
      <c r="N61" s="2">
        <f t="shared" si="34"/>
        <v>0</v>
      </c>
      <c r="O61" s="2">
        <f t="shared" si="1"/>
        <v>20</v>
      </c>
      <c r="P61" s="134">
        <f t="shared" si="19"/>
        <v>0</v>
      </c>
      <c r="Q61" s="134">
        <f t="shared" si="19"/>
        <v>0</v>
      </c>
      <c r="R61" s="134">
        <f t="shared" si="20"/>
        <v>0</v>
      </c>
      <c r="S61" s="134" t="str">
        <f t="shared" si="21"/>
        <v xml:space="preserve"> </v>
      </c>
      <c r="T61" s="134" t="str">
        <f t="shared" si="29"/>
        <v xml:space="preserve"> </v>
      </c>
      <c r="U61" s="134">
        <f t="shared" ref="U61:U71" si="41">IF(N62=1,R60*E$11*20/36000+R61*E$11*10/36000,IF(N62=0,IF(N61=0,0,IF(D$16&gt;20,R60*E$11*20/36000+R61*E$11*(Q$12-20)/36000,R61*E$11*Q$12/36000))))</f>
        <v>0</v>
      </c>
      <c r="V61" s="134">
        <f t="shared" ref="V61:V71" si="42">IF(N62=1,R60*E$11*20/36000+R61*E$11*10/36000,IF(N62=0,IF(N61=0,0,IF(D$16&gt;20,R60*E$11*20/36000+R61*E$11*(Q$12-20)/36000,R61*E$11*Q$12/36000))))</f>
        <v>0</v>
      </c>
      <c r="W61" s="134">
        <f t="shared" si="30"/>
        <v>0</v>
      </c>
      <c r="X61" s="134">
        <f t="shared" si="22"/>
        <v>0</v>
      </c>
      <c r="Y61" s="134">
        <f t="shared" si="2"/>
        <v>-2.8421709430404007E-13</v>
      </c>
      <c r="Z61" s="134">
        <f t="shared" si="31"/>
        <v>0</v>
      </c>
      <c r="AA61" s="134">
        <f t="shared" si="23"/>
        <v>0</v>
      </c>
      <c r="AB61" s="134">
        <f t="shared" si="35"/>
        <v>0</v>
      </c>
      <c r="AC61" s="134">
        <f t="shared" si="40"/>
        <v>0</v>
      </c>
      <c r="AD61" s="134">
        <f t="shared" si="40"/>
        <v>0</v>
      </c>
      <c r="AE61" s="134">
        <f t="shared" si="24"/>
        <v>0</v>
      </c>
      <c r="AF61" s="134">
        <f t="shared" si="4"/>
        <v>0</v>
      </c>
      <c r="AG61" s="134">
        <f t="shared" si="25"/>
        <v>0</v>
      </c>
      <c r="AH61" s="134">
        <f t="shared" si="5"/>
        <v>0</v>
      </c>
      <c r="AI61" s="134">
        <f t="shared" si="6"/>
        <v>0</v>
      </c>
      <c r="AJ61" s="134">
        <f>IF(N62=1,AI60*G$12*20/36000+AI61*G$12*10/36000,IF(N62=0,IF(N61=0,0,AI61*G$12*Q$12/36000)))</f>
        <v>0</v>
      </c>
      <c r="AK61" s="134">
        <f>IF(N62=1,AI60*G$12*20/36000+AI61*G$12*10/36000,IF(N62=0,IF(N61=0,0,AI61*G$12*Q$12/36000)))</f>
        <v>0</v>
      </c>
      <c r="AL61" s="132">
        <f t="shared" si="26"/>
        <v>0</v>
      </c>
      <c r="AM61" s="132">
        <f t="shared" si="7"/>
        <v>0</v>
      </c>
      <c r="AN61" s="2">
        <f t="shared" si="27"/>
        <v>0</v>
      </c>
      <c r="AO61" s="2">
        <f t="shared" si="8"/>
        <v>0</v>
      </c>
      <c r="AP61" s="2">
        <f t="shared" si="9"/>
        <v>0</v>
      </c>
      <c r="AQ61" s="2">
        <f t="shared" si="10"/>
        <v>30</v>
      </c>
      <c r="AR61" s="2">
        <f t="shared" si="11"/>
        <v>20</v>
      </c>
      <c r="AS61" s="2">
        <f t="shared" si="28"/>
        <v>30</v>
      </c>
      <c r="AT61" s="2"/>
      <c r="AU61" s="2"/>
      <c r="AV61" s="2"/>
      <c r="AW61" s="2"/>
      <c r="AX61" s="2"/>
      <c r="AY61" s="2">
        <f t="shared" si="12"/>
        <v>0</v>
      </c>
      <c r="AZ61" s="2"/>
      <c r="BA61" s="2"/>
      <c r="BB61" s="2"/>
      <c r="BC61" s="2"/>
      <c r="BD61" s="2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si="14"/>
        <v xml:space="preserve"> </v>
      </c>
      <c r="C62" s="401"/>
      <c r="D62" s="269" t="str">
        <f>IF(N62=0,IF(N61=1,SUM(D$25:E61)," "),IF(N62=0," ",IF(N63=1,D$25,IF(N63=0,D$10-D$25*(M$14-1)," "))))</f>
        <v xml:space="preserve"> </v>
      </c>
      <c r="E62" s="269"/>
      <c r="F62" s="87" t="str">
        <f>IF(N62=0,IF(N61=1,SUM(F$25:F61)," "),IF(M$1=1,P62,IF(M$1=2,Q62," ")))</f>
        <v xml:space="preserve"> </v>
      </c>
      <c r="G62" s="87">
        <v>0</v>
      </c>
      <c r="H62" s="87" t="str">
        <f t="shared" si="15"/>
        <v xml:space="preserve"> </v>
      </c>
      <c r="I62" s="87">
        <f t="shared" si="16"/>
        <v>0</v>
      </c>
      <c r="J62" s="87">
        <f t="shared" si="0"/>
        <v>0</v>
      </c>
      <c r="K62" s="87">
        <v>0</v>
      </c>
      <c r="L62" s="87" t="str">
        <f t="shared" si="17"/>
        <v xml:space="preserve"> </v>
      </c>
      <c r="M62" s="2">
        <v>38</v>
      </c>
      <c r="N62" s="2">
        <f t="shared" si="34"/>
        <v>0</v>
      </c>
      <c r="O62" s="2">
        <f t="shared" si="1"/>
        <v>20</v>
      </c>
      <c r="P62" s="134">
        <f t="shared" si="19"/>
        <v>0</v>
      </c>
      <c r="Q62" s="134">
        <f t="shared" si="19"/>
        <v>0</v>
      </c>
      <c r="R62" s="134">
        <f t="shared" si="20"/>
        <v>0</v>
      </c>
      <c r="S62" s="134" t="str">
        <f t="shared" si="21"/>
        <v xml:space="preserve"> </v>
      </c>
      <c r="T62" s="134" t="str">
        <f t="shared" si="29"/>
        <v xml:space="preserve"> </v>
      </c>
      <c r="U62" s="134">
        <f t="shared" si="41"/>
        <v>0</v>
      </c>
      <c r="V62" s="134">
        <f t="shared" si="42"/>
        <v>0</v>
      </c>
      <c r="W62" s="134">
        <f t="shared" si="30"/>
        <v>0</v>
      </c>
      <c r="X62" s="134">
        <f t="shared" si="22"/>
        <v>0</v>
      </c>
      <c r="Y62" s="134">
        <f t="shared" si="2"/>
        <v>-2.8421709430404007E-13</v>
      </c>
      <c r="Z62" s="134">
        <f t="shared" si="31"/>
        <v>0</v>
      </c>
      <c r="AA62" s="134">
        <f t="shared" si="23"/>
        <v>0</v>
      </c>
      <c r="AB62" s="134">
        <f t="shared" si="35"/>
        <v>0</v>
      </c>
      <c r="AC62" s="134">
        <f t="shared" si="40"/>
        <v>0</v>
      </c>
      <c r="AD62" s="134">
        <f t="shared" si="40"/>
        <v>0</v>
      </c>
      <c r="AE62" s="134">
        <f t="shared" si="24"/>
        <v>0</v>
      </c>
      <c r="AF62" s="134">
        <f t="shared" si="4"/>
        <v>0</v>
      </c>
      <c r="AG62" s="134">
        <f t="shared" si="25"/>
        <v>0</v>
      </c>
      <c r="AH62" s="134">
        <f t="shared" si="5"/>
        <v>0</v>
      </c>
      <c r="AI62" s="134">
        <f t="shared" si="6"/>
        <v>0</v>
      </c>
      <c r="AJ62" s="134">
        <f t="shared" ref="AJ62:AJ72" si="43">IF(N63=1,AI61*G$12*20/36000+AI62*G$12*10/36000,IF(N63=0,IF(N62=0,0,AI62*G$12*Q$12/36000+AI61*G$12*20/36000+AI62*G$12*10/36000)))</f>
        <v>0</v>
      </c>
      <c r="AK62" s="134">
        <f t="shared" ref="AK62:AK72" si="44">IF(N63=1,AI61*G$12*20/36000+AI62*G$12*10/36000,IF(N63=0,IF(N62=0,0,AI62*G$12*Q$12/36000+AI61*G$12*20/36000+AI62*G$12*10/36000)))</f>
        <v>0</v>
      </c>
      <c r="AL62" s="132">
        <f t="shared" si="26"/>
        <v>0</v>
      </c>
      <c r="AM62" s="132">
        <f t="shared" si="7"/>
        <v>0</v>
      </c>
      <c r="AN62" s="2">
        <f t="shared" si="27"/>
        <v>0</v>
      </c>
      <c r="AO62" s="2">
        <f t="shared" si="8"/>
        <v>0</v>
      </c>
      <c r="AP62" s="2">
        <f t="shared" si="9"/>
        <v>0</v>
      </c>
      <c r="AQ62" s="2">
        <f t="shared" si="10"/>
        <v>30</v>
      </c>
      <c r="AR62" s="2">
        <f t="shared" si="11"/>
        <v>20</v>
      </c>
      <c r="AS62" s="2">
        <f t="shared" si="28"/>
        <v>30</v>
      </c>
      <c r="AT62" s="2"/>
      <c r="AU62" s="2"/>
      <c r="AV62" s="2"/>
      <c r="AW62" s="2"/>
      <c r="AX62" s="2"/>
      <c r="AY62" s="2">
        <f t="shared" si="12"/>
        <v>0</v>
      </c>
      <c r="AZ62" s="2"/>
      <c r="BA62" s="2"/>
      <c r="BB62" s="2"/>
      <c r="BC62" s="2"/>
      <c r="BD62" s="2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si="14"/>
        <v xml:space="preserve"> </v>
      </c>
      <c r="C63" s="401"/>
      <c r="D63" s="269" t="str">
        <f>IF(N63=0,IF(N62=1,SUM(D$25:E62)," "),IF(N63=0," ",IF(N64=1,D$25,IF(N64=0,D$10-D$25*(M$14-1)," "))))</f>
        <v xml:space="preserve"> </v>
      </c>
      <c r="E63" s="269"/>
      <c r="F63" s="87" t="str">
        <f>IF(N63=0,IF(N62=1,SUM(F$25:F62)," "),IF(M$1=1,P63,IF(M$1=2,Q63," ")))</f>
        <v xml:space="preserve"> </v>
      </c>
      <c r="G63" s="87">
        <v>0</v>
      </c>
      <c r="H63" s="87" t="str">
        <f t="shared" si="15"/>
        <v xml:space="preserve"> </v>
      </c>
      <c r="I63" s="87">
        <f t="shared" si="16"/>
        <v>0</v>
      </c>
      <c r="J63" s="87">
        <f t="shared" si="0"/>
        <v>0</v>
      </c>
      <c r="K63" s="87">
        <v>0</v>
      </c>
      <c r="L63" s="87" t="str">
        <f t="shared" si="17"/>
        <v xml:space="preserve"> </v>
      </c>
      <c r="M63" s="2">
        <v>39</v>
      </c>
      <c r="N63" s="2">
        <f t="shared" si="34"/>
        <v>0</v>
      </c>
      <c r="O63" s="2">
        <f t="shared" si="1"/>
        <v>20</v>
      </c>
      <c r="P63" s="134">
        <f t="shared" si="19"/>
        <v>0</v>
      </c>
      <c r="Q63" s="134">
        <f t="shared" si="19"/>
        <v>0</v>
      </c>
      <c r="R63" s="134">
        <f t="shared" si="20"/>
        <v>0</v>
      </c>
      <c r="S63" s="134" t="str">
        <f t="shared" si="21"/>
        <v xml:space="preserve"> </v>
      </c>
      <c r="T63" s="134" t="str">
        <f t="shared" si="29"/>
        <v xml:space="preserve"> </v>
      </c>
      <c r="U63" s="134">
        <f t="shared" si="41"/>
        <v>0</v>
      </c>
      <c r="V63" s="134">
        <f t="shared" si="42"/>
        <v>0</v>
      </c>
      <c r="W63" s="134">
        <f t="shared" si="30"/>
        <v>0</v>
      </c>
      <c r="X63" s="134">
        <f t="shared" si="22"/>
        <v>0</v>
      </c>
      <c r="Y63" s="134">
        <f t="shared" si="2"/>
        <v>-2.8421709430404007E-13</v>
      </c>
      <c r="Z63" s="134">
        <f t="shared" si="31"/>
        <v>0</v>
      </c>
      <c r="AA63" s="134">
        <f t="shared" si="23"/>
        <v>0</v>
      </c>
      <c r="AB63" s="134">
        <f t="shared" si="35"/>
        <v>0</v>
      </c>
      <c r="AC63" s="134">
        <f t="shared" si="40"/>
        <v>0</v>
      </c>
      <c r="AD63" s="134">
        <f t="shared" si="40"/>
        <v>0</v>
      </c>
      <c r="AE63" s="134">
        <f t="shared" si="24"/>
        <v>0</v>
      </c>
      <c r="AF63" s="134">
        <f t="shared" si="4"/>
        <v>0</v>
      </c>
      <c r="AG63" s="134">
        <f t="shared" si="25"/>
        <v>0</v>
      </c>
      <c r="AH63" s="134">
        <f t="shared" si="5"/>
        <v>0</v>
      </c>
      <c r="AI63" s="134">
        <f t="shared" si="6"/>
        <v>0</v>
      </c>
      <c r="AJ63" s="134">
        <f t="shared" si="43"/>
        <v>0</v>
      </c>
      <c r="AK63" s="134">
        <f t="shared" si="44"/>
        <v>0</v>
      </c>
      <c r="AL63" s="132">
        <f t="shared" si="26"/>
        <v>0</v>
      </c>
      <c r="AM63" s="132">
        <f t="shared" si="7"/>
        <v>0</v>
      </c>
      <c r="AN63" s="2">
        <f t="shared" si="27"/>
        <v>0</v>
      </c>
      <c r="AO63" s="2">
        <f t="shared" si="8"/>
        <v>0</v>
      </c>
      <c r="AP63" s="2">
        <f t="shared" si="9"/>
        <v>0</v>
      </c>
      <c r="AQ63" s="2">
        <f t="shared" si="10"/>
        <v>30</v>
      </c>
      <c r="AR63" s="2">
        <f t="shared" si="11"/>
        <v>20</v>
      </c>
      <c r="AS63" s="2">
        <f t="shared" si="28"/>
        <v>30</v>
      </c>
      <c r="AT63" s="2"/>
      <c r="AU63" s="2"/>
      <c r="AV63" s="2"/>
      <c r="AW63" s="2"/>
      <c r="AX63" s="2"/>
      <c r="AY63" s="2">
        <f t="shared" si="12"/>
        <v>0</v>
      </c>
      <c r="AZ63" s="2"/>
      <c r="BA63" s="2"/>
      <c r="BB63" s="2"/>
      <c r="BC63" s="2"/>
      <c r="BD63" s="2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si="14"/>
        <v xml:space="preserve"> </v>
      </c>
      <c r="C64" s="401"/>
      <c r="D64" s="269" t="str">
        <f>IF(N64=0,IF(N63=1,SUM(D$25:E63)," "),IF(N64=0," ",IF(N65=1,D$25,IF(N65=0,D$10-D$25*(M$14-1)," "))))</f>
        <v xml:space="preserve"> </v>
      </c>
      <c r="E64" s="269"/>
      <c r="F64" s="87" t="str">
        <f>IF(N64=0,IF(N63=1,SUM(F$25:F63)," "),IF(M$1=1,P64,IF(M$1=2,Q64," ")))</f>
        <v xml:space="preserve"> </v>
      </c>
      <c r="G64" s="87">
        <v>0</v>
      </c>
      <c r="H64" s="87" t="str">
        <f t="shared" si="15"/>
        <v xml:space="preserve"> </v>
      </c>
      <c r="I64" s="87">
        <f t="shared" si="16"/>
        <v>0</v>
      </c>
      <c r="J64" s="87">
        <f t="shared" si="0"/>
        <v>0</v>
      </c>
      <c r="K64" s="87">
        <v>0</v>
      </c>
      <c r="L64" s="87" t="str">
        <f t="shared" si="17"/>
        <v xml:space="preserve"> </v>
      </c>
      <c r="M64" s="2">
        <v>40</v>
      </c>
      <c r="N64" s="2">
        <f t="shared" si="34"/>
        <v>0</v>
      </c>
      <c r="O64" s="2">
        <f t="shared" si="1"/>
        <v>20</v>
      </c>
      <c r="P64" s="134">
        <f t="shared" si="19"/>
        <v>0</v>
      </c>
      <c r="Q64" s="134">
        <f t="shared" si="19"/>
        <v>0</v>
      </c>
      <c r="R64" s="134">
        <f t="shared" si="20"/>
        <v>0</v>
      </c>
      <c r="S64" s="134" t="str">
        <f t="shared" si="21"/>
        <v xml:space="preserve"> </v>
      </c>
      <c r="T64" s="134" t="str">
        <f t="shared" si="29"/>
        <v xml:space="preserve"> </v>
      </c>
      <c r="U64" s="134">
        <f t="shared" si="41"/>
        <v>0</v>
      </c>
      <c r="V64" s="134">
        <f t="shared" si="42"/>
        <v>0</v>
      </c>
      <c r="W64" s="134">
        <f t="shared" si="30"/>
        <v>0</v>
      </c>
      <c r="X64" s="134">
        <f t="shared" si="22"/>
        <v>0</v>
      </c>
      <c r="Y64" s="134">
        <f t="shared" si="2"/>
        <v>-2.8421709430404007E-13</v>
      </c>
      <c r="Z64" s="134">
        <f t="shared" si="31"/>
        <v>0</v>
      </c>
      <c r="AA64" s="134">
        <f t="shared" si="23"/>
        <v>0</v>
      </c>
      <c r="AB64" s="134">
        <f t="shared" si="35"/>
        <v>0</v>
      </c>
      <c r="AC64" s="134">
        <f t="shared" si="40"/>
        <v>0</v>
      </c>
      <c r="AD64" s="134">
        <f t="shared" si="40"/>
        <v>0</v>
      </c>
      <c r="AE64" s="134">
        <f t="shared" si="24"/>
        <v>0</v>
      </c>
      <c r="AF64" s="134">
        <f t="shared" si="4"/>
        <v>0</v>
      </c>
      <c r="AG64" s="134">
        <f t="shared" si="25"/>
        <v>0</v>
      </c>
      <c r="AH64" s="134">
        <f t="shared" si="5"/>
        <v>0</v>
      </c>
      <c r="AI64" s="134">
        <f t="shared" si="6"/>
        <v>0</v>
      </c>
      <c r="AJ64" s="134">
        <f t="shared" si="43"/>
        <v>0</v>
      </c>
      <c r="AK64" s="134">
        <f t="shared" si="44"/>
        <v>0</v>
      </c>
      <c r="AL64" s="132">
        <f t="shared" si="26"/>
        <v>0</v>
      </c>
      <c r="AM64" s="132">
        <f t="shared" si="7"/>
        <v>0</v>
      </c>
      <c r="AN64" s="2">
        <f t="shared" si="27"/>
        <v>0</v>
      </c>
      <c r="AO64" s="2">
        <f t="shared" si="8"/>
        <v>0</v>
      </c>
      <c r="AP64" s="2">
        <f t="shared" si="9"/>
        <v>0</v>
      </c>
      <c r="AQ64" s="2">
        <f t="shared" si="10"/>
        <v>30</v>
      </c>
      <c r="AR64" s="2">
        <f t="shared" si="11"/>
        <v>20</v>
      </c>
      <c r="AS64" s="2">
        <f t="shared" si="28"/>
        <v>30</v>
      </c>
      <c r="AT64" s="2"/>
      <c r="AU64" s="2"/>
      <c r="AV64" s="2"/>
      <c r="AW64" s="2"/>
      <c r="AX64" s="2"/>
      <c r="AY64" s="2">
        <f t="shared" si="12"/>
        <v>0</v>
      </c>
      <c r="AZ64" s="2"/>
      <c r="BA64" s="2"/>
      <c r="BB64" s="2"/>
      <c r="BC64" s="2"/>
      <c r="BD64" s="2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si="14"/>
        <v xml:space="preserve"> </v>
      </c>
      <c r="C65" s="401"/>
      <c r="D65" s="269" t="str">
        <f>IF(N65=0,IF(N64=1,SUM(D$25:E64)," "),IF(N65=0," ",IF(N66=1,D$25,IF(N66=0,D$10-D$25*(M$14-1)," "))))</f>
        <v xml:space="preserve"> </v>
      </c>
      <c r="E65" s="269"/>
      <c r="F65" s="87" t="str">
        <f>IF(N65=0,IF(N64=1,SUM(F$25:F64)," "),IF(M$1=1,P65,IF(M$1=2,Q65," ")))</f>
        <v xml:space="preserve"> </v>
      </c>
      <c r="G65" s="87">
        <v>0</v>
      </c>
      <c r="H65" s="87" t="str">
        <f t="shared" si="15"/>
        <v xml:space="preserve"> </v>
      </c>
      <c r="I65" s="87">
        <f t="shared" si="16"/>
        <v>0</v>
      </c>
      <c r="J65" s="87">
        <f t="shared" si="0"/>
        <v>0</v>
      </c>
      <c r="K65" s="87">
        <v>0</v>
      </c>
      <c r="L65" s="87" t="str">
        <f t="shared" si="17"/>
        <v xml:space="preserve"> </v>
      </c>
      <c r="M65" s="2">
        <v>41</v>
      </c>
      <c r="N65" s="2">
        <f t="shared" si="34"/>
        <v>0</v>
      </c>
      <c r="O65" s="2">
        <f t="shared" si="1"/>
        <v>20</v>
      </c>
      <c r="P65" s="134">
        <f t="shared" si="19"/>
        <v>0</v>
      </c>
      <c r="Q65" s="134">
        <f t="shared" si="19"/>
        <v>0</v>
      </c>
      <c r="R65" s="134">
        <f t="shared" si="20"/>
        <v>0</v>
      </c>
      <c r="S65" s="134" t="str">
        <f t="shared" si="21"/>
        <v xml:space="preserve"> </v>
      </c>
      <c r="T65" s="134" t="str">
        <f t="shared" si="29"/>
        <v xml:space="preserve"> </v>
      </c>
      <c r="U65" s="134">
        <f t="shared" si="41"/>
        <v>0</v>
      </c>
      <c r="V65" s="134">
        <f t="shared" si="42"/>
        <v>0</v>
      </c>
      <c r="W65" s="134">
        <f t="shared" si="30"/>
        <v>0</v>
      </c>
      <c r="X65" s="134">
        <f t="shared" si="22"/>
        <v>0</v>
      </c>
      <c r="Y65" s="134">
        <f t="shared" si="2"/>
        <v>-2.8421709430404007E-13</v>
      </c>
      <c r="Z65" s="134">
        <f t="shared" si="31"/>
        <v>0</v>
      </c>
      <c r="AA65" s="134">
        <f t="shared" si="23"/>
        <v>0</v>
      </c>
      <c r="AB65" s="134">
        <f t="shared" si="35"/>
        <v>0</v>
      </c>
      <c r="AC65" s="134">
        <f t="shared" si="40"/>
        <v>0</v>
      </c>
      <c r="AD65" s="134">
        <f t="shared" si="40"/>
        <v>0</v>
      </c>
      <c r="AE65" s="134">
        <f t="shared" si="24"/>
        <v>0</v>
      </c>
      <c r="AF65" s="134">
        <f t="shared" si="4"/>
        <v>0</v>
      </c>
      <c r="AG65" s="134">
        <f t="shared" si="25"/>
        <v>0</v>
      </c>
      <c r="AH65" s="134">
        <f t="shared" si="5"/>
        <v>0</v>
      </c>
      <c r="AI65" s="134">
        <f t="shared" si="6"/>
        <v>0</v>
      </c>
      <c r="AJ65" s="134">
        <f t="shared" si="43"/>
        <v>0</v>
      </c>
      <c r="AK65" s="134">
        <f t="shared" si="44"/>
        <v>0</v>
      </c>
      <c r="AL65" s="132">
        <f t="shared" si="26"/>
        <v>0</v>
      </c>
      <c r="AM65" s="132">
        <f t="shared" si="7"/>
        <v>0</v>
      </c>
      <c r="AN65" s="2">
        <f t="shared" si="27"/>
        <v>0</v>
      </c>
      <c r="AO65" s="2">
        <f t="shared" si="8"/>
        <v>0</v>
      </c>
      <c r="AP65" s="2">
        <f t="shared" si="9"/>
        <v>0</v>
      </c>
      <c r="AQ65" s="2">
        <f t="shared" si="10"/>
        <v>30</v>
      </c>
      <c r="AR65" s="2">
        <f t="shared" si="11"/>
        <v>20</v>
      </c>
      <c r="AS65" s="2">
        <f t="shared" si="28"/>
        <v>30</v>
      </c>
      <c r="AT65" s="2"/>
      <c r="AU65" s="2"/>
      <c r="AV65" s="2"/>
      <c r="AW65" s="2"/>
      <c r="AX65" s="2"/>
      <c r="AY65" s="2">
        <f t="shared" si="12"/>
        <v>0</v>
      </c>
      <c r="AZ65" s="2"/>
      <c r="BA65" s="2"/>
      <c r="BB65" s="2"/>
      <c r="BC65" s="2"/>
      <c r="BD65" s="2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si="14"/>
        <v xml:space="preserve"> </v>
      </c>
      <c r="C66" s="401"/>
      <c r="D66" s="269" t="str">
        <f>IF(N66=0,IF(N65=1,SUM(D$25:E65)," "),IF(N66=0," ",IF(N67=1,D$25,IF(N67=0,D$10-D$25*(M$14-1)," "))))</f>
        <v xml:space="preserve"> </v>
      </c>
      <c r="E66" s="269"/>
      <c r="F66" s="87" t="str">
        <f>IF(N66=0,IF(N65=1,SUM(F$25:F65)," "),IF(M$1=1,P66,IF(M$1=2,Q66," ")))</f>
        <v xml:space="preserve"> </v>
      </c>
      <c r="G66" s="87">
        <v>0</v>
      </c>
      <c r="H66" s="87" t="str">
        <f t="shared" si="15"/>
        <v xml:space="preserve"> </v>
      </c>
      <c r="I66" s="87">
        <f t="shared" si="16"/>
        <v>0</v>
      </c>
      <c r="J66" s="87">
        <f t="shared" si="0"/>
        <v>0</v>
      </c>
      <c r="K66" s="87">
        <v>0</v>
      </c>
      <c r="L66" s="87" t="str">
        <f t="shared" si="17"/>
        <v xml:space="preserve"> </v>
      </c>
      <c r="M66" s="2">
        <v>42</v>
      </c>
      <c r="N66" s="2">
        <f t="shared" si="34"/>
        <v>0</v>
      </c>
      <c r="O66" s="2">
        <f t="shared" si="1"/>
        <v>20</v>
      </c>
      <c r="P66" s="134">
        <f t="shared" si="19"/>
        <v>0</v>
      </c>
      <c r="Q66" s="134">
        <f t="shared" si="19"/>
        <v>0</v>
      </c>
      <c r="R66" s="134">
        <f t="shared" si="20"/>
        <v>0</v>
      </c>
      <c r="S66" s="134" t="str">
        <f t="shared" si="21"/>
        <v xml:space="preserve"> </v>
      </c>
      <c r="T66" s="134" t="str">
        <f t="shared" si="29"/>
        <v xml:space="preserve"> </v>
      </c>
      <c r="U66" s="134">
        <f t="shared" si="41"/>
        <v>0</v>
      </c>
      <c r="V66" s="134">
        <f t="shared" si="42"/>
        <v>0</v>
      </c>
      <c r="W66" s="134">
        <f t="shared" si="30"/>
        <v>0</v>
      </c>
      <c r="X66" s="134">
        <f t="shared" si="22"/>
        <v>0</v>
      </c>
      <c r="Y66" s="134">
        <f t="shared" si="2"/>
        <v>-2.8421709430404007E-13</v>
      </c>
      <c r="Z66" s="134">
        <f t="shared" si="31"/>
        <v>0</v>
      </c>
      <c r="AA66" s="134">
        <f t="shared" si="23"/>
        <v>0</v>
      </c>
      <c r="AB66" s="134">
        <f t="shared" si="35"/>
        <v>0</v>
      </c>
      <c r="AC66" s="134">
        <f t="shared" si="40"/>
        <v>0</v>
      </c>
      <c r="AD66" s="134">
        <f t="shared" si="40"/>
        <v>0</v>
      </c>
      <c r="AE66" s="134">
        <f t="shared" si="24"/>
        <v>0</v>
      </c>
      <c r="AF66" s="134">
        <f t="shared" si="4"/>
        <v>0</v>
      </c>
      <c r="AG66" s="134">
        <f t="shared" si="25"/>
        <v>0</v>
      </c>
      <c r="AH66" s="134">
        <f t="shared" si="5"/>
        <v>0</v>
      </c>
      <c r="AI66" s="134">
        <f t="shared" si="6"/>
        <v>0</v>
      </c>
      <c r="AJ66" s="134">
        <f t="shared" si="43"/>
        <v>0</v>
      </c>
      <c r="AK66" s="134">
        <f t="shared" si="44"/>
        <v>0</v>
      </c>
      <c r="AL66" s="132">
        <f t="shared" si="26"/>
        <v>0</v>
      </c>
      <c r="AM66" s="132">
        <f t="shared" si="7"/>
        <v>0</v>
      </c>
      <c r="AN66" s="2">
        <f t="shared" si="27"/>
        <v>0</v>
      </c>
      <c r="AO66" s="2">
        <f t="shared" si="8"/>
        <v>0</v>
      </c>
      <c r="AP66" s="2">
        <f t="shared" si="9"/>
        <v>0</v>
      </c>
      <c r="AQ66" s="2">
        <f t="shared" si="10"/>
        <v>30</v>
      </c>
      <c r="AR66" s="2">
        <f t="shared" si="11"/>
        <v>20</v>
      </c>
      <c r="AS66" s="2">
        <f t="shared" si="28"/>
        <v>30</v>
      </c>
      <c r="AT66" s="2"/>
      <c r="AU66" s="2"/>
      <c r="AV66" s="2"/>
      <c r="AW66" s="2"/>
      <c r="AX66" s="2"/>
      <c r="AY66" s="2">
        <f t="shared" si="12"/>
        <v>0</v>
      </c>
      <c r="AZ66" s="2"/>
      <c r="BA66" s="2"/>
      <c r="BB66" s="2"/>
      <c r="BC66" s="2"/>
      <c r="BD66" s="2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si="14"/>
        <v xml:space="preserve"> </v>
      </c>
      <c r="C67" s="401"/>
      <c r="D67" s="269" t="str">
        <f>IF(N67=0,IF(N66=1,SUM(D$25:E66)," "),IF(N67=0," ",IF(N68=1,D$25,IF(N68=0,D$10-D$25*(M$14-1)," "))))</f>
        <v xml:space="preserve"> </v>
      </c>
      <c r="E67" s="269"/>
      <c r="F67" s="87" t="str">
        <f>IF(N67=0,IF(N66=1,SUM(F$25:F66)," "),IF(M$1=1,P67,IF(M$1=2,Q67," ")))</f>
        <v xml:space="preserve"> </v>
      </c>
      <c r="G67" s="87">
        <v>0</v>
      </c>
      <c r="H67" s="87" t="str">
        <f t="shared" si="15"/>
        <v xml:space="preserve"> </v>
      </c>
      <c r="I67" s="87">
        <f t="shared" si="16"/>
        <v>0</v>
      </c>
      <c r="J67" s="87">
        <f t="shared" si="0"/>
        <v>0</v>
      </c>
      <c r="K67" s="87">
        <v>0</v>
      </c>
      <c r="L67" s="87" t="str">
        <f t="shared" si="17"/>
        <v xml:space="preserve"> </v>
      </c>
      <c r="M67" s="2">
        <v>43</v>
      </c>
      <c r="N67" s="2">
        <f t="shared" si="34"/>
        <v>0</v>
      </c>
      <c r="O67" s="2">
        <f t="shared" si="1"/>
        <v>20</v>
      </c>
      <c r="P67" s="134">
        <f t="shared" si="19"/>
        <v>0</v>
      </c>
      <c r="Q67" s="134">
        <f t="shared" si="19"/>
        <v>0</v>
      </c>
      <c r="R67" s="134">
        <f t="shared" si="20"/>
        <v>0</v>
      </c>
      <c r="S67" s="134" t="str">
        <f t="shared" si="21"/>
        <v xml:space="preserve"> </v>
      </c>
      <c r="T67" s="134" t="str">
        <f t="shared" si="29"/>
        <v xml:space="preserve"> </v>
      </c>
      <c r="U67" s="134">
        <f t="shared" si="41"/>
        <v>0</v>
      </c>
      <c r="V67" s="134">
        <f t="shared" si="42"/>
        <v>0</v>
      </c>
      <c r="W67" s="134">
        <f t="shared" si="30"/>
        <v>0</v>
      </c>
      <c r="X67" s="134">
        <f t="shared" si="22"/>
        <v>0</v>
      </c>
      <c r="Y67" s="134">
        <f t="shared" si="2"/>
        <v>-2.8421709430404007E-13</v>
      </c>
      <c r="Z67" s="134">
        <f t="shared" si="31"/>
        <v>0</v>
      </c>
      <c r="AA67" s="134">
        <f t="shared" si="23"/>
        <v>0</v>
      </c>
      <c r="AB67" s="134">
        <f t="shared" si="35"/>
        <v>0</v>
      </c>
      <c r="AC67" s="134">
        <f t="shared" si="40"/>
        <v>0</v>
      </c>
      <c r="AD67" s="134">
        <f t="shared" si="40"/>
        <v>0</v>
      </c>
      <c r="AE67" s="134">
        <f t="shared" si="24"/>
        <v>0</v>
      </c>
      <c r="AF67" s="134">
        <f t="shared" si="4"/>
        <v>0</v>
      </c>
      <c r="AG67" s="134">
        <f t="shared" si="25"/>
        <v>0</v>
      </c>
      <c r="AH67" s="134">
        <f t="shared" si="5"/>
        <v>0</v>
      </c>
      <c r="AI67" s="134">
        <f t="shared" si="6"/>
        <v>0</v>
      </c>
      <c r="AJ67" s="134">
        <f t="shared" si="43"/>
        <v>0</v>
      </c>
      <c r="AK67" s="134">
        <f t="shared" si="44"/>
        <v>0</v>
      </c>
      <c r="AL67" s="132">
        <f t="shared" si="26"/>
        <v>0</v>
      </c>
      <c r="AM67" s="132">
        <f t="shared" si="7"/>
        <v>0</v>
      </c>
      <c r="AN67" s="2">
        <f t="shared" si="27"/>
        <v>0</v>
      </c>
      <c r="AO67" s="2">
        <f t="shared" si="8"/>
        <v>0</v>
      </c>
      <c r="AP67" s="2">
        <f t="shared" si="9"/>
        <v>0</v>
      </c>
      <c r="AQ67" s="2">
        <f t="shared" si="10"/>
        <v>30</v>
      </c>
      <c r="AR67" s="2">
        <f t="shared" si="11"/>
        <v>20</v>
      </c>
      <c r="AS67" s="2">
        <f t="shared" si="28"/>
        <v>30</v>
      </c>
      <c r="AT67" s="2"/>
      <c r="AU67" s="2"/>
      <c r="AV67" s="2"/>
      <c r="AW67" s="2"/>
      <c r="AX67" s="2"/>
      <c r="AY67" s="2">
        <f t="shared" si="12"/>
        <v>0</v>
      </c>
      <c r="AZ67" s="2"/>
      <c r="BA67" s="2"/>
      <c r="BB67" s="2"/>
      <c r="BC67" s="2"/>
      <c r="BD67" s="2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si="14"/>
        <v xml:space="preserve"> </v>
      </c>
      <c r="C68" s="401"/>
      <c r="D68" s="269" t="str">
        <f>IF(N68=0,IF(N67=1,SUM(D$25:E67)," "),IF(N68=0," ",IF(N69=1,D$25,IF(N69=0,D$10-D$25*(M$14-1)," "))))</f>
        <v xml:space="preserve"> </v>
      </c>
      <c r="E68" s="269"/>
      <c r="F68" s="87" t="str">
        <f>IF(N68=0,IF(N67=1,SUM(F$25:F67)," "),IF(M$1=1,P68,IF(M$1=2,Q68," ")))</f>
        <v xml:space="preserve"> </v>
      </c>
      <c r="G68" s="87">
        <v>0</v>
      </c>
      <c r="H68" s="87" t="str">
        <f t="shared" si="15"/>
        <v xml:space="preserve"> </v>
      </c>
      <c r="I68" s="87">
        <f t="shared" si="16"/>
        <v>0</v>
      </c>
      <c r="J68" s="87">
        <f t="shared" si="0"/>
        <v>0</v>
      </c>
      <c r="K68" s="87">
        <v>0</v>
      </c>
      <c r="L68" s="87" t="str">
        <f t="shared" si="17"/>
        <v xml:space="preserve"> </v>
      </c>
      <c r="M68" s="2">
        <v>44</v>
      </c>
      <c r="N68" s="2">
        <f t="shared" si="34"/>
        <v>0</v>
      </c>
      <c r="O68" s="2">
        <f t="shared" si="1"/>
        <v>20</v>
      </c>
      <c r="P68" s="134">
        <f t="shared" si="19"/>
        <v>0</v>
      </c>
      <c r="Q68" s="134">
        <f t="shared" si="19"/>
        <v>0</v>
      </c>
      <c r="R68" s="134">
        <f t="shared" si="20"/>
        <v>0</v>
      </c>
      <c r="S68" s="134" t="str">
        <f t="shared" si="21"/>
        <v xml:space="preserve"> </v>
      </c>
      <c r="T68" s="134" t="str">
        <f t="shared" si="29"/>
        <v xml:space="preserve"> </v>
      </c>
      <c r="U68" s="134">
        <f t="shared" si="41"/>
        <v>0</v>
      </c>
      <c r="V68" s="134">
        <f t="shared" si="42"/>
        <v>0</v>
      </c>
      <c r="W68" s="134">
        <f t="shared" si="30"/>
        <v>0</v>
      </c>
      <c r="X68" s="134">
        <f t="shared" si="22"/>
        <v>0</v>
      </c>
      <c r="Y68" s="134">
        <f t="shared" si="2"/>
        <v>-2.8421709430404007E-13</v>
      </c>
      <c r="Z68" s="134">
        <f t="shared" si="31"/>
        <v>0</v>
      </c>
      <c r="AA68" s="134">
        <f t="shared" si="23"/>
        <v>0</v>
      </c>
      <c r="AB68" s="134">
        <f t="shared" si="35"/>
        <v>0</v>
      </c>
      <c r="AC68" s="134">
        <f t="shared" si="40"/>
        <v>0</v>
      </c>
      <c r="AD68" s="134">
        <f t="shared" si="40"/>
        <v>0</v>
      </c>
      <c r="AE68" s="134">
        <f t="shared" si="24"/>
        <v>0</v>
      </c>
      <c r="AF68" s="134">
        <f t="shared" si="4"/>
        <v>0</v>
      </c>
      <c r="AG68" s="134">
        <f t="shared" si="25"/>
        <v>0</v>
      </c>
      <c r="AH68" s="134">
        <f t="shared" si="5"/>
        <v>0</v>
      </c>
      <c r="AI68" s="134">
        <f t="shared" si="6"/>
        <v>0</v>
      </c>
      <c r="AJ68" s="134">
        <f t="shared" si="43"/>
        <v>0</v>
      </c>
      <c r="AK68" s="134">
        <f t="shared" si="44"/>
        <v>0</v>
      </c>
      <c r="AL68" s="132">
        <f t="shared" si="26"/>
        <v>0</v>
      </c>
      <c r="AM68" s="132">
        <f t="shared" si="7"/>
        <v>0</v>
      </c>
      <c r="AN68" s="2">
        <f t="shared" si="27"/>
        <v>0</v>
      </c>
      <c r="AO68" s="2">
        <f t="shared" si="8"/>
        <v>0</v>
      </c>
      <c r="AP68" s="2">
        <f t="shared" si="9"/>
        <v>0</v>
      </c>
      <c r="AQ68" s="2">
        <f t="shared" si="10"/>
        <v>30</v>
      </c>
      <c r="AR68" s="2">
        <f t="shared" si="11"/>
        <v>20</v>
      </c>
      <c r="AS68" s="2">
        <f t="shared" si="28"/>
        <v>30</v>
      </c>
      <c r="AT68" s="2"/>
      <c r="AU68" s="2"/>
      <c r="AV68" s="2"/>
      <c r="AW68" s="2"/>
      <c r="AX68" s="2"/>
      <c r="AY68" s="2">
        <f t="shared" si="12"/>
        <v>0</v>
      </c>
      <c r="AZ68" s="2"/>
      <c r="BA68" s="2"/>
      <c r="BB68" s="2"/>
      <c r="BC68" s="2"/>
      <c r="BD68" s="2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si="14"/>
        <v xml:space="preserve"> </v>
      </c>
      <c r="C69" s="401"/>
      <c r="D69" s="269" t="str">
        <f>IF(N69=0,IF(N68=1,SUM(D$25:E68)," "),IF(N69=0," ",IF(N70=1,D$25,IF(N70=0,D$10-D$25*(M$14-1)," "))))</f>
        <v xml:space="preserve"> </v>
      </c>
      <c r="E69" s="269"/>
      <c r="F69" s="87" t="str">
        <f>IF(N69=0,IF(N68=1,SUM(F$25:F68)," "),IF(M$1=1,P69,IF(M$1=2,Q69," ")))</f>
        <v xml:space="preserve"> </v>
      </c>
      <c r="G69" s="87">
        <v>0</v>
      </c>
      <c r="H69" s="87" t="str">
        <f t="shared" si="15"/>
        <v xml:space="preserve"> </v>
      </c>
      <c r="I69" s="87">
        <f t="shared" si="16"/>
        <v>0</v>
      </c>
      <c r="J69" s="87">
        <f t="shared" si="0"/>
        <v>0</v>
      </c>
      <c r="K69" s="87">
        <v>0</v>
      </c>
      <c r="L69" s="87" t="str">
        <f t="shared" si="17"/>
        <v xml:space="preserve"> </v>
      </c>
      <c r="M69" s="2">
        <v>45</v>
      </c>
      <c r="N69" s="2">
        <f t="shared" si="34"/>
        <v>0</v>
      </c>
      <c r="O69" s="2">
        <f t="shared" si="1"/>
        <v>20</v>
      </c>
      <c r="P69" s="134">
        <f t="shared" si="19"/>
        <v>0</v>
      </c>
      <c r="Q69" s="134">
        <f t="shared" si="19"/>
        <v>0</v>
      </c>
      <c r="R69" s="134">
        <f t="shared" si="20"/>
        <v>0</v>
      </c>
      <c r="S69" s="134" t="str">
        <f t="shared" si="21"/>
        <v xml:space="preserve"> </v>
      </c>
      <c r="T69" s="134" t="str">
        <f t="shared" si="29"/>
        <v xml:space="preserve"> </v>
      </c>
      <c r="U69" s="134">
        <f t="shared" si="41"/>
        <v>0</v>
      </c>
      <c r="V69" s="134">
        <f t="shared" si="42"/>
        <v>0</v>
      </c>
      <c r="W69" s="134">
        <f t="shared" si="30"/>
        <v>0</v>
      </c>
      <c r="X69" s="134">
        <f t="shared" si="22"/>
        <v>0</v>
      </c>
      <c r="Y69" s="134">
        <f t="shared" si="2"/>
        <v>-2.8421709430404007E-13</v>
      </c>
      <c r="Z69" s="134">
        <f t="shared" si="31"/>
        <v>0</v>
      </c>
      <c r="AA69" s="134">
        <f t="shared" si="23"/>
        <v>0</v>
      </c>
      <c r="AB69" s="134">
        <f t="shared" si="35"/>
        <v>0</v>
      </c>
      <c r="AC69" s="134">
        <f t="shared" si="40"/>
        <v>0</v>
      </c>
      <c r="AD69" s="134">
        <f t="shared" si="40"/>
        <v>0</v>
      </c>
      <c r="AE69" s="134">
        <f t="shared" si="24"/>
        <v>0</v>
      </c>
      <c r="AF69" s="134">
        <f t="shared" si="4"/>
        <v>0</v>
      </c>
      <c r="AG69" s="134">
        <f t="shared" si="25"/>
        <v>0</v>
      </c>
      <c r="AH69" s="134">
        <f t="shared" si="5"/>
        <v>0</v>
      </c>
      <c r="AI69" s="134">
        <f t="shared" si="6"/>
        <v>0</v>
      </c>
      <c r="AJ69" s="134">
        <f t="shared" si="43"/>
        <v>0</v>
      </c>
      <c r="AK69" s="134">
        <f t="shared" si="44"/>
        <v>0</v>
      </c>
      <c r="AL69" s="132">
        <f t="shared" si="26"/>
        <v>0</v>
      </c>
      <c r="AM69" s="132">
        <f t="shared" si="7"/>
        <v>0</v>
      </c>
      <c r="AN69" s="2">
        <f t="shared" si="27"/>
        <v>0</v>
      </c>
      <c r="AO69" s="2">
        <f t="shared" si="8"/>
        <v>0</v>
      </c>
      <c r="AP69" s="2">
        <f t="shared" si="9"/>
        <v>0</v>
      </c>
      <c r="AQ69" s="2">
        <f t="shared" si="10"/>
        <v>30</v>
      </c>
      <c r="AR69" s="2">
        <f t="shared" si="11"/>
        <v>20</v>
      </c>
      <c r="AS69" s="2">
        <f t="shared" si="28"/>
        <v>30</v>
      </c>
      <c r="AT69" s="2"/>
      <c r="AU69" s="2"/>
      <c r="AV69" s="2"/>
      <c r="AW69" s="2"/>
      <c r="AX69" s="2"/>
      <c r="AY69" s="2">
        <f t="shared" si="12"/>
        <v>0</v>
      </c>
      <c r="AZ69" s="2"/>
      <c r="BA69" s="2"/>
      <c r="BB69" s="2"/>
      <c r="BC69" s="2"/>
      <c r="BD69" s="2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si="14"/>
        <v xml:space="preserve"> </v>
      </c>
      <c r="C70" s="401"/>
      <c r="D70" s="269" t="str">
        <f>IF(N70=0,IF(N69=1,SUM(D$25:E69)," "),IF(N70=0," ",IF(N71=1,D$25,IF(N71=0,D$10-D$25*(M$14-1)," "))))</f>
        <v xml:space="preserve"> </v>
      </c>
      <c r="E70" s="269"/>
      <c r="F70" s="87" t="str">
        <f>IF(N70=0,IF(N69=1,SUM(F$25:F69)," "),IF(M$1=1,P70,IF(M$1=2,Q70," ")))</f>
        <v xml:space="preserve"> </v>
      </c>
      <c r="G70" s="87">
        <v>0</v>
      </c>
      <c r="H70" s="87" t="str">
        <f t="shared" si="15"/>
        <v xml:space="preserve"> </v>
      </c>
      <c r="I70" s="87">
        <f t="shared" si="16"/>
        <v>0</v>
      </c>
      <c r="J70" s="87">
        <f t="shared" si="0"/>
        <v>0</v>
      </c>
      <c r="K70" s="87">
        <v>0</v>
      </c>
      <c r="L70" s="87" t="str">
        <f t="shared" si="17"/>
        <v xml:space="preserve"> </v>
      </c>
      <c r="M70" s="2">
        <v>46</v>
      </c>
      <c r="N70" s="2">
        <f t="shared" si="34"/>
        <v>0</v>
      </c>
      <c r="O70" s="2">
        <f t="shared" si="1"/>
        <v>20</v>
      </c>
      <c r="P70" s="134">
        <f t="shared" si="19"/>
        <v>0</v>
      </c>
      <c r="Q70" s="134">
        <f t="shared" si="19"/>
        <v>0</v>
      </c>
      <c r="R70" s="134">
        <f t="shared" si="20"/>
        <v>0</v>
      </c>
      <c r="S70" s="134" t="str">
        <f t="shared" si="21"/>
        <v xml:space="preserve"> </v>
      </c>
      <c r="T70" s="134" t="str">
        <f t="shared" si="29"/>
        <v xml:space="preserve"> </v>
      </c>
      <c r="U70" s="134">
        <f t="shared" si="41"/>
        <v>0</v>
      </c>
      <c r="V70" s="134">
        <f t="shared" si="42"/>
        <v>0</v>
      </c>
      <c r="W70" s="134">
        <f t="shared" si="30"/>
        <v>0</v>
      </c>
      <c r="X70" s="134">
        <f t="shared" si="22"/>
        <v>0</v>
      </c>
      <c r="Y70" s="134">
        <f t="shared" si="2"/>
        <v>-2.8421709430404007E-13</v>
      </c>
      <c r="Z70" s="134">
        <f t="shared" si="31"/>
        <v>0</v>
      </c>
      <c r="AA70" s="134">
        <f t="shared" si="23"/>
        <v>0</v>
      </c>
      <c r="AB70" s="134">
        <f t="shared" si="35"/>
        <v>0</v>
      </c>
      <c r="AC70" s="134">
        <f t="shared" si="40"/>
        <v>0</v>
      </c>
      <c r="AD70" s="134">
        <f t="shared" si="40"/>
        <v>0</v>
      </c>
      <c r="AE70" s="134">
        <f t="shared" si="24"/>
        <v>0</v>
      </c>
      <c r="AF70" s="134">
        <f t="shared" si="4"/>
        <v>0</v>
      </c>
      <c r="AG70" s="134">
        <f t="shared" si="25"/>
        <v>0</v>
      </c>
      <c r="AH70" s="134">
        <f t="shared" si="5"/>
        <v>0</v>
      </c>
      <c r="AI70" s="134">
        <f t="shared" si="6"/>
        <v>0</v>
      </c>
      <c r="AJ70" s="134">
        <f t="shared" si="43"/>
        <v>0</v>
      </c>
      <c r="AK70" s="134">
        <f t="shared" si="44"/>
        <v>0</v>
      </c>
      <c r="AL70" s="132">
        <f t="shared" si="26"/>
        <v>0</v>
      </c>
      <c r="AM70" s="132">
        <f t="shared" si="7"/>
        <v>0</v>
      </c>
      <c r="AN70" s="2">
        <f t="shared" si="27"/>
        <v>0</v>
      </c>
      <c r="AO70" s="2">
        <f t="shared" si="8"/>
        <v>0</v>
      </c>
      <c r="AP70" s="2">
        <f t="shared" si="9"/>
        <v>0</v>
      </c>
      <c r="AQ70" s="2">
        <f t="shared" si="10"/>
        <v>30</v>
      </c>
      <c r="AR70" s="2">
        <f t="shared" si="11"/>
        <v>20</v>
      </c>
      <c r="AS70" s="2">
        <f t="shared" si="28"/>
        <v>30</v>
      </c>
      <c r="AT70" s="2"/>
      <c r="AU70" s="2"/>
      <c r="AV70" s="2"/>
      <c r="AW70" s="2"/>
      <c r="AX70" s="2"/>
      <c r="AY70" s="2">
        <f t="shared" si="12"/>
        <v>0</v>
      </c>
      <c r="AZ70" s="2"/>
      <c r="BA70" s="2"/>
      <c r="BB70" s="2"/>
      <c r="BC70" s="2"/>
      <c r="BD70" s="2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si="14"/>
        <v xml:space="preserve"> </v>
      </c>
      <c r="C71" s="401"/>
      <c r="D71" s="269" t="str">
        <f>IF(N71=0,IF(N70=1,SUM(D$25:E70)," "),IF(N71=0," ",IF(N72=1,D$25,IF(N72=0,D$10-D$25*(M$14-1)," "))))</f>
        <v xml:space="preserve"> </v>
      </c>
      <c r="E71" s="269"/>
      <c r="F71" s="87" t="str">
        <f>IF(N71=0,IF(N70=1,SUM(F$25:F70)," "),IF(M$1=1,P71,IF(M$1=2,Q71," ")))</f>
        <v xml:space="preserve"> </v>
      </c>
      <c r="G71" s="87">
        <v>0</v>
      </c>
      <c r="H71" s="87" t="str">
        <f t="shared" si="15"/>
        <v xml:space="preserve"> </v>
      </c>
      <c r="I71" s="87">
        <f t="shared" si="16"/>
        <v>0</v>
      </c>
      <c r="J71" s="87">
        <f t="shared" si="0"/>
        <v>0</v>
      </c>
      <c r="K71" s="87">
        <v>0</v>
      </c>
      <c r="L71" s="87" t="str">
        <f t="shared" si="17"/>
        <v xml:space="preserve"> </v>
      </c>
      <c r="M71" s="2">
        <v>47</v>
      </c>
      <c r="N71" s="2">
        <f t="shared" si="34"/>
        <v>0</v>
      </c>
      <c r="O71" s="2">
        <f t="shared" si="1"/>
        <v>20</v>
      </c>
      <c r="P71" s="134">
        <f t="shared" si="19"/>
        <v>0</v>
      </c>
      <c r="Q71" s="134">
        <f t="shared" si="19"/>
        <v>0</v>
      </c>
      <c r="R71" s="134">
        <f t="shared" si="20"/>
        <v>0</v>
      </c>
      <c r="S71" s="134" t="str">
        <f t="shared" si="21"/>
        <v xml:space="preserve"> </v>
      </c>
      <c r="T71" s="134" t="str">
        <f t="shared" si="29"/>
        <v xml:space="preserve"> </v>
      </c>
      <c r="U71" s="134">
        <f t="shared" si="41"/>
        <v>0</v>
      </c>
      <c r="V71" s="134">
        <f t="shared" si="42"/>
        <v>0</v>
      </c>
      <c r="W71" s="134">
        <f t="shared" si="30"/>
        <v>0</v>
      </c>
      <c r="X71" s="134">
        <f t="shared" si="22"/>
        <v>0</v>
      </c>
      <c r="Y71" s="134">
        <f t="shared" si="2"/>
        <v>-2.8421709430404007E-13</v>
      </c>
      <c r="Z71" s="134">
        <f t="shared" si="31"/>
        <v>0</v>
      </c>
      <c r="AA71" s="134">
        <f t="shared" si="23"/>
        <v>0</v>
      </c>
      <c r="AB71" s="134">
        <f t="shared" si="35"/>
        <v>0</v>
      </c>
      <c r="AC71" s="134">
        <f t="shared" si="40"/>
        <v>0</v>
      </c>
      <c r="AD71" s="134">
        <f t="shared" si="40"/>
        <v>0</v>
      </c>
      <c r="AE71" s="134">
        <f t="shared" si="24"/>
        <v>0</v>
      </c>
      <c r="AF71" s="134">
        <f t="shared" si="4"/>
        <v>0</v>
      </c>
      <c r="AG71" s="134">
        <f t="shared" si="25"/>
        <v>0</v>
      </c>
      <c r="AH71" s="134">
        <f t="shared" si="5"/>
        <v>0</v>
      </c>
      <c r="AI71" s="134">
        <f t="shared" si="6"/>
        <v>0</v>
      </c>
      <c r="AJ71" s="134">
        <f t="shared" si="43"/>
        <v>0</v>
      </c>
      <c r="AK71" s="134">
        <f t="shared" si="44"/>
        <v>0</v>
      </c>
      <c r="AL71" s="132">
        <f t="shared" si="26"/>
        <v>0</v>
      </c>
      <c r="AM71" s="132">
        <f t="shared" si="7"/>
        <v>0</v>
      </c>
      <c r="AN71" s="2">
        <f t="shared" si="27"/>
        <v>0</v>
      </c>
      <c r="AO71" s="2">
        <f t="shared" si="8"/>
        <v>0</v>
      </c>
      <c r="AP71" s="2">
        <f t="shared" si="9"/>
        <v>0</v>
      </c>
      <c r="AQ71" s="2">
        <f t="shared" si="10"/>
        <v>30</v>
      </c>
      <c r="AR71" s="2">
        <f t="shared" si="11"/>
        <v>20</v>
      </c>
      <c r="AS71" s="2">
        <f t="shared" si="28"/>
        <v>30</v>
      </c>
      <c r="AT71" s="2"/>
      <c r="AU71" s="2"/>
      <c r="AV71" s="2"/>
      <c r="AW71" s="2"/>
      <c r="AX71" s="2"/>
      <c r="AY71" s="2">
        <f t="shared" si="12"/>
        <v>0</v>
      </c>
      <c r="AZ71" s="2"/>
      <c r="BA71" s="2"/>
      <c r="BB71" s="2"/>
      <c r="BC71" s="2"/>
      <c r="BD71" s="2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si="14"/>
        <v xml:space="preserve"> </v>
      </c>
      <c r="C72" s="401"/>
      <c r="D72" s="269" t="str">
        <f>IF(N72=0,IF(N71=1,SUM(D$25:E71)," "),IF(N72=0," ",IF(N73=1,D$25,IF(N73=0,D$10-D$25*(M$14-1)," "))))</f>
        <v xml:space="preserve"> </v>
      </c>
      <c r="E72" s="269"/>
      <c r="F72" s="87" t="str">
        <f>IF(N72=0,IF(N71=1,SUM(F$25:F71)," "),IF(M$1=1,P72,IF(M$1=2,Q72," ")))</f>
        <v xml:space="preserve"> </v>
      </c>
      <c r="G72" s="87">
        <v>0</v>
      </c>
      <c r="H72" s="87" t="str">
        <f t="shared" si="15"/>
        <v xml:space="preserve"> </v>
      </c>
      <c r="I72" s="87">
        <f t="shared" si="16"/>
        <v>0</v>
      </c>
      <c r="J72" s="87">
        <f t="shared" si="0"/>
        <v>0</v>
      </c>
      <c r="K72" s="87">
        <v>0</v>
      </c>
      <c r="L72" s="87" t="str">
        <f t="shared" si="17"/>
        <v xml:space="preserve"> </v>
      </c>
      <c r="M72" s="2">
        <v>48</v>
      </c>
      <c r="N72" s="2">
        <f t="shared" si="34"/>
        <v>0</v>
      </c>
      <c r="O72" s="2">
        <f t="shared" si="1"/>
        <v>20</v>
      </c>
      <c r="P72" s="134">
        <f t="shared" si="19"/>
        <v>0</v>
      </c>
      <c r="Q72" s="134">
        <f t="shared" si="19"/>
        <v>0</v>
      </c>
      <c r="R72" s="134">
        <f t="shared" si="20"/>
        <v>0</v>
      </c>
      <c r="S72" s="134" t="str">
        <f t="shared" si="21"/>
        <v xml:space="preserve"> </v>
      </c>
      <c r="T72" s="134" t="str">
        <f t="shared" si="29"/>
        <v xml:space="preserve"> </v>
      </c>
      <c r="U72" s="134">
        <f>IF(N73=1,R71*E11*20/36000+R72*E11*10/36000,IF(N73=0,IF(N72=0,0,R72*E11*Q12/36000+R71*E11*20/36000+R72*E11*10/36000)))</f>
        <v>0</v>
      </c>
      <c r="V72" s="134">
        <f>IF(N73=1,R71*E11*20/36000+R72*E11*10/36000,IF(N73=0,IF(N72=0,0,R72*E11*Q12/36000+R71*E11*20/36000+R72*E11*10/36000)))</f>
        <v>0</v>
      </c>
      <c r="W72" s="134">
        <f>IF(N73=1,$D$10*$E$11*20/36000+$D$10*$E$11*10/36000,IF(N73=0,IF(N72=0,0,$D$10*$E$11*$Q$12/36000+$D$10*$E$11*20/36000+$D$10*$E$11*10/36000)))</f>
        <v>0</v>
      </c>
      <c r="X72" s="134">
        <f t="shared" si="22"/>
        <v>0</v>
      </c>
      <c r="Y72" s="134">
        <f t="shared" si="2"/>
        <v>-2.8421709430404007E-13</v>
      </c>
      <c r="Z72" s="134">
        <f t="shared" si="31"/>
        <v>0</v>
      </c>
      <c r="AA72" s="134">
        <f t="shared" si="23"/>
        <v>0</v>
      </c>
      <c r="AB72" s="134">
        <f t="shared" si="35"/>
        <v>0</v>
      </c>
      <c r="AC72" s="134">
        <f t="shared" si="40"/>
        <v>0</v>
      </c>
      <c r="AD72" s="134">
        <f t="shared" si="40"/>
        <v>0</v>
      </c>
      <c r="AE72" s="134">
        <f t="shared" si="24"/>
        <v>0</v>
      </c>
      <c r="AF72" s="134">
        <f t="shared" si="4"/>
        <v>0</v>
      </c>
      <c r="AG72" s="134">
        <f t="shared" si="25"/>
        <v>0</v>
      </c>
      <c r="AH72" s="134">
        <f t="shared" si="5"/>
        <v>0</v>
      </c>
      <c r="AI72" s="134">
        <f t="shared" si="6"/>
        <v>0</v>
      </c>
      <c r="AJ72" s="134">
        <f t="shared" si="43"/>
        <v>0</v>
      </c>
      <c r="AK72" s="134">
        <f t="shared" si="44"/>
        <v>0</v>
      </c>
      <c r="AL72" s="132">
        <f t="shared" si="26"/>
        <v>0</v>
      </c>
      <c r="AM72" s="132">
        <f t="shared" si="7"/>
        <v>0</v>
      </c>
      <c r="AN72" s="2">
        <f t="shared" si="27"/>
        <v>0</v>
      </c>
      <c r="AO72" s="2">
        <f t="shared" si="8"/>
        <v>0</v>
      </c>
      <c r="AP72" s="2">
        <f t="shared" si="9"/>
        <v>0</v>
      </c>
      <c r="AQ72" s="2">
        <f t="shared" si="10"/>
        <v>30</v>
      </c>
      <c r="AR72" s="2">
        <f t="shared" si="11"/>
        <v>20</v>
      </c>
      <c r="AS72" s="2">
        <f t="shared" si="28"/>
        <v>30</v>
      </c>
      <c r="AT72" s="2"/>
      <c r="AU72" s="2"/>
      <c r="AV72" s="2"/>
      <c r="AW72" s="2"/>
      <c r="AX72" s="2"/>
      <c r="AY72" s="2">
        <f t="shared" si="12"/>
        <v>0</v>
      </c>
      <c r="AZ72" s="2"/>
      <c r="BA72" s="2"/>
      <c r="BB72" s="2"/>
      <c r="BC72" s="2"/>
      <c r="BD72" s="2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si="14"/>
        <v xml:space="preserve"> </v>
      </c>
      <c r="C73" s="401"/>
      <c r="D73" s="269" t="str">
        <f>IF(N73=0,IF(N72=1,SUM(D$25:E72)," "),IF(N73=0," ",IF(N74=1,D$25,IF(N74=0,D$10-D$25*(M$14-1)," "))))</f>
        <v xml:space="preserve"> </v>
      </c>
      <c r="E73" s="269"/>
      <c r="F73" s="87" t="str">
        <f>IF(N73=0,IF(N72=1,SUM(F$25:F72)," "),IF(M$1=1,P73,IF(M$1=2,Q73," ")))</f>
        <v xml:space="preserve"> </v>
      </c>
      <c r="G73" s="87">
        <v>0</v>
      </c>
      <c r="H73" s="87" t="str">
        <f t="shared" si="15"/>
        <v xml:space="preserve"> </v>
      </c>
      <c r="I73" s="87">
        <f t="shared" si="16"/>
        <v>0</v>
      </c>
      <c r="J73" s="87">
        <f t="shared" si="0"/>
        <v>0</v>
      </c>
      <c r="K73" s="87">
        <v>0</v>
      </c>
      <c r="L73" s="87" t="str">
        <f t="shared" si="17"/>
        <v xml:space="preserve"> </v>
      </c>
      <c r="M73" s="2">
        <v>49</v>
      </c>
      <c r="N73" s="2">
        <f t="shared" si="34"/>
        <v>0</v>
      </c>
      <c r="O73" s="2">
        <f t="shared" si="1"/>
        <v>20</v>
      </c>
      <c r="P73" s="134">
        <f t="shared" si="19"/>
        <v>0</v>
      </c>
      <c r="Q73" s="134">
        <f t="shared" si="19"/>
        <v>0</v>
      </c>
      <c r="R73" s="134">
        <f t="shared" si="20"/>
        <v>0</v>
      </c>
      <c r="S73" s="134" t="str">
        <f t="shared" si="21"/>
        <v xml:space="preserve"> </v>
      </c>
      <c r="T73" s="134" t="str">
        <f t="shared" si="29"/>
        <v xml:space="preserve"> </v>
      </c>
      <c r="U73" s="134">
        <f t="shared" ref="U73:U83" si="45">IF(N74=1,R72*D$11*20/36000+R73*D$11*10/36000,IF(N74=0,IF(N73=0,0,IF(D$16&gt;20,R72*D$11*20/36000+R73*D$11*(Q$12-20)/36000,R73*D$11*Q$12/36000))))</f>
        <v>0</v>
      </c>
      <c r="V73" s="134">
        <f t="shared" ref="V73:V83" si="46">IF(N74=1,R72*D$11*20/36000+R73*D$11*10/36000,IF(N74=0,IF(N73=0,0,IF(D$16&gt;20,R72*D$11*20/36000+R73*D$11*(Q$12-20)/36000,R73*D$11*Q$12/36000))))</f>
        <v>0</v>
      </c>
      <c r="W73" s="134">
        <f t="shared" ref="W73:W84" si="47">IF(N74=1,$D$10*$D$11*20/36000+$D$10*$D$11*10/36000,IF(N74=0,IF(N73=0,0,$D$10*$D$11*$Q$12/36000+$D$10*$D$11*20/36000+$D$10*$D$11*10/36000)))</f>
        <v>0</v>
      </c>
      <c r="X73" s="134">
        <f t="shared" si="22"/>
        <v>0</v>
      </c>
      <c r="Y73" s="134">
        <f t="shared" si="2"/>
        <v>-2.8421709430404007E-13</v>
      </c>
      <c r="Z73" s="134">
        <f t="shared" si="31"/>
        <v>0</v>
      </c>
      <c r="AA73" s="134">
        <f t="shared" si="23"/>
        <v>0</v>
      </c>
      <c r="AB73" s="134">
        <f t="shared" si="35"/>
        <v>0</v>
      </c>
      <c r="AC73" s="134">
        <f t="shared" si="40"/>
        <v>0</v>
      </c>
      <c r="AD73" s="134">
        <f t="shared" si="40"/>
        <v>0</v>
      </c>
      <c r="AE73" s="134">
        <f t="shared" si="24"/>
        <v>0</v>
      </c>
      <c r="AF73" s="134">
        <f t="shared" si="4"/>
        <v>0</v>
      </c>
      <c r="AG73" s="134">
        <f t="shared" si="25"/>
        <v>0</v>
      </c>
      <c r="AH73" s="134">
        <f t="shared" si="5"/>
        <v>0</v>
      </c>
      <c r="AI73" s="134">
        <f t="shared" si="6"/>
        <v>0</v>
      </c>
      <c r="AJ73" s="134">
        <f>IF(N74=1,AI72*G$12*20/36000+AI73*G$12*10/36000,IF(N74=0,IF(N73=0,0,AI73*G$12*Q$12/36000)))</f>
        <v>0</v>
      </c>
      <c r="AK73" s="134">
        <f>IF(N74=1,AI72*G$12*20/36000+AI73*G$12*10/36000,IF(N74=0,IF(N73=0,0,AI73*G$12*Q$12/36000)))</f>
        <v>0</v>
      </c>
      <c r="AL73" s="132">
        <f t="shared" si="26"/>
        <v>0</v>
      </c>
      <c r="AM73" s="132">
        <f t="shared" si="7"/>
        <v>0</v>
      </c>
      <c r="AN73" s="2">
        <f t="shared" si="27"/>
        <v>0</v>
      </c>
      <c r="AO73" s="2">
        <f t="shared" si="8"/>
        <v>0</v>
      </c>
      <c r="AP73" s="2">
        <f t="shared" si="9"/>
        <v>0</v>
      </c>
      <c r="AQ73" s="2">
        <f t="shared" si="10"/>
        <v>30</v>
      </c>
      <c r="AR73" s="2">
        <f t="shared" si="11"/>
        <v>20</v>
      </c>
      <c r="AS73" s="2">
        <f t="shared" si="28"/>
        <v>30</v>
      </c>
      <c r="AT73" s="2"/>
      <c r="AU73" s="2"/>
      <c r="AV73" s="2"/>
      <c r="AW73" s="2"/>
      <c r="AX73" s="2"/>
      <c r="AY73" s="2">
        <f t="shared" si="12"/>
        <v>0</v>
      </c>
      <c r="AZ73" s="2"/>
      <c r="BA73" s="2"/>
      <c r="BB73" s="2"/>
      <c r="BC73" s="2"/>
      <c r="BD73" s="2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si="14"/>
        <v xml:space="preserve"> </v>
      </c>
      <c r="C74" s="401"/>
      <c r="D74" s="269" t="str">
        <f>IF(N74=0,IF(N73=1,SUM(D$25:E73)," "),IF(N74=0," ",IF(N75=1,D$25,IF(N75=0,D$10-D$25*(M$14-1)," "))))</f>
        <v xml:space="preserve"> </v>
      </c>
      <c r="E74" s="269"/>
      <c r="F74" s="87" t="str">
        <f>IF(N74=0,IF(N73=1,SUM(F$25:F73)," "),IF(M$1=1,P74,IF(M$1=2,Q74," ")))</f>
        <v xml:space="preserve"> </v>
      </c>
      <c r="G74" s="87">
        <v>0</v>
      </c>
      <c r="H74" s="87" t="str">
        <f t="shared" si="15"/>
        <v xml:space="preserve"> </v>
      </c>
      <c r="I74" s="87">
        <f t="shared" si="16"/>
        <v>0</v>
      </c>
      <c r="J74" s="87">
        <f t="shared" si="0"/>
        <v>0</v>
      </c>
      <c r="K74" s="87">
        <v>0</v>
      </c>
      <c r="L74" s="87" t="str">
        <f t="shared" si="17"/>
        <v xml:space="preserve"> </v>
      </c>
      <c r="M74" s="2">
        <v>50</v>
      </c>
      <c r="N74" s="2">
        <f t="shared" si="34"/>
        <v>0</v>
      </c>
      <c r="O74" s="2">
        <f t="shared" si="1"/>
        <v>20</v>
      </c>
      <c r="P74" s="134">
        <f t="shared" si="19"/>
        <v>0</v>
      </c>
      <c r="Q74" s="134">
        <f t="shared" si="19"/>
        <v>0</v>
      </c>
      <c r="R74" s="134">
        <f t="shared" si="20"/>
        <v>0</v>
      </c>
      <c r="S74" s="134" t="str">
        <f t="shared" si="21"/>
        <v xml:space="preserve"> </v>
      </c>
      <c r="T74" s="134" t="str">
        <f t="shared" si="29"/>
        <v xml:space="preserve"> </v>
      </c>
      <c r="U74" s="134">
        <f t="shared" si="45"/>
        <v>0</v>
      </c>
      <c r="V74" s="134">
        <f t="shared" si="46"/>
        <v>0</v>
      </c>
      <c r="W74" s="134">
        <f t="shared" si="47"/>
        <v>0</v>
      </c>
      <c r="X74" s="134">
        <f t="shared" si="22"/>
        <v>0</v>
      </c>
      <c r="Y74" s="134">
        <f t="shared" si="2"/>
        <v>-2.8421709430404007E-13</v>
      </c>
      <c r="Z74" s="134">
        <f t="shared" ref="Z74:Z85" si="48">IF(N75=1,Y73*D$11*20/36000+Y74*D$11*10/36000,IF(N75=0,IF(N74=0,0,IF(D$16&gt;20,Y73*D$11*20/36000+Y74*D$11*(Q$12-20)/36000,Y74*D$11*Q$12/36000))))</f>
        <v>0</v>
      </c>
      <c r="AA74" s="134">
        <f t="shared" si="23"/>
        <v>0</v>
      </c>
      <c r="AB74" s="134">
        <f t="shared" si="35"/>
        <v>0</v>
      </c>
      <c r="AC74" s="134">
        <f t="shared" si="40"/>
        <v>0</v>
      </c>
      <c r="AD74" s="134">
        <f t="shared" si="40"/>
        <v>0</v>
      </c>
      <c r="AE74" s="134">
        <f t="shared" si="24"/>
        <v>0</v>
      </c>
      <c r="AF74" s="134">
        <f t="shared" si="4"/>
        <v>0</v>
      </c>
      <c r="AG74" s="134">
        <f t="shared" si="25"/>
        <v>0</v>
      </c>
      <c r="AH74" s="134">
        <f t="shared" si="5"/>
        <v>0</v>
      </c>
      <c r="AI74" s="134">
        <f t="shared" si="6"/>
        <v>0</v>
      </c>
      <c r="AJ74" s="134">
        <f t="shared" ref="AJ74:AJ84" si="49">IF(N75=1,AI73*G$12*20/36000+AI74*G$12*10/36000,IF(N75=0,IF(N74=0,0,AI74*G$12*Q$12/36000+AI73*G$12*20/36000+AI74*G$12*10/36000)))</f>
        <v>0</v>
      </c>
      <c r="AK74" s="134">
        <f t="shared" ref="AK74:AK84" si="50">IF(N75=1,AI73*G$12*20/36000+AI74*G$12*10/36000,IF(N75=0,IF(N74=0,0,AI74*G$12*Q$12/36000+AI73*G$12*20/36000+AI74*G$12*10/36000)))</f>
        <v>0</v>
      </c>
      <c r="AL74" s="132">
        <f t="shared" si="26"/>
        <v>0</v>
      </c>
      <c r="AM74" s="132">
        <f t="shared" si="7"/>
        <v>0</v>
      </c>
      <c r="AN74" s="2">
        <f t="shared" si="27"/>
        <v>0</v>
      </c>
      <c r="AO74" s="2">
        <f t="shared" si="8"/>
        <v>0</v>
      </c>
      <c r="AP74" s="2">
        <f t="shared" si="9"/>
        <v>0</v>
      </c>
      <c r="AQ74" s="2">
        <f t="shared" si="10"/>
        <v>30</v>
      </c>
      <c r="AR74" s="2">
        <f t="shared" si="11"/>
        <v>20</v>
      </c>
      <c r="AS74" s="2">
        <f t="shared" si="28"/>
        <v>30</v>
      </c>
      <c r="AT74" s="2"/>
      <c r="AU74" s="2"/>
      <c r="AV74" s="2"/>
      <c r="AW74" s="2"/>
      <c r="AX74" s="2"/>
      <c r="AY74" s="2">
        <f t="shared" si="12"/>
        <v>0</v>
      </c>
      <c r="AZ74" s="2"/>
      <c r="BA74" s="2"/>
      <c r="BB74" s="2"/>
      <c r="BC74" s="2"/>
      <c r="BD74" s="2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si="14"/>
        <v xml:space="preserve"> </v>
      </c>
      <c r="C75" s="401"/>
      <c r="D75" s="269" t="str">
        <f>IF(N75=0,IF(N74=1,SUM(D$25:E74)," "),IF(N75=0," ",IF(N76=1,D$25,IF(N76=0,D$10-D$25*(M$14-1)," "))))</f>
        <v xml:space="preserve"> </v>
      </c>
      <c r="E75" s="269"/>
      <c r="F75" s="87" t="str">
        <f>IF(N75=0,IF(N74=1,SUM(F$25:F74)," "),IF(M$1=1,P75,IF(M$1=2,Q75," ")))</f>
        <v xml:space="preserve"> </v>
      </c>
      <c r="G75" s="87">
        <v>0</v>
      </c>
      <c r="H75" s="87" t="str">
        <f t="shared" si="15"/>
        <v xml:space="preserve"> </v>
      </c>
      <c r="I75" s="87">
        <f t="shared" si="16"/>
        <v>0</v>
      </c>
      <c r="J75" s="87">
        <f t="shared" si="0"/>
        <v>0</v>
      </c>
      <c r="K75" s="87">
        <v>0</v>
      </c>
      <c r="L75" s="87" t="str">
        <f t="shared" si="17"/>
        <v xml:space="preserve"> </v>
      </c>
      <c r="M75" s="2">
        <v>51</v>
      </c>
      <c r="N75" s="2">
        <f t="shared" si="34"/>
        <v>0</v>
      </c>
      <c r="O75" s="2">
        <f t="shared" si="1"/>
        <v>20</v>
      </c>
      <c r="P75" s="134">
        <f t="shared" si="19"/>
        <v>0</v>
      </c>
      <c r="Q75" s="134">
        <f t="shared" si="19"/>
        <v>0</v>
      </c>
      <c r="R75" s="134">
        <f t="shared" si="20"/>
        <v>0</v>
      </c>
      <c r="S75" s="134" t="str">
        <f t="shared" si="21"/>
        <v xml:space="preserve"> </v>
      </c>
      <c r="T75" s="134" t="str">
        <f t="shared" si="29"/>
        <v xml:space="preserve"> </v>
      </c>
      <c r="U75" s="134">
        <f t="shared" si="45"/>
        <v>0</v>
      </c>
      <c r="V75" s="134">
        <f t="shared" si="46"/>
        <v>0</v>
      </c>
      <c r="W75" s="134">
        <f t="shared" si="47"/>
        <v>0</v>
      </c>
      <c r="X75" s="134">
        <f t="shared" si="22"/>
        <v>0</v>
      </c>
      <c r="Y75" s="134">
        <f t="shared" si="2"/>
        <v>-2.8421709430404007E-13</v>
      </c>
      <c r="Z75" s="134">
        <f t="shared" si="48"/>
        <v>0</v>
      </c>
      <c r="AA75" s="134">
        <f t="shared" si="23"/>
        <v>0</v>
      </c>
      <c r="AB75" s="134">
        <f t="shared" si="35"/>
        <v>0</v>
      </c>
      <c r="AC75" s="134">
        <f t="shared" si="40"/>
        <v>0</v>
      </c>
      <c r="AD75" s="134">
        <f t="shared" si="40"/>
        <v>0</v>
      </c>
      <c r="AE75" s="134">
        <f t="shared" si="24"/>
        <v>0</v>
      </c>
      <c r="AF75" s="134">
        <f t="shared" si="4"/>
        <v>0</v>
      </c>
      <c r="AG75" s="134">
        <f t="shared" si="25"/>
        <v>0</v>
      </c>
      <c r="AH75" s="134">
        <f t="shared" si="5"/>
        <v>0</v>
      </c>
      <c r="AI75" s="134">
        <f t="shared" si="6"/>
        <v>0</v>
      </c>
      <c r="AJ75" s="134">
        <f t="shared" si="49"/>
        <v>0</v>
      </c>
      <c r="AK75" s="134">
        <f t="shared" si="50"/>
        <v>0</v>
      </c>
      <c r="AL75" s="132">
        <f t="shared" si="26"/>
        <v>0</v>
      </c>
      <c r="AM75" s="132">
        <f t="shared" si="7"/>
        <v>0</v>
      </c>
      <c r="AN75" s="2">
        <f t="shared" si="27"/>
        <v>0</v>
      </c>
      <c r="AO75" s="2">
        <f t="shared" si="8"/>
        <v>0</v>
      </c>
      <c r="AP75" s="2">
        <f t="shared" si="9"/>
        <v>0</v>
      </c>
      <c r="AQ75" s="2">
        <f t="shared" si="10"/>
        <v>30</v>
      </c>
      <c r="AR75" s="2">
        <f t="shared" si="11"/>
        <v>20</v>
      </c>
      <c r="AS75" s="2">
        <f t="shared" si="28"/>
        <v>30</v>
      </c>
      <c r="AT75" s="2"/>
      <c r="AU75" s="2"/>
      <c r="AV75" s="2"/>
      <c r="AW75" s="2"/>
      <c r="AX75" s="2"/>
      <c r="AY75" s="2">
        <f t="shared" si="12"/>
        <v>0</v>
      </c>
      <c r="AZ75" s="2"/>
      <c r="BA75" s="2"/>
      <c r="BB75" s="2"/>
      <c r="BC75" s="2"/>
      <c r="BD75" s="2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si="14"/>
        <v xml:space="preserve"> </v>
      </c>
      <c r="C76" s="401"/>
      <c r="D76" s="269" t="str">
        <f>IF(N76=0,IF(N75=1,SUM(D$25:E75)," "),IF(N76=0," ",IF(N77=1,D$25,IF(N77=0,D$10-D$25*(M$14-1)," "))))</f>
        <v xml:space="preserve"> </v>
      </c>
      <c r="E76" s="269"/>
      <c r="F76" s="87" t="str">
        <f>IF(N76=0,IF(N75=1,SUM(F$25:F75)," "),IF(M$1=1,P76,IF(M$1=2,Q76," ")))</f>
        <v xml:space="preserve"> </v>
      </c>
      <c r="G76" s="87">
        <v>0</v>
      </c>
      <c r="H76" s="87" t="str">
        <f t="shared" si="15"/>
        <v xml:space="preserve"> </v>
      </c>
      <c r="I76" s="87">
        <f t="shared" si="16"/>
        <v>0</v>
      </c>
      <c r="J76" s="87">
        <f t="shared" si="0"/>
        <v>0</v>
      </c>
      <c r="K76" s="87">
        <v>0</v>
      </c>
      <c r="L76" s="87" t="str">
        <f t="shared" si="17"/>
        <v xml:space="preserve"> </v>
      </c>
      <c r="M76" s="2">
        <v>52</v>
      </c>
      <c r="N76" s="2">
        <f t="shared" si="34"/>
        <v>0</v>
      </c>
      <c r="O76" s="2">
        <f t="shared" si="1"/>
        <v>20</v>
      </c>
      <c r="P76" s="134">
        <f t="shared" si="19"/>
        <v>0</v>
      </c>
      <c r="Q76" s="134">
        <f t="shared" si="19"/>
        <v>0</v>
      </c>
      <c r="R76" s="134">
        <f t="shared" si="20"/>
        <v>0</v>
      </c>
      <c r="S76" s="134" t="str">
        <f t="shared" si="21"/>
        <v xml:space="preserve"> </v>
      </c>
      <c r="T76" s="134" t="str">
        <f t="shared" si="29"/>
        <v xml:space="preserve"> </v>
      </c>
      <c r="U76" s="134">
        <f t="shared" si="45"/>
        <v>0</v>
      </c>
      <c r="V76" s="134">
        <f t="shared" si="46"/>
        <v>0</v>
      </c>
      <c r="W76" s="134">
        <f t="shared" si="47"/>
        <v>0</v>
      </c>
      <c r="X76" s="134">
        <f t="shared" si="22"/>
        <v>0</v>
      </c>
      <c r="Y76" s="134">
        <f t="shared" si="2"/>
        <v>-2.8421709430404007E-13</v>
      </c>
      <c r="Z76" s="134">
        <f t="shared" si="48"/>
        <v>0</v>
      </c>
      <c r="AA76" s="134">
        <f t="shared" si="23"/>
        <v>0</v>
      </c>
      <c r="AB76" s="134">
        <f t="shared" si="35"/>
        <v>0</v>
      </c>
      <c r="AC76" s="134">
        <f t="shared" si="40"/>
        <v>0</v>
      </c>
      <c r="AD76" s="134">
        <f t="shared" si="40"/>
        <v>0</v>
      </c>
      <c r="AE76" s="134">
        <f t="shared" si="24"/>
        <v>0</v>
      </c>
      <c r="AF76" s="134">
        <f t="shared" si="4"/>
        <v>0</v>
      </c>
      <c r="AG76" s="134">
        <f t="shared" si="25"/>
        <v>0</v>
      </c>
      <c r="AH76" s="134">
        <f t="shared" si="5"/>
        <v>0</v>
      </c>
      <c r="AI76" s="134">
        <f t="shared" si="6"/>
        <v>0</v>
      </c>
      <c r="AJ76" s="134">
        <f t="shared" si="49"/>
        <v>0</v>
      </c>
      <c r="AK76" s="134">
        <f t="shared" si="50"/>
        <v>0</v>
      </c>
      <c r="AL76" s="132">
        <f t="shared" si="26"/>
        <v>0</v>
      </c>
      <c r="AM76" s="132">
        <f t="shared" si="7"/>
        <v>0</v>
      </c>
      <c r="AN76" s="2">
        <f t="shared" si="27"/>
        <v>0</v>
      </c>
      <c r="AO76" s="2">
        <f t="shared" si="8"/>
        <v>0</v>
      </c>
      <c r="AP76" s="2">
        <f t="shared" si="9"/>
        <v>0</v>
      </c>
      <c r="AQ76" s="2">
        <f t="shared" si="10"/>
        <v>30</v>
      </c>
      <c r="AR76" s="2">
        <f t="shared" si="11"/>
        <v>20</v>
      </c>
      <c r="AS76" s="2">
        <f t="shared" si="28"/>
        <v>30</v>
      </c>
      <c r="AT76" s="2"/>
      <c r="AU76" s="2"/>
      <c r="AV76" s="2"/>
      <c r="AW76" s="2"/>
      <c r="AX76" s="2"/>
      <c r="AY76" s="2">
        <f t="shared" si="12"/>
        <v>0</v>
      </c>
      <c r="AZ76" s="2"/>
      <c r="BA76" s="2"/>
      <c r="BB76" s="2"/>
      <c r="BC76" s="2"/>
      <c r="BD76" s="2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si="14"/>
        <v xml:space="preserve"> </v>
      </c>
      <c r="C77" s="401"/>
      <c r="D77" s="269" t="str">
        <f>IF(N77=0,IF(N76=1,SUM(D$25:E76)," "),IF(N77=0," ",IF(N78=1,D$25,IF(N78=0,D$10-D$25*(M$14-1)," "))))</f>
        <v xml:space="preserve"> </v>
      </c>
      <c r="E77" s="269"/>
      <c r="F77" s="87" t="str">
        <f>IF(N77=0,IF(N76=1,SUM(F$25:F76)," "),IF(M$1=1,P77,IF(M$1=2,Q77," ")))</f>
        <v xml:space="preserve"> </v>
      </c>
      <c r="G77" s="87">
        <v>0</v>
      </c>
      <c r="H77" s="87" t="str">
        <f t="shared" si="15"/>
        <v xml:space="preserve"> </v>
      </c>
      <c r="I77" s="87">
        <f t="shared" si="16"/>
        <v>0</v>
      </c>
      <c r="J77" s="87">
        <f t="shared" si="0"/>
        <v>0</v>
      </c>
      <c r="K77" s="87">
        <v>0</v>
      </c>
      <c r="L77" s="87" t="str">
        <f t="shared" si="17"/>
        <v xml:space="preserve"> </v>
      </c>
      <c r="M77" s="2">
        <v>53</v>
      </c>
      <c r="N77" s="2">
        <f t="shared" si="34"/>
        <v>0</v>
      </c>
      <c r="O77" s="2">
        <f t="shared" si="1"/>
        <v>20</v>
      </c>
      <c r="P77" s="134">
        <f t="shared" si="19"/>
        <v>0</v>
      </c>
      <c r="Q77" s="134">
        <f t="shared" si="19"/>
        <v>0</v>
      </c>
      <c r="R77" s="134">
        <f t="shared" si="20"/>
        <v>0</v>
      </c>
      <c r="S77" s="134" t="str">
        <f t="shared" si="21"/>
        <v xml:space="preserve"> </v>
      </c>
      <c r="T77" s="134" t="str">
        <f t="shared" si="29"/>
        <v xml:space="preserve"> </v>
      </c>
      <c r="U77" s="134">
        <f t="shared" si="45"/>
        <v>0</v>
      </c>
      <c r="V77" s="134">
        <f t="shared" si="46"/>
        <v>0</v>
      </c>
      <c r="W77" s="134">
        <f t="shared" si="47"/>
        <v>0</v>
      </c>
      <c r="X77" s="134">
        <f t="shared" si="22"/>
        <v>0</v>
      </c>
      <c r="Y77" s="134">
        <f t="shared" si="2"/>
        <v>-2.8421709430404007E-13</v>
      </c>
      <c r="Z77" s="134">
        <f t="shared" si="48"/>
        <v>0</v>
      </c>
      <c r="AA77" s="134">
        <f t="shared" si="23"/>
        <v>0</v>
      </c>
      <c r="AB77" s="134">
        <f t="shared" si="35"/>
        <v>0</v>
      </c>
      <c r="AC77" s="134">
        <f t="shared" si="40"/>
        <v>0</v>
      </c>
      <c r="AD77" s="134">
        <f t="shared" si="40"/>
        <v>0</v>
      </c>
      <c r="AE77" s="134">
        <f t="shared" si="24"/>
        <v>0</v>
      </c>
      <c r="AF77" s="134">
        <f t="shared" si="4"/>
        <v>0</v>
      </c>
      <c r="AG77" s="134">
        <f t="shared" si="25"/>
        <v>0</v>
      </c>
      <c r="AH77" s="134">
        <f t="shared" si="5"/>
        <v>0</v>
      </c>
      <c r="AI77" s="134">
        <f t="shared" si="6"/>
        <v>0</v>
      </c>
      <c r="AJ77" s="134">
        <f t="shared" si="49"/>
        <v>0</v>
      </c>
      <c r="AK77" s="134">
        <f t="shared" si="50"/>
        <v>0</v>
      </c>
      <c r="AL77" s="132">
        <f t="shared" si="26"/>
        <v>0</v>
      </c>
      <c r="AM77" s="132">
        <f t="shared" si="7"/>
        <v>0</v>
      </c>
      <c r="AN77" s="2">
        <f t="shared" si="27"/>
        <v>0</v>
      </c>
      <c r="AO77" s="2">
        <f t="shared" si="8"/>
        <v>0</v>
      </c>
      <c r="AP77" s="2">
        <f t="shared" si="9"/>
        <v>0</v>
      </c>
      <c r="AQ77" s="2">
        <f t="shared" si="10"/>
        <v>30</v>
      </c>
      <c r="AR77" s="2">
        <f t="shared" si="11"/>
        <v>20</v>
      </c>
      <c r="AS77" s="2">
        <f t="shared" si="28"/>
        <v>30</v>
      </c>
      <c r="AT77" s="2"/>
      <c r="AU77" s="2"/>
      <c r="AV77" s="2"/>
      <c r="AW77" s="2"/>
      <c r="AX77" s="2"/>
      <c r="AY77" s="2">
        <f t="shared" si="12"/>
        <v>0</v>
      </c>
      <c r="AZ77" s="2"/>
      <c r="BA77" s="2"/>
      <c r="BB77" s="2"/>
      <c r="BC77" s="2"/>
      <c r="BD77" s="2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si="14"/>
        <v xml:space="preserve"> </v>
      </c>
      <c r="C78" s="401"/>
      <c r="D78" s="269" t="str">
        <f>IF(N78=0,IF(N77=1,SUM(D$25:E77)," "),IF(N78=0," ",IF(N79=1,D$25,IF(N79=0,D$10-D$25*(M$14-1)," "))))</f>
        <v xml:space="preserve"> </v>
      </c>
      <c r="E78" s="269"/>
      <c r="F78" s="87" t="str">
        <f>IF(N78=0,IF(N77=1,SUM(F$25:F77)," "),IF(M$1=1,P78,IF(M$1=2,Q78," ")))</f>
        <v xml:space="preserve"> </v>
      </c>
      <c r="G78" s="87">
        <v>0</v>
      </c>
      <c r="H78" s="87" t="str">
        <f t="shared" si="15"/>
        <v xml:space="preserve"> </v>
      </c>
      <c r="I78" s="87">
        <f t="shared" si="16"/>
        <v>0</v>
      </c>
      <c r="J78" s="87">
        <f t="shared" si="0"/>
        <v>0</v>
      </c>
      <c r="K78" s="87">
        <v>0</v>
      </c>
      <c r="L78" s="87" t="str">
        <f t="shared" si="17"/>
        <v xml:space="preserve"> </v>
      </c>
      <c r="M78" s="2">
        <v>54</v>
      </c>
      <c r="N78" s="2">
        <f t="shared" si="34"/>
        <v>0</v>
      </c>
      <c r="O78" s="2">
        <f t="shared" si="1"/>
        <v>20</v>
      </c>
      <c r="P78" s="134">
        <f t="shared" si="19"/>
        <v>0</v>
      </c>
      <c r="Q78" s="134">
        <f t="shared" si="19"/>
        <v>0</v>
      </c>
      <c r="R78" s="134">
        <f t="shared" si="20"/>
        <v>0</v>
      </c>
      <c r="S78" s="134" t="str">
        <f t="shared" si="21"/>
        <v xml:space="preserve"> </v>
      </c>
      <c r="T78" s="134" t="str">
        <f t="shared" si="29"/>
        <v xml:space="preserve"> </v>
      </c>
      <c r="U78" s="134">
        <f t="shared" si="45"/>
        <v>0</v>
      </c>
      <c r="V78" s="134">
        <f t="shared" si="46"/>
        <v>0</v>
      </c>
      <c r="W78" s="134">
        <f t="shared" si="47"/>
        <v>0</v>
      </c>
      <c r="X78" s="134">
        <f t="shared" si="22"/>
        <v>0</v>
      </c>
      <c r="Y78" s="134">
        <f t="shared" si="2"/>
        <v>-2.8421709430404007E-13</v>
      </c>
      <c r="Z78" s="134">
        <f t="shared" si="48"/>
        <v>0</v>
      </c>
      <c r="AA78" s="134">
        <f t="shared" si="23"/>
        <v>0</v>
      </c>
      <c r="AB78" s="134">
        <f t="shared" si="35"/>
        <v>0</v>
      </c>
      <c r="AC78" s="134">
        <f t="shared" si="40"/>
        <v>0</v>
      </c>
      <c r="AD78" s="134">
        <f t="shared" si="40"/>
        <v>0</v>
      </c>
      <c r="AE78" s="134">
        <f t="shared" si="24"/>
        <v>0</v>
      </c>
      <c r="AF78" s="134">
        <f t="shared" si="4"/>
        <v>0</v>
      </c>
      <c r="AG78" s="134">
        <f t="shared" si="25"/>
        <v>0</v>
      </c>
      <c r="AH78" s="134">
        <f t="shared" si="5"/>
        <v>0</v>
      </c>
      <c r="AI78" s="134">
        <f t="shared" si="6"/>
        <v>0</v>
      </c>
      <c r="AJ78" s="134">
        <f t="shared" si="49"/>
        <v>0</v>
      </c>
      <c r="AK78" s="134">
        <f t="shared" si="50"/>
        <v>0</v>
      </c>
      <c r="AL78" s="132">
        <f t="shared" si="26"/>
        <v>0</v>
      </c>
      <c r="AM78" s="132">
        <f t="shared" si="7"/>
        <v>0</v>
      </c>
      <c r="AN78" s="2">
        <f t="shared" si="27"/>
        <v>0</v>
      </c>
      <c r="AO78" s="2">
        <f t="shared" si="8"/>
        <v>0</v>
      </c>
      <c r="AP78" s="2">
        <f t="shared" si="9"/>
        <v>0</v>
      </c>
      <c r="AQ78" s="2">
        <f t="shared" si="10"/>
        <v>30</v>
      </c>
      <c r="AR78" s="2">
        <f t="shared" si="11"/>
        <v>20</v>
      </c>
      <c r="AS78" s="2">
        <f t="shared" si="28"/>
        <v>30</v>
      </c>
      <c r="AT78" s="2"/>
      <c r="AU78" s="2"/>
      <c r="AV78" s="2"/>
      <c r="AW78" s="2"/>
      <c r="AX78" s="2"/>
      <c r="AY78" s="2">
        <f t="shared" si="12"/>
        <v>0</v>
      </c>
      <c r="AZ78" s="2"/>
      <c r="BA78" s="2"/>
      <c r="BB78" s="2"/>
      <c r="BC78" s="2"/>
      <c r="BD78" s="2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si="14"/>
        <v xml:space="preserve"> </v>
      </c>
      <c r="C79" s="401"/>
      <c r="D79" s="269" t="str">
        <f>IF(N79=0,IF(N78=1,SUM(D$25:E78)," "),IF(N79=0," ",IF(N80=1,D$25,IF(N80=0,D$10-D$25*(M$14-1)," "))))</f>
        <v xml:space="preserve"> </v>
      </c>
      <c r="E79" s="269"/>
      <c r="F79" s="87" t="str">
        <f>IF(N79=0,IF(N78=1,SUM(F$25:F78)," "),IF(M$1=1,P79,IF(M$1=2,Q79," ")))</f>
        <v xml:space="preserve"> </v>
      </c>
      <c r="G79" s="87">
        <v>0</v>
      </c>
      <c r="H79" s="87" t="str">
        <f t="shared" si="15"/>
        <v xml:space="preserve"> </v>
      </c>
      <c r="I79" s="87">
        <f t="shared" si="16"/>
        <v>0</v>
      </c>
      <c r="J79" s="87">
        <f t="shared" si="0"/>
        <v>0</v>
      </c>
      <c r="K79" s="87">
        <v>0</v>
      </c>
      <c r="L79" s="87" t="str">
        <f t="shared" si="17"/>
        <v xml:space="preserve"> </v>
      </c>
      <c r="M79" s="2">
        <v>55</v>
      </c>
      <c r="N79" s="2">
        <f t="shared" si="34"/>
        <v>0</v>
      </c>
      <c r="O79" s="2">
        <f t="shared" si="1"/>
        <v>20</v>
      </c>
      <c r="P79" s="134">
        <f t="shared" si="19"/>
        <v>0</v>
      </c>
      <c r="Q79" s="134">
        <f t="shared" si="19"/>
        <v>0</v>
      </c>
      <c r="R79" s="134">
        <f t="shared" si="20"/>
        <v>0</v>
      </c>
      <c r="S79" s="134" t="str">
        <f t="shared" si="21"/>
        <v xml:space="preserve"> </v>
      </c>
      <c r="T79" s="134" t="str">
        <f t="shared" si="29"/>
        <v xml:space="preserve"> </v>
      </c>
      <c r="U79" s="134">
        <f t="shared" si="45"/>
        <v>0</v>
      </c>
      <c r="V79" s="134">
        <f t="shared" si="46"/>
        <v>0</v>
      </c>
      <c r="W79" s="134">
        <f t="shared" si="47"/>
        <v>0</v>
      </c>
      <c r="X79" s="134">
        <f t="shared" si="22"/>
        <v>0</v>
      </c>
      <c r="Y79" s="134">
        <f t="shared" si="2"/>
        <v>-2.8421709430404007E-13</v>
      </c>
      <c r="Z79" s="134">
        <f t="shared" si="48"/>
        <v>0</v>
      </c>
      <c r="AA79" s="134">
        <f t="shared" si="23"/>
        <v>0</v>
      </c>
      <c r="AB79" s="134">
        <f t="shared" si="35"/>
        <v>0</v>
      </c>
      <c r="AC79" s="134">
        <f t="shared" si="40"/>
        <v>0</v>
      </c>
      <c r="AD79" s="134">
        <f t="shared" si="40"/>
        <v>0</v>
      </c>
      <c r="AE79" s="134">
        <f t="shared" si="24"/>
        <v>0</v>
      </c>
      <c r="AF79" s="134">
        <f t="shared" si="4"/>
        <v>0</v>
      </c>
      <c r="AG79" s="134">
        <f t="shared" si="25"/>
        <v>0</v>
      </c>
      <c r="AH79" s="134">
        <f t="shared" si="5"/>
        <v>0</v>
      </c>
      <c r="AI79" s="134">
        <f t="shared" si="6"/>
        <v>0</v>
      </c>
      <c r="AJ79" s="134">
        <f t="shared" si="49"/>
        <v>0</v>
      </c>
      <c r="AK79" s="134">
        <f t="shared" si="50"/>
        <v>0</v>
      </c>
      <c r="AL79" s="132">
        <f t="shared" si="26"/>
        <v>0</v>
      </c>
      <c r="AM79" s="132">
        <f t="shared" si="7"/>
        <v>0</v>
      </c>
      <c r="AN79" s="2">
        <f t="shared" si="27"/>
        <v>0</v>
      </c>
      <c r="AO79" s="2">
        <f t="shared" si="8"/>
        <v>0</v>
      </c>
      <c r="AP79" s="2">
        <f t="shared" si="9"/>
        <v>0</v>
      </c>
      <c r="AQ79" s="2">
        <f t="shared" si="10"/>
        <v>30</v>
      </c>
      <c r="AR79" s="2">
        <f t="shared" si="11"/>
        <v>20</v>
      </c>
      <c r="AS79" s="2">
        <f t="shared" si="28"/>
        <v>30</v>
      </c>
      <c r="AT79" s="2"/>
      <c r="AU79" s="2"/>
      <c r="AV79" s="2"/>
      <c r="AW79" s="2"/>
      <c r="AX79" s="2"/>
      <c r="AY79" s="2">
        <f t="shared" si="12"/>
        <v>0</v>
      </c>
      <c r="AZ79" s="2"/>
      <c r="BA79" s="2"/>
      <c r="BB79" s="2"/>
      <c r="BC79" s="2"/>
      <c r="BD79" s="2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si="14"/>
        <v xml:space="preserve"> </v>
      </c>
      <c r="C80" s="401"/>
      <c r="D80" s="269" t="str">
        <f>IF(N80=0,IF(N79=1,SUM(D$25:E79)," "),IF(N80=0," ",IF(N81=1,D$25,IF(N81=0,D$10-D$25*(M$14-1)," "))))</f>
        <v xml:space="preserve"> </v>
      </c>
      <c r="E80" s="269"/>
      <c r="F80" s="87" t="str">
        <f>IF(N80=0,IF(N79=1,SUM(F$25:F79)," "),IF(M$1=1,P80,IF(M$1=2,Q80," ")))</f>
        <v xml:space="preserve"> </v>
      </c>
      <c r="G80" s="87">
        <v>0</v>
      </c>
      <c r="H80" s="87" t="str">
        <f t="shared" si="15"/>
        <v xml:space="preserve"> </v>
      </c>
      <c r="I80" s="87">
        <f t="shared" si="16"/>
        <v>0</v>
      </c>
      <c r="J80" s="87">
        <f t="shared" si="0"/>
        <v>0</v>
      </c>
      <c r="K80" s="87">
        <v>0</v>
      </c>
      <c r="L80" s="87" t="str">
        <f t="shared" si="17"/>
        <v xml:space="preserve"> </v>
      </c>
      <c r="M80" s="2">
        <v>56</v>
      </c>
      <c r="N80" s="2">
        <f t="shared" si="34"/>
        <v>0</v>
      </c>
      <c r="O80" s="2">
        <f t="shared" si="1"/>
        <v>20</v>
      </c>
      <c r="P80" s="134">
        <f t="shared" si="19"/>
        <v>0</v>
      </c>
      <c r="Q80" s="134">
        <f t="shared" si="19"/>
        <v>0</v>
      </c>
      <c r="R80" s="134">
        <f t="shared" si="20"/>
        <v>0</v>
      </c>
      <c r="S80" s="134" t="str">
        <f t="shared" si="21"/>
        <v xml:space="preserve"> </v>
      </c>
      <c r="T80" s="134" t="str">
        <f t="shared" si="29"/>
        <v xml:space="preserve"> </v>
      </c>
      <c r="U80" s="134">
        <f t="shared" si="45"/>
        <v>0</v>
      </c>
      <c r="V80" s="134">
        <f t="shared" si="46"/>
        <v>0</v>
      </c>
      <c r="W80" s="134">
        <f t="shared" si="47"/>
        <v>0</v>
      </c>
      <c r="X80" s="134">
        <f t="shared" si="22"/>
        <v>0</v>
      </c>
      <c r="Y80" s="134">
        <f t="shared" si="2"/>
        <v>-2.8421709430404007E-13</v>
      </c>
      <c r="Z80" s="134">
        <f t="shared" si="48"/>
        <v>0</v>
      </c>
      <c r="AA80" s="134">
        <f t="shared" si="23"/>
        <v>0</v>
      </c>
      <c r="AB80" s="134">
        <f t="shared" si="35"/>
        <v>0</v>
      </c>
      <c r="AC80" s="134">
        <f t="shared" si="40"/>
        <v>0</v>
      </c>
      <c r="AD80" s="134">
        <f t="shared" si="40"/>
        <v>0</v>
      </c>
      <c r="AE80" s="134">
        <f t="shared" si="24"/>
        <v>0</v>
      </c>
      <c r="AF80" s="134">
        <f t="shared" si="4"/>
        <v>0</v>
      </c>
      <c r="AG80" s="134">
        <f t="shared" si="25"/>
        <v>0</v>
      </c>
      <c r="AH80" s="134">
        <f t="shared" si="5"/>
        <v>0</v>
      </c>
      <c r="AI80" s="134">
        <f t="shared" si="6"/>
        <v>0</v>
      </c>
      <c r="AJ80" s="134">
        <f t="shared" si="49"/>
        <v>0</v>
      </c>
      <c r="AK80" s="134">
        <f t="shared" si="50"/>
        <v>0</v>
      </c>
      <c r="AL80" s="132">
        <f t="shared" si="26"/>
        <v>0</v>
      </c>
      <c r="AM80" s="132">
        <f t="shared" si="7"/>
        <v>0</v>
      </c>
      <c r="AN80" s="2">
        <f t="shared" si="27"/>
        <v>0</v>
      </c>
      <c r="AO80" s="2">
        <f t="shared" si="8"/>
        <v>0</v>
      </c>
      <c r="AP80" s="2">
        <f t="shared" si="9"/>
        <v>0</v>
      </c>
      <c r="AQ80" s="2">
        <f t="shared" si="10"/>
        <v>30</v>
      </c>
      <c r="AR80" s="2">
        <f t="shared" si="11"/>
        <v>20</v>
      </c>
      <c r="AS80" s="2">
        <f t="shared" si="28"/>
        <v>30</v>
      </c>
      <c r="AT80" s="2"/>
      <c r="AU80" s="2"/>
      <c r="AV80" s="2"/>
      <c r="AW80" s="2"/>
      <c r="AX80" s="2"/>
      <c r="AY80" s="2">
        <f t="shared" si="12"/>
        <v>0</v>
      </c>
      <c r="AZ80" s="2"/>
      <c r="BA80" s="2"/>
      <c r="BB80" s="2"/>
      <c r="BC80" s="2"/>
      <c r="BD80" s="2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si="14"/>
        <v xml:space="preserve"> </v>
      </c>
      <c r="C81" s="401"/>
      <c r="D81" s="269" t="str">
        <f>IF(N81=0,IF(N80=1,SUM(D$25:E80)," "),IF(N81=0," ",IF(N82=1,D$25,IF(N82=0,D$10-D$25*(M$14-1)," "))))</f>
        <v xml:space="preserve"> </v>
      </c>
      <c r="E81" s="269"/>
      <c r="F81" s="87" t="str">
        <f>IF(N81=0,IF(N80=1,SUM(F$25:F80)," "),IF(M$1=1,P81,IF(M$1=2,Q81," ")))</f>
        <v xml:space="preserve"> </v>
      </c>
      <c r="G81" s="87">
        <v>0</v>
      </c>
      <c r="H81" s="87" t="str">
        <f t="shared" si="15"/>
        <v xml:space="preserve"> </v>
      </c>
      <c r="I81" s="87">
        <f t="shared" si="16"/>
        <v>0</v>
      </c>
      <c r="J81" s="87">
        <f t="shared" si="0"/>
        <v>0</v>
      </c>
      <c r="K81" s="87">
        <v>0</v>
      </c>
      <c r="L81" s="87" t="str">
        <f t="shared" si="17"/>
        <v xml:space="preserve"> </v>
      </c>
      <c r="M81" s="2">
        <v>57</v>
      </c>
      <c r="N81" s="2">
        <f t="shared" si="34"/>
        <v>0</v>
      </c>
      <c r="O81" s="2">
        <f t="shared" si="1"/>
        <v>20</v>
      </c>
      <c r="P81" s="134">
        <f t="shared" si="19"/>
        <v>0</v>
      </c>
      <c r="Q81" s="134">
        <f t="shared" si="19"/>
        <v>0</v>
      </c>
      <c r="R81" s="134">
        <f t="shared" si="20"/>
        <v>0</v>
      </c>
      <c r="S81" s="134" t="str">
        <f t="shared" si="21"/>
        <v xml:space="preserve"> </v>
      </c>
      <c r="T81" s="134" t="str">
        <f t="shared" si="29"/>
        <v xml:space="preserve"> </v>
      </c>
      <c r="U81" s="134">
        <f t="shared" si="45"/>
        <v>0</v>
      </c>
      <c r="V81" s="134">
        <f t="shared" si="46"/>
        <v>0</v>
      </c>
      <c r="W81" s="134">
        <f t="shared" si="47"/>
        <v>0</v>
      </c>
      <c r="X81" s="134">
        <f t="shared" si="22"/>
        <v>0</v>
      </c>
      <c r="Y81" s="134">
        <f t="shared" si="2"/>
        <v>-2.8421709430404007E-13</v>
      </c>
      <c r="Z81" s="134">
        <f t="shared" si="48"/>
        <v>0</v>
      </c>
      <c r="AA81" s="134">
        <f t="shared" si="23"/>
        <v>0</v>
      </c>
      <c r="AB81" s="134">
        <f t="shared" si="35"/>
        <v>0</v>
      </c>
      <c r="AC81" s="134">
        <f t="shared" si="40"/>
        <v>0</v>
      </c>
      <c r="AD81" s="134">
        <f t="shared" si="40"/>
        <v>0</v>
      </c>
      <c r="AE81" s="134">
        <f t="shared" si="24"/>
        <v>0</v>
      </c>
      <c r="AF81" s="134">
        <f t="shared" si="4"/>
        <v>0</v>
      </c>
      <c r="AG81" s="134">
        <f t="shared" si="25"/>
        <v>0</v>
      </c>
      <c r="AH81" s="134">
        <f t="shared" si="5"/>
        <v>0</v>
      </c>
      <c r="AI81" s="134">
        <f t="shared" si="6"/>
        <v>0</v>
      </c>
      <c r="AJ81" s="134">
        <f t="shared" si="49"/>
        <v>0</v>
      </c>
      <c r="AK81" s="134">
        <f t="shared" si="50"/>
        <v>0</v>
      </c>
      <c r="AL81" s="132">
        <f t="shared" si="26"/>
        <v>0</v>
      </c>
      <c r="AM81" s="132">
        <f t="shared" si="7"/>
        <v>0</v>
      </c>
      <c r="AN81" s="2">
        <f t="shared" si="27"/>
        <v>0</v>
      </c>
      <c r="AO81" s="2">
        <f t="shared" si="8"/>
        <v>0</v>
      </c>
      <c r="AP81" s="2">
        <f t="shared" si="9"/>
        <v>0</v>
      </c>
      <c r="AQ81" s="2">
        <f t="shared" si="10"/>
        <v>30</v>
      </c>
      <c r="AR81" s="2">
        <f t="shared" si="11"/>
        <v>20</v>
      </c>
      <c r="AS81" s="2">
        <f t="shared" si="28"/>
        <v>30</v>
      </c>
      <c r="AT81" s="2"/>
      <c r="AU81" s="2"/>
      <c r="AV81" s="2"/>
      <c r="AW81" s="2"/>
      <c r="AX81" s="2"/>
      <c r="AY81" s="2">
        <f t="shared" si="12"/>
        <v>0</v>
      </c>
      <c r="AZ81" s="2"/>
      <c r="BA81" s="2"/>
      <c r="BB81" s="2"/>
      <c r="BC81" s="2"/>
      <c r="BD81" s="2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si="14"/>
        <v xml:space="preserve"> </v>
      </c>
      <c r="C82" s="401"/>
      <c r="D82" s="269" t="str">
        <f>IF(N82=0,IF(N81=1,SUM(D$25:E81)," "),IF(N82=0," ",IF(N83=1,D$25,IF(N83=0,D$10-D$25*(M$14-1)," "))))</f>
        <v xml:space="preserve"> </v>
      </c>
      <c r="E82" s="269"/>
      <c r="F82" s="87" t="str">
        <f>IF(N82=0,IF(N81=1,SUM(F$25:F81)," "),IF(M$1=1,P82,IF(M$1=2,Q82," ")))</f>
        <v xml:space="preserve"> </v>
      </c>
      <c r="G82" s="87">
        <v>0</v>
      </c>
      <c r="H82" s="87" t="str">
        <f t="shared" si="15"/>
        <v xml:space="preserve"> </v>
      </c>
      <c r="I82" s="87">
        <f t="shared" si="16"/>
        <v>0</v>
      </c>
      <c r="J82" s="87">
        <f t="shared" si="0"/>
        <v>0</v>
      </c>
      <c r="K82" s="87">
        <v>0</v>
      </c>
      <c r="L82" s="87" t="str">
        <f t="shared" si="17"/>
        <v xml:space="preserve"> </v>
      </c>
      <c r="M82" s="2">
        <v>58</v>
      </c>
      <c r="N82" s="2">
        <f t="shared" si="34"/>
        <v>0</v>
      </c>
      <c r="O82" s="2">
        <f t="shared" si="1"/>
        <v>20</v>
      </c>
      <c r="P82" s="134">
        <f t="shared" si="19"/>
        <v>0</v>
      </c>
      <c r="Q82" s="134">
        <f t="shared" si="19"/>
        <v>0</v>
      </c>
      <c r="R82" s="134">
        <f t="shared" si="20"/>
        <v>0</v>
      </c>
      <c r="S82" s="134" t="str">
        <f t="shared" si="21"/>
        <v xml:space="preserve"> </v>
      </c>
      <c r="T82" s="134" t="str">
        <f t="shared" si="29"/>
        <v xml:space="preserve"> </v>
      </c>
      <c r="U82" s="134">
        <f t="shared" si="45"/>
        <v>0</v>
      </c>
      <c r="V82" s="134">
        <f t="shared" si="46"/>
        <v>0</v>
      </c>
      <c r="W82" s="134">
        <f t="shared" si="47"/>
        <v>0</v>
      </c>
      <c r="X82" s="134">
        <f t="shared" si="22"/>
        <v>0</v>
      </c>
      <c r="Y82" s="134">
        <f t="shared" si="2"/>
        <v>-2.8421709430404007E-13</v>
      </c>
      <c r="Z82" s="134">
        <f t="shared" si="48"/>
        <v>0</v>
      </c>
      <c r="AA82" s="134">
        <f t="shared" si="23"/>
        <v>0</v>
      </c>
      <c r="AB82" s="134">
        <f t="shared" si="35"/>
        <v>0</v>
      </c>
      <c r="AC82" s="134">
        <f t="shared" si="40"/>
        <v>0</v>
      </c>
      <c r="AD82" s="134">
        <f t="shared" si="40"/>
        <v>0</v>
      </c>
      <c r="AE82" s="134">
        <f t="shared" si="24"/>
        <v>0</v>
      </c>
      <c r="AF82" s="134">
        <f t="shared" si="4"/>
        <v>0</v>
      </c>
      <c r="AG82" s="134">
        <f t="shared" si="25"/>
        <v>0</v>
      </c>
      <c r="AH82" s="134">
        <f t="shared" si="5"/>
        <v>0</v>
      </c>
      <c r="AI82" s="134">
        <f t="shared" si="6"/>
        <v>0</v>
      </c>
      <c r="AJ82" s="134">
        <f t="shared" si="49"/>
        <v>0</v>
      </c>
      <c r="AK82" s="134">
        <f t="shared" si="50"/>
        <v>0</v>
      </c>
      <c r="AL82" s="132">
        <f t="shared" si="26"/>
        <v>0</v>
      </c>
      <c r="AM82" s="132">
        <f t="shared" si="7"/>
        <v>0</v>
      </c>
      <c r="AN82" s="2">
        <f t="shared" si="27"/>
        <v>0</v>
      </c>
      <c r="AO82" s="2">
        <f t="shared" si="8"/>
        <v>0</v>
      </c>
      <c r="AP82" s="2">
        <f t="shared" si="9"/>
        <v>0</v>
      </c>
      <c r="AQ82" s="2">
        <f t="shared" si="10"/>
        <v>30</v>
      </c>
      <c r="AR82" s="2">
        <f t="shared" si="11"/>
        <v>20</v>
      </c>
      <c r="AS82" s="2">
        <f t="shared" si="28"/>
        <v>30</v>
      </c>
      <c r="AT82" s="2"/>
      <c r="AU82" s="2"/>
      <c r="AV82" s="2"/>
      <c r="AW82" s="2"/>
      <c r="AX82" s="2"/>
      <c r="AY82" s="2">
        <f t="shared" si="12"/>
        <v>0</v>
      </c>
      <c r="AZ82" s="2"/>
      <c r="BA82" s="2"/>
      <c r="BB82" s="2"/>
      <c r="BC82" s="2"/>
      <c r="BD82" s="2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si="14"/>
        <v xml:space="preserve"> </v>
      </c>
      <c r="C83" s="401"/>
      <c r="D83" s="269" t="str">
        <f>IF(N83=0,IF(N82=1,SUM(D$25:E82)," "),IF(N83=0," ",IF(N84=1,D$25,IF(N84=0,D$10-D$25*(M$14-1)," "))))</f>
        <v xml:space="preserve"> </v>
      </c>
      <c r="E83" s="269"/>
      <c r="F83" s="87" t="str">
        <f>IF(N83=0,IF(N82=1,SUM(F$25:F82)," "),IF(M$1=1,P83,IF(M$1=2,Q83," ")))</f>
        <v xml:space="preserve"> </v>
      </c>
      <c r="G83" s="87">
        <v>0</v>
      </c>
      <c r="H83" s="87" t="str">
        <f t="shared" si="15"/>
        <v xml:space="preserve"> </v>
      </c>
      <c r="I83" s="87">
        <f t="shared" si="16"/>
        <v>0</v>
      </c>
      <c r="J83" s="87">
        <f t="shared" si="0"/>
        <v>0</v>
      </c>
      <c r="K83" s="87">
        <v>0</v>
      </c>
      <c r="L83" s="87" t="str">
        <f t="shared" si="17"/>
        <v xml:space="preserve"> </v>
      </c>
      <c r="M83" s="2">
        <v>59</v>
      </c>
      <c r="N83" s="2">
        <f t="shared" si="34"/>
        <v>0</v>
      </c>
      <c r="O83" s="2">
        <f t="shared" si="1"/>
        <v>20</v>
      </c>
      <c r="P83" s="134">
        <f t="shared" si="19"/>
        <v>0</v>
      </c>
      <c r="Q83" s="134">
        <f t="shared" si="19"/>
        <v>0</v>
      </c>
      <c r="R83" s="134">
        <f t="shared" si="20"/>
        <v>0</v>
      </c>
      <c r="S83" s="134" t="str">
        <f t="shared" si="21"/>
        <v xml:space="preserve"> </v>
      </c>
      <c r="T83" s="134" t="str">
        <f t="shared" si="29"/>
        <v xml:space="preserve"> </v>
      </c>
      <c r="U83" s="134">
        <f t="shared" si="45"/>
        <v>0</v>
      </c>
      <c r="V83" s="134">
        <f t="shared" si="46"/>
        <v>0</v>
      </c>
      <c r="W83" s="134">
        <f t="shared" si="47"/>
        <v>0</v>
      </c>
      <c r="X83" s="134">
        <f t="shared" si="22"/>
        <v>0</v>
      </c>
      <c r="Y83" s="134">
        <f t="shared" si="2"/>
        <v>-2.8421709430404007E-13</v>
      </c>
      <c r="Z83" s="134">
        <f t="shared" si="48"/>
        <v>0</v>
      </c>
      <c r="AA83" s="134">
        <f t="shared" si="23"/>
        <v>0</v>
      </c>
      <c r="AB83" s="134">
        <f t="shared" si="35"/>
        <v>0</v>
      </c>
      <c r="AC83" s="134">
        <f t="shared" si="40"/>
        <v>0</v>
      </c>
      <c r="AD83" s="134">
        <f t="shared" si="40"/>
        <v>0</v>
      </c>
      <c r="AE83" s="134">
        <f t="shared" si="24"/>
        <v>0</v>
      </c>
      <c r="AF83" s="134">
        <f t="shared" si="4"/>
        <v>0</v>
      </c>
      <c r="AG83" s="134">
        <f t="shared" si="25"/>
        <v>0</v>
      </c>
      <c r="AH83" s="134">
        <f t="shared" si="5"/>
        <v>0</v>
      </c>
      <c r="AI83" s="134">
        <f t="shared" si="6"/>
        <v>0</v>
      </c>
      <c r="AJ83" s="134">
        <f t="shared" si="49"/>
        <v>0</v>
      </c>
      <c r="AK83" s="134">
        <f t="shared" si="50"/>
        <v>0</v>
      </c>
      <c r="AL83" s="132">
        <f t="shared" si="26"/>
        <v>0</v>
      </c>
      <c r="AM83" s="132">
        <f t="shared" si="7"/>
        <v>0</v>
      </c>
      <c r="AN83" s="2">
        <f t="shared" si="27"/>
        <v>0</v>
      </c>
      <c r="AO83" s="2">
        <f t="shared" si="8"/>
        <v>0</v>
      </c>
      <c r="AP83" s="2">
        <f t="shared" si="9"/>
        <v>0</v>
      </c>
      <c r="AQ83" s="2">
        <f t="shared" si="10"/>
        <v>30</v>
      </c>
      <c r="AR83" s="2">
        <f t="shared" si="11"/>
        <v>20</v>
      </c>
      <c r="AS83" s="2">
        <f t="shared" si="28"/>
        <v>30</v>
      </c>
      <c r="AT83" s="2"/>
      <c r="AU83" s="2"/>
      <c r="AV83" s="2"/>
      <c r="AW83" s="2"/>
      <c r="AX83" s="2"/>
      <c r="AY83" s="2">
        <f t="shared" si="12"/>
        <v>0</v>
      </c>
      <c r="AZ83" s="2"/>
      <c r="BA83" s="2"/>
      <c r="BB83" s="2"/>
      <c r="BC83" s="2"/>
      <c r="BD83" s="2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si="14"/>
        <v xml:space="preserve"> </v>
      </c>
      <c r="C84" s="401"/>
      <c r="D84" s="269" t="str">
        <f>IF(N84=0,IF(N83=1,SUM(D$25:E83)," "),IF(N84=0," ",IF(N85=1,D$25,IF(N85=0,D$10-D$25*(M$14-1)," "))))</f>
        <v xml:space="preserve"> </v>
      </c>
      <c r="E84" s="269"/>
      <c r="F84" s="87" t="str">
        <f>IF(N84=0,IF(N83=1,SUM(F$25:F83)," "),IF(M$1=1,P84,IF(M$1=2,Q84," ")))</f>
        <v xml:space="preserve"> </v>
      </c>
      <c r="G84" s="87">
        <v>0</v>
      </c>
      <c r="H84" s="87" t="str">
        <f t="shared" si="15"/>
        <v xml:space="preserve"> </v>
      </c>
      <c r="I84" s="87">
        <f t="shared" si="16"/>
        <v>0</v>
      </c>
      <c r="J84" s="87">
        <f t="shared" si="0"/>
        <v>0</v>
      </c>
      <c r="K84" s="87">
        <v>0</v>
      </c>
      <c r="L84" s="87" t="str">
        <f t="shared" si="17"/>
        <v xml:space="preserve"> </v>
      </c>
      <c r="M84" s="2">
        <v>60</v>
      </c>
      <c r="N84" s="2">
        <f t="shared" si="34"/>
        <v>0</v>
      </c>
      <c r="O84" s="2">
        <f t="shared" si="1"/>
        <v>20</v>
      </c>
      <c r="P84" s="134">
        <f t="shared" si="19"/>
        <v>0</v>
      </c>
      <c r="Q84" s="134">
        <f t="shared" si="19"/>
        <v>0</v>
      </c>
      <c r="R84" s="134">
        <f t="shared" si="20"/>
        <v>0</v>
      </c>
      <c r="S84" s="134" t="str">
        <f t="shared" si="21"/>
        <v xml:space="preserve"> </v>
      </c>
      <c r="T84" s="134" t="str">
        <f t="shared" si="29"/>
        <v xml:space="preserve"> </v>
      </c>
      <c r="U84" s="134">
        <f>IF(N85=1,R83*D11*20/36000+R84*D11*10/36000,IF(N85=0,IF(N84=0,0,R84*D11*Q12/36000+R83*D11*20/36000+R84*D11*10/36000)))</f>
        <v>0</v>
      </c>
      <c r="V84" s="134">
        <f>IF(N85=1,R83*D11*20/36000+R84*D11*10/36000,IF(N85=0,IF(N84=0,0,R84*D11*Q12/36000+R83*D11*20/36000+R84*D11*10/36000)))</f>
        <v>0</v>
      </c>
      <c r="W84" s="134">
        <f t="shared" si="47"/>
        <v>0</v>
      </c>
      <c r="X84" s="134">
        <f t="shared" si="22"/>
        <v>0</v>
      </c>
      <c r="Y84" s="134">
        <f t="shared" si="2"/>
        <v>-2.8421709430404007E-13</v>
      </c>
      <c r="Z84" s="134">
        <f t="shared" si="48"/>
        <v>0</v>
      </c>
      <c r="AA84" s="134">
        <f t="shared" si="23"/>
        <v>0</v>
      </c>
      <c r="AB84" s="134">
        <f t="shared" si="35"/>
        <v>0</v>
      </c>
      <c r="AC84" s="134">
        <f t="shared" si="40"/>
        <v>0</v>
      </c>
      <c r="AD84" s="134">
        <f t="shared" si="40"/>
        <v>0</v>
      </c>
      <c r="AE84" s="134">
        <f t="shared" si="24"/>
        <v>0</v>
      </c>
      <c r="AF84" s="134">
        <f t="shared" si="4"/>
        <v>0</v>
      </c>
      <c r="AG84" s="134">
        <f t="shared" si="25"/>
        <v>0</v>
      </c>
      <c r="AH84" s="134">
        <f t="shared" si="5"/>
        <v>0</v>
      </c>
      <c r="AI84" s="134">
        <f t="shared" si="6"/>
        <v>0</v>
      </c>
      <c r="AJ84" s="134">
        <f t="shared" si="49"/>
        <v>0</v>
      </c>
      <c r="AK84" s="134">
        <f t="shared" si="50"/>
        <v>0</v>
      </c>
      <c r="AL84" s="132">
        <f t="shared" si="26"/>
        <v>0</v>
      </c>
      <c r="AM84" s="132">
        <f t="shared" si="7"/>
        <v>0</v>
      </c>
      <c r="AN84" s="2">
        <f t="shared" si="27"/>
        <v>0</v>
      </c>
      <c r="AO84" s="2">
        <f t="shared" si="8"/>
        <v>0</v>
      </c>
      <c r="AP84" s="2">
        <f t="shared" si="9"/>
        <v>0</v>
      </c>
      <c r="AQ84" s="2">
        <f t="shared" si="10"/>
        <v>30</v>
      </c>
      <c r="AR84" s="2">
        <f t="shared" si="11"/>
        <v>20</v>
      </c>
      <c r="AS84" s="2">
        <f t="shared" si="28"/>
        <v>30</v>
      </c>
      <c r="AT84" s="2"/>
      <c r="AU84" s="2"/>
      <c r="AV84" s="2"/>
      <c r="AW84" s="2"/>
      <c r="AX84" s="2"/>
      <c r="AY84" s="2">
        <f t="shared" si="12"/>
        <v>0</v>
      </c>
      <c r="AZ84" s="2"/>
      <c r="BA84" s="2"/>
      <c r="BB84" s="2"/>
      <c r="BC84" s="2"/>
      <c r="BD84" s="2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si="14"/>
        <v xml:space="preserve"> </v>
      </c>
      <c r="C85" s="401"/>
      <c r="D85" s="269" t="str">
        <f>IF(N85=0,IF(N84=1,SUM(D$25:E84)," "),IF(N85=0," ",IF(N86=1,D$25,IF(N86=0,D$10-D$25*(M$14-1)," "))))</f>
        <v xml:space="preserve"> </v>
      </c>
      <c r="E85" s="269"/>
      <c r="F85" s="87" t="str">
        <f>IF(N85=0,IF(N84=1,SUM(F$25:F84)," "),IF(M$1=1,P85,IF(M$1=2,Q85," ")))</f>
        <v xml:space="preserve"> </v>
      </c>
      <c r="G85" s="87">
        <v>0</v>
      </c>
      <c r="H85" s="87" t="str">
        <f t="shared" si="15"/>
        <v xml:space="preserve"> </v>
      </c>
      <c r="I85" s="87">
        <f t="shared" si="16"/>
        <v>0</v>
      </c>
      <c r="J85" s="87">
        <f t="shared" si="0"/>
        <v>0</v>
      </c>
      <c r="K85" s="87">
        <v>0</v>
      </c>
      <c r="L85" s="87" t="str">
        <f t="shared" si="17"/>
        <v xml:space="preserve"> </v>
      </c>
      <c r="M85" s="2">
        <v>61</v>
      </c>
      <c r="N85" s="2">
        <f t="shared" si="34"/>
        <v>0</v>
      </c>
      <c r="O85" s="2">
        <f t="shared" si="1"/>
        <v>20</v>
      </c>
      <c r="P85" s="134">
        <f t="shared" si="19"/>
        <v>0</v>
      </c>
      <c r="Q85" s="134">
        <f t="shared" si="19"/>
        <v>0</v>
      </c>
      <c r="R85" s="134">
        <f t="shared" si="20"/>
        <v>0</v>
      </c>
      <c r="S85" s="134" t="str">
        <f t="shared" si="21"/>
        <v xml:space="preserve"> </v>
      </c>
      <c r="T85" s="134" t="str">
        <f t="shared" si="29"/>
        <v xml:space="preserve"> </v>
      </c>
      <c r="U85" s="134">
        <f>IF(N86=1,R84*D$11*20/36000+R85*D$11*10/36000,IF(N86=0,IF(N85=0,0,IF(D$16&gt;20,R84*D$11*20/36000+R85*D$11*(Q$12-20)/36000,R85*D$11*Q$12/36000))))</f>
        <v>0</v>
      </c>
      <c r="V85" s="134">
        <f>IF(N86=1,R84*D$11*20/36000+R85*D$11*10/36000,IF(N86=0,IF(N85=0,0,IF(D$16&gt;20,R84*D$11*20/36000+R85*D$11*(Q$12-20)/36000,R85*D$11*Q$12/36000))))</f>
        <v>0</v>
      </c>
      <c r="W85" s="134">
        <f>IF(N86=1,D10*D$11*20/36000+D10*D$11*10/36000,IF(N86=0,IF(N85=0,0,D10*D$11*Q$12/36000)))</f>
        <v>0</v>
      </c>
      <c r="X85" s="134">
        <f t="shared" si="22"/>
        <v>0</v>
      </c>
      <c r="Y85" s="134">
        <f t="shared" si="2"/>
        <v>-2.8421709430404007E-13</v>
      </c>
      <c r="Z85" s="134">
        <f t="shared" si="48"/>
        <v>0</v>
      </c>
      <c r="AA85" s="134">
        <f t="shared" si="23"/>
        <v>0</v>
      </c>
      <c r="AB85" s="134">
        <f>R85*Q$12</f>
        <v>0</v>
      </c>
      <c r="AC85" s="134">
        <f t="shared" si="40"/>
        <v>0</v>
      </c>
      <c r="AD85" s="134">
        <f t="shared" si="40"/>
        <v>0</v>
      </c>
      <c r="AE85" s="134">
        <f>IF(N86=1,D10*G$12*20/36000+D10*G$12*10/36000,IF(N86=0,IF(N85=0,0,D10*G$12*Q$12/36000)))</f>
        <v>0</v>
      </c>
      <c r="AF85" s="134">
        <f t="shared" si="4"/>
        <v>0</v>
      </c>
      <c r="AG85" s="134">
        <f>IF(N86=1,Y84*G$12*20/36000+Y85*G$12*10/36000,IF(N86=0,IF(N85=0,0,Y85*G$12*Q$12/36000)))</f>
        <v>0</v>
      </c>
      <c r="AH85" s="134">
        <f t="shared" si="5"/>
        <v>0</v>
      </c>
      <c r="AI85" s="134">
        <f t="shared" si="6"/>
        <v>0</v>
      </c>
      <c r="AJ85" s="134">
        <f>IF(N86=1,AI84*G$12*20/36000+AI85*G$12*10/36000,IF(N86=0,IF(N85=0,0,AI85*G$12*Q$12/36000)))</f>
        <v>0</v>
      </c>
      <c r="AK85" s="134">
        <f>IF(N86=1,AI84*G$12*20/36000+AI85*G$12*10/36000,IF(N86=0,IF(N85=0,0,AI85*G$12*Q$12/36000)))</f>
        <v>0</v>
      </c>
      <c r="AL85" s="132">
        <f t="shared" si="26"/>
        <v>0</v>
      </c>
      <c r="AM85" s="132">
        <f t="shared" si="7"/>
        <v>0</v>
      </c>
      <c r="AN85" s="2">
        <f t="shared" si="27"/>
        <v>0</v>
      </c>
      <c r="AO85" s="2">
        <f t="shared" si="8"/>
        <v>0</v>
      </c>
      <c r="AP85" s="2">
        <f t="shared" si="9"/>
        <v>0</v>
      </c>
      <c r="AQ85" s="2">
        <f t="shared" si="10"/>
        <v>30</v>
      </c>
      <c r="AR85" s="2">
        <f t="shared" si="11"/>
        <v>20</v>
      </c>
      <c r="AS85" s="2">
        <f t="shared" si="28"/>
        <v>30</v>
      </c>
      <c r="AT85" s="2"/>
      <c r="AU85" s="2"/>
      <c r="AV85" s="2"/>
      <c r="AW85" s="2"/>
      <c r="AX85" s="2"/>
      <c r="AY85" s="2">
        <f t="shared" si="12"/>
        <v>0</v>
      </c>
      <c r="AZ85" s="2"/>
      <c r="BA85" s="2"/>
      <c r="BB85" s="2"/>
      <c r="BC85" s="2"/>
      <c r="BD85" s="2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hidden="1" customHeight="1">
      <c r="B86" s="405" t="str">
        <f>IF(N86=0,IF(N85=1,"ИТОГО"," ")," ")</f>
        <v xml:space="preserve"> </v>
      </c>
      <c r="C86" s="405"/>
      <c r="D86" s="441" t="str">
        <f>IF(N86=0,IF(N85=1,D22," ")," ")</f>
        <v xml:space="preserve"> </v>
      </c>
      <c r="E86" s="441"/>
      <c r="F86" s="66" t="str">
        <f>IF(N86=0,IF(N85=1,SUM(F25:F85)," ")," ")</f>
        <v xml:space="preserve"> </v>
      </c>
      <c r="G86" s="66">
        <v>0</v>
      </c>
      <c r="H86" s="66" t="str">
        <f t="shared" si="15"/>
        <v xml:space="preserve"> </v>
      </c>
      <c r="I86" s="66"/>
      <c r="J86" s="66"/>
      <c r="K86" s="66"/>
      <c r="L86" s="66"/>
      <c r="M86" s="135">
        <f>IF(A94=0,0,62000)</f>
        <v>0</v>
      </c>
      <c r="N86" s="135"/>
      <c r="O86" s="135"/>
      <c r="P86" s="136">
        <f>SUM(P25:P85)</f>
        <v>203.44444444444449</v>
      </c>
      <c r="Q86" s="136">
        <f>SUM(Q25:Q85)</f>
        <v>196.34444444444449</v>
      </c>
      <c r="R86" s="136">
        <f>SUM(R25:R85)</f>
        <v>13000</v>
      </c>
      <c r="S86" s="136"/>
      <c r="T86" s="136"/>
      <c r="U86" s="136">
        <f>SUM(U25:U85)</f>
        <v>203.44444444444449</v>
      </c>
      <c r="V86" s="136">
        <f>SUM(V25:V85)</f>
        <v>196.34444444444449</v>
      </c>
      <c r="W86" s="136">
        <f>SUM(W25:W85)</f>
        <v>405.5555555555556</v>
      </c>
      <c r="X86" s="136">
        <f>SUM(X25:X85)</f>
        <v>480</v>
      </c>
      <c r="Y86" s="136"/>
      <c r="Z86" s="136"/>
      <c r="AA86" s="136"/>
      <c r="AB86" s="136">
        <f>SUM(AB25:AB85)</f>
        <v>382200</v>
      </c>
      <c r="AC86" s="136">
        <f>SUM(AC25:AC85)</f>
        <v>0</v>
      </c>
      <c r="AD86" s="136">
        <f>SUM(AD25:AD85)</f>
        <v>0</v>
      </c>
      <c r="AE86" s="136">
        <f>SUM(AE25:AE85)</f>
        <v>0</v>
      </c>
      <c r="AF86" s="136">
        <f>SUM(AF25:AF85)</f>
        <v>0</v>
      </c>
      <c r="AG86" s="136"/>
      <c r="AH86" s="136"/>
      <c r="AI86" s="136">
        <f>SUM(AI25:AI85)</f>
        <v>13000</v>
      </c>
      <c r="AJ86" s="136">
        <f>SUM(AJ25:AJ85)</f>
        <v>0</v>
      </c>
      <c r="AK86" s="136">
        <f>SUM(AK25:AK85)</f>
        <v>0</v>
      </c>
      <c r="AL86" s="136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</row>
    <row r="87" spans="1:141" ht="1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9"/>
      <c r="N87" s="29" t="s">
        <v>145</v>
      </c>
      <c r="O87" s="29" t="s">
        <v>145</v>
      </c>
      <c r="P87" s="29"/>
      <c r="Q87" s="29"/>
    </row>
    <row r="88" spans="1:141" ht="15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1:141" ht="1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</row>
    <row r="90" spans="1:141" ht="1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</row>
    <row r="91" spans="1:141" ht="1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1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2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</row>
    <row r="93" spans="1:141" s="19" customFormat="1" ht="15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2"/>
      <c r="N93" s="29" t="s">
        <v>145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</row>
    <row r="94" spans="1:141" s="19" customFormat="1" ht="1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2"/>
      <c r="N94" s="300" t="s">
        <v>80</v>
      </c>
      <c r="O94" s="300"/>
      <c r="P94" s="300" t="s">
        <v>38</v>
      </c>
      <c r="Q94" s="300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</row>
    <row r="95" spans="1:141" s="19" customFormat="1" ht="15" hidden="1" customHeight="1">
      <c r="A95" s="31"/>
      <c r="B95" s="302" t="s">
        <v>87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2"/>
      <c r="N95" s="2" t="s">
        <v>39</v>
      </c>
      <c r="O95" s="2" t="s">
        <v>40</v>
      </c>
      <c r="P95" s="2" t="s">
        <v>39</v>
      </c>
      <c r="Q95" s="2" t="s">
        <v>40</v>
      </c>
      <c r="R95" s="2" t="s">
        <v>41</v>
      </c>
      <c r="S95" s="2"/>
      <c r="T95" s="2"/>
      <c r="U95" s="2" t="s">
        <v>42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</row>
    <row r="96" spans="1:141" s="34" customFormat="1" ht="15" hidden="1" customHeight="1">
      <c r="A96" s="32">
        <f t="shared" ref="A96:A103" si="51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</row>
    <row r="97" spans="1:71" s="34" customFormat="1" ht="15" hidden="1" customHeight="1">
      <c r="A97" s="32">
        <f t="shared" si="51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137"/>
      <c r="N97" s="139" t="s">
        <v>44</v>
      </c>
      <c r="O97" s="139" t="s">
        <v>120</v>
      </c>
      <c r="P97" s="139" t="s">
        <v>44</v>
      </c>
      <c r="Q97" s="139" t="s">
        <v>120</v>
      </c>
      <c r="R97" s="139" t="s">
        <v>119</v>
      </c>
      <c r="S97" s="139"/>
      <c r="T97" s="139"/>
      <c r="U97" s="139" t="s">
        <v>45</v>
      </c>
      <c r="V97" s="139" t="s">
        <v>45</v>
      </c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</row>
    <row r="98" spans="1:71" s="34" customFormat="1" ht="15" hidden="1" customHeight="1">
      <c r="A98" s="32">
        <f t="shared" si="51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137"/>
      <c r="N98" s="139" t="s">
        <v>46</v>
      </c>
      <c r="O98" s="139" t="s">
        <v>46</v>
      </c>
      <c r="P98" s="139" t="s">
        <v>46</v>
      </c>
      <c r="Q98" s="139" t="s">
        <v>46</v>
      </c>
      <c r="R98" s="139" t="s">
        <v>47</v>
      </c>
      <c r="S98" s="139"/>
      <c r="T98" s="139"/>
      <c r="U98" s="138" t="s">
        <v>48</v>
      </c>
      <c r="V98" s="138" t="s">
        <v>48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</row>
    <row r="99" spans="1:71" s="34" customFormat="1" ht="15" hidden="1" customHeight="1">
      <c r="A99" s="32">
        <f t="shared" si="51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137"/>
      <c r="N99" s="139" t="s">
        <v>83</v>
      </c>
      <c r="O99" s="139" t="s">
        <v>83</v>
      </c>
      <c r="P99" s="139" t="s">
        <v>83</v>
      </c>
      <c r="Q99" s="139" t="s">
        <v>83</v>
      </c>
      <c r="R99" s="140" t="s">
        <v>49</v>
      </c>
      <c r="S99" s="140"/>
      <c r="T99" s="140"/>
      <c r="U99" s="139" t="s">
        <v>98</v>
      </c>
      <c r="V99" s="139" t="s">
        <v>98</v>
      </c>
      <c r="W99" s="139"/>
      <c r="X99" s="139"/>
      <c r="Y99" s="139"/>
      <c r="Z99" s="139"/>
      <c r="AA99" s="139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</row>
    <row r="100" spans="1:71" s="34" customFormat="1" ht="15" hidden="1" customHeight="1">
      <c r="A100" s="32">
        <f t="shared" si="51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137"/>
      <c r="N100" s="139" t="s">
        <v>52</v>
      </c>
      <c r="O100" s="139" t="s">
        <v>52</v>
      </c>
      <c r="P100" s="139" t="s">
        <v>52</v>
      </c>
      <c r="Q100" s="139" t="s">
        <v>52</v>
      </c>
      <c r="R100" s="139" t="s">
        <v>122</v>
      </c>
      <c r="S100" s="139"/>
      <c r="T100" s="139"/>
      <c r="U100" s="139" t="s">
        <v>54</v>
      </c>
      <c r="V100" s="139" t="s">
        <v>55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</row>
    <row r="101" spans="1:71" s="34" customFormat="1" ht="15" hidden="1" customHeight="1">
      <c r="A101" s="32">
        <f t="shared" si="51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137"/>
      <c r="N101" s="139" t="s">
        <v>57</v>
      </c>
      <c r="O101" s="139" t="s">
        <v>57</v>
      </c>
      <c r="P101" s="139" t="s">
        <v>56</v>
      </c>
      <c r="Q101" s="139" t="s">
        <v>57</v>
      </c>
      <c r="R101" s="139" t="s">
        <v>53</v>
      </c>
      <c r="S101" s="139"/>
      <c r="T101" s="139"/>
      <c r="U101" s="139" t="s">
        <v>106</v>
      </c>
      <c r="V101" s="139" t="s">
        <v>106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</row>
    <row r="102" spans="1:71" s="34" customFormat="1" ht="15" hidden="1" customHeight="1">
      <c r="A102" s="32">
        <f t="shared" si="51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137"/>
      <c r="N102" s="139" t="s">
        <v>60</v>
      </c>
      <c r="O102" s="139" t="s">
        <v>121</v>
      </c>
      <c r="P102" s="139" t="s">
        <v>60</v>
      </c>
      <c r="Q102" s="139" t="s">
        <v>121</v>
      </c>
      <c r="R102" s="139" t="s">
        <v>58</v>
      </c>
      <c r="S102" s="139"/>
      <c r="T102" s="139"/>
      <c r="U102" s="138" t="s">
        <v>61</v>
      </c>
      <c r="V102" s="138" t="s">
        <v>62</v>
      </c>
      <c r="W102" s="138"/>
      <c r="X102" s="138"/>
      <c r="Y102" s="138"/>
      <c r="Z102" s="138"/>
      <c r="AA102" s="138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</row>
    <row r="103" spans="1:71" s="34" customFormat="1" ht="15" hidden="1" customHeight="1">
      <c r="A103" s="32">
        <f t="shared" si="51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137"/>
      <c r="N103" s="139" t="s">
        <v>63</v>
      </c>
      <c r="O103" s="139" t="s">
        <v>63</v>
      </c>
      <c r="P103" s="139" t="s">
        <v>63</v>
      </c>
      <c r="Q103" s="139" t="s">
        <v>63</v>
      </c>
      <c r="R103" s="139" t="s">
        <v>125</v>
      </c>
      <c r="S103" s="139"/>
      <c r="T103" s="139"/>
      <c r="U103" s="139" t="s">
        <v>36</v>
      </c>
      <c r="V103" s="138" t="s">
        <v>61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</row>
    <row r="104" spans="1:71" s="34" customFormat="1" ht="15" hidden="1" customHeight="1">
      <c r="A104" s="32"/>
      <c r="B104" s="299" t="str">
        <f t="shared" ref="B104:B120" si="52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137"/>
      <c r="N104" s="139" t="s">
        <v>123</v>
      </c>
      <c r="O104" s="139" t="s">
        <v>123</v>
      </c>
      <c r="P104" s="139" t="s">
        <v>123</v>
      </c>
      <c r="Q104" s="139" t="s">
        <v>123</v>
      </c>
      <c r="R104" s="139" t="s">
        <v>123</v>
      </c>
      <c r="S104" s="141"/>
      <c r="T104" s="141"/>
      <c r="U104" s="139"/>
      <c r="V104" s="138"/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</row>
    <row r="105" spans="1:71" s="34" customFormat="1" ht="15" hidden="1" customHeight="1">
      <c r="A105" s="32">
        <f t="shared" ref="A105:A120" si="53">IF(LEFT(B105,1)="I",1,0)</f>
        <v>0</v>
      </c>
      <c r="B105" s="299" t="str">
        <f t="shared" si="52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137"/>
      <c r="N105" s="139" t="s">
        <v>124</v>
      </c>
      <c r="O105" s="139" t="s">
        <v>124</v>
      </c>
      <c r="P105" s="139" t="s">
        <v>124</v>
      </c>
      <c r="Q105" s="139" t="s">
        <v>124</v>
      </c>
      <c r="R105" s="139" t="s">
        <v>126</v>
      </c>
      <c r="S105" s="139"/>
      <c r="T105" s="139"/>
      <c r="U105" s="139" t="s">
        <v>36</v>
      </c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</row>
    <row r="106" spans="1:71" s="34" customFormat="1" ht="15" hidden="1" customHeight="1">
      <c r="A106" s="32">
        <f t="shared" si="53"/>
        <v>0</v>
      </c>
      <c r="B106" s="299" t="str">
        <f t="shared" si="52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137"/>
      <c r="N106" s="139" t="s">
        <v>122</v>
      </c>
      <c r="O106" s="139" t="s">
        <v>122</v>
      </c>
      <c r="P106" s="139" t="s">
        <v>122</v>
      </c>
      <c r="Q106" s="139" t="s">
        <v>122</v>
      </c>
      <c r="R106" s="139" t="s">
        <v>127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</row>
    <row r="107" spans="1:71" s="34" customFormat="1" ht="15" hidden="1" customHeight="1">
      <c r="A107" s="32">
        <f t="shared" si="53"/>
        <v>0</v>
      </c>
      <c r="B107" s="299" t="str">
        <f t="shared" si="52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137"/>
      <c r="N107" s="139" t="s">
        <v>91</v>
      </c>
      <c r="O107" s="139" t="s">
        <v>91</v>
      </c>
      <c r="P107" s="139" t="s">
        <v>91</v>
      </c>
      <c r="Q107" s="139" t="s">
        <v>91</v>
      </c>
      <c r="R107" s="138" t="s">
        <v>48</v>
      </c>
      <c r="S107" s="138"/>
      <c r="T107" s="138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</row>
    <row r="108" spans="1:71" s="34" customFormat="1" ht="15" hidden="1" customHeight="1">
      <c r="A108" s="32">
        <f t="shared" si="53"/>
        <v>0</v>
      </c>
      <c r="B108" s="299" t="str">
        <f t="shared" si="52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137"/>
      <c r="N108" s="139" t="s">
        <v>58</v>
      </c>
      <c r="O108" s="139" t="s">
        <v>58</v>
      </c>
      <c r="P108" s="139" t="s">
        <v>58</v>
      </c>
      <c r="Q108" s="139" t="s">
        <v>58</v>
      </c>
      <c r="R108" s="139" t="s">
        <v>98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</row>
    <row r="109" spans="1:71" s="34" customFormat="1" ht="15" hidden="1" customHeight="1">
      <c r="A109" s="32">
        <f t="shared" si="53"/>
        <v>0</v>
      </c>
      <c r="B109" s="299" t="str">
        <f t="shared" si="52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137"/>
      <c r="N109" s="139" t="s">
        <v>65</v>
      </c>
      <c r="O109" s="139" t="s">
        <v>125</v>
      </c>
      <c r="P109" s="139" t="s">
        <v>65</v>
      </c>
      <c r="Q109" s="139" t="s">
        <v>125</v>
      </c>
      <c r="R109" s="139" t="s">
        <v>66</v>
      </c>
      <c r="S109" s="139"/>
      <c r="T109" s="139"/>
      <c r="U109" s="137" t="s">
        <v>36</v>
      </c>
      <c r="V109" s="138" t="s">
        <v>48</v>
      </c>
      <c r="W109" s="138"/>
      <c r="X109" s="138"/>
      <c r="Y109" s="138"/>
      <c r="Z109" s="138"/>
      <c r="AA109" s="138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</row>
    <row r="110" spans="1:71" s="34" customFormat="1" ht="15" hidden="1" customHeight="1">
      <c r="A110" s="32">
        <f t="shared" si="53"/>
        <v>0</v>
      </c>
      <c r="B110" s="299" t="str">
        <f t="shared" si="52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137"/>
      <c r="N110" s="139" t="s">
        <v>67</v>
      </c>
      <c r="O110" s="139" t="s">
        <v>126</v>
      </c>
      <c r="P110" s="139" t="s">
        <v>67</v>
      </c>
      <c r="Q110" s="139" t="s">
        <v>126</v>
      </c>
      <c r="R110" s="139" t="s">
        <v>106</v>
      </c>
      <c r="S110" s="139"/>
      <c r="T110" s="139"/>
      <c r="U110" s="137" t="s">
        <v>36</v>
      </c>
      <c r="V110" s="139" t="s">
        <v>98</v>
      </c>
      <c r="W110" s="139"/>
      <c r="X110" s="139"/>
      <c r="Y110" s="139"/>
      <c r="Z110" s="139"/>
      <c r="AA110" s="139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</row>
    <row r="111" spans="1:71" s="34" customFormat="1" ht="15" hidden="1" customHeight="1">
      <c r="A111" s="32">
        <f t="shared" si="53"/>
        <v>0</v>
      </c>
      <c r="B111" s="299" t="str">
        <f t="shared" si="52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137"/>
      <c r="N111" s="139" t="s">
        <v>68</v>
      </c>
      <c r="O111" s="139" t="s">
        <v>127</v>
      </c>
      <c r="P111" s="139" t="s">
        <v>68</v>
      </c>
      <c r="Q111" s="139" t="s">
        <v>127</v>
      </c>
      <c r="R111" s="138" t="s">
        <v>61</v>
      </c>
      <c r="S111" s="138"/>
      <c r="T111" s="138"/>
      <c r="U111" s="137" t="s">
        <v>36</v>
      </c>
      <c r="V111" s="139" t="s">
        <v>54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</row>
    <row r="112" spans="1:71" s="34" customFormat="1" ht="15" hidden="1" customHeight="1">
      <c r="A112" s="32">
        <f t="shared" si="53"/>
        <v>0</v>
      </c>
      <c r="B112" s="299" t="str">
        <f t="shared" si="52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137"/>
      <c r="N112" s="139" t="s">
        <v>113</v>
      </c>
      <c r="O112" s="139" t="s">
        <v>116</v>
      </c>
      <c r="P112" s="139" t="s">
        <v>113</v>
      </c>
      <c r="Q112" s="139" t="s">
        <v>116</v>
      </c>
      <c r="R112" s="137" t="s">
        <v>36</v>
      </c>
      <c r="S112" s="137"/>
      <c r="T112" s="137"/>
      <c r="U112" s="137" t="s">
        <v>36</v>
      </c>
      <c r="V112" s="139" t="s">
        <v>73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</row>
    <row r="113" spans="1:71" s="34" customFormat="1" ht="15" hidden="1" customHeight="1">
      <c r="A113" s="32">
        <f t="shared" si="53"/>
        <v>0</v>
      </c>
      <c r="B113" s="299" t="str">
        <f t="shared" si="52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137"/>
      <c r="N113" s="139" t="s">
        <v>114</v>
      </c>
      <c r="O113" s="139" t="s">
        <v>128</v>
      </c>
      <c r="P113" s="139" t="s">
        <v>114</v>
      </c>
      <c r="Q113" s="139" t="s">
        <v>128</v>
      </c>
      <c r="R113" s="139" t="s">
        <v>36</v>
      </c>
      <c r="S113" s="139"/>
      <c r="T113" s="139"/>
      <c r="U113" s="139" t="s">
        <v>36</v>
      </c>
      <c r="V113" s="139" t="s">
        <v>105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</row>
    <row r="114" spans="1:71" s="34" customFormat="1" ht="15" hidden="1" customHeight="1">
      <c r="A114" s="32">
        <f t="shared" si="53"/>
        <v>0</v>
      </c>
      <c r="B114" s="299" t="str">
        <f t="shared" si="52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137"/>
      <c r="N114" s="139" t="s">
        <v>115</v>
      </c>
      <c r="O114" s="139" t="s">
        <v>94</v>
      </c>
      <c r="P114" s="139" t="s">
        <v>115</v>
      </c>
      <c r="Q114" s="139" t="s">
        <v>94</v>
      </c>
      <c r="R114" s="138" t="s">
        <v>36</v>
      </c>
      <c r="S114" s="138"/>
      <c r="T114" s="138"/>
      <c r="U114" s="138" t="s">
        <v>36</v>
      </c>
      <c r="V114" s="137" t="s">
        <v>36</v>
      </c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</row>
    <row r="115" spans="1:71" s="34" customFormat="1" ht="15" hidden="1" customHeight="1">
      <c r="A115" s="32">
        <f t="shared" si="53"/>
        <v>1</v>
      </c>
      <c r="B115" s="299" t="str">
        <f t="shared" si="52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137"/>
      <c r="N115" s="138" t="s">
        <v>48</v>
      </c>
      <c r="O115" s="138" t="s">
        <v>48</v>
      </c>
      <c r="P115" s="138" t="s">
        <v>48</v>
      </c>
      <c r="Q115" s="138" t="s">
        <v>48</v>
      </c>
      <c r="R115" s="138" t="s">
        <v>36</v>
      </c>
      <c r="S115" s="138"/>
      <c r="T115" s="138"/>
      <c r="U115" s="138" t="s">
        <v>36</v>
      </c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</row>
    <row r="116" spans="1:71" s="34" customFormat="1" ht="15" hidden="1" customHeight="1">
      <c r="A116" s="32">
        <f t="shared" si="53"/>
        <v>0</v>
      </c>
      <c r="B116" s="299" t="str">
        <f t="shared" si="52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137"/>
      <c r="N116" s="139" t="s">
        <v>98</v>
      </c>
      <c r="O116" s="139" t="s">
        <v>98</v>
      </c>
      <c r="P116" s="139" t="s">
        <v>98</v>
      </c>
      <c r="Q116" s="139" t="s">
        <v>98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</row>
    <row r="117" spans="1:71" s="34" customFormat="1" ht="15" hidden="1" customHeight="1">
      <c r="A117" s="32">
        <f t="shared" si="53"/>
        <v>0</v>
      </c>
      <c r="B117" s="299" t="str">
        <f t="shared" si="52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137"/>
      <c r="N117" s="139" t="s">
        <v>81</v>
      </c>
      <c r="O117" s="139" t="s">
        <v>81</v>
      </c>
      <c r="P117" s="139" t="s">
        <v>78</v>
      </c>
      <c r="Q117" s="139" t="s">
        <v>78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</row>
    <row r="118" spans="1:71" s="34" customFormat="1" ht="15" hidden="1" customHeight="1">
      <c r="A118" s="32">
        <f t="shared" si="53"/>
        <v>0</v>
      </c>
      <c r="B118" s="299" t="str">
        <f t="shared" si="52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137"/>
      <c r="N118" s="139" t="s">
        <v>82</v>
      </c>
      <c r="O118" s="139" t="s">
        <v>82</v>
      </c>
      <c r="P118" s="139" t="s">
        <v>106</v>
      </c>
      <c r="Q118" s="139" t="s">
        <v>106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</row>
    <row r="119" spans="1:71" s="34" customFormat="1" ht="15" hidden="1" customHeight="1">
      <c r="A119" s="32">
        <f t="shared" si="53"/>
        <v>0</v>
      </c>
      <c r="B119" s="299" t="str">
        <f t="shared" si="52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137"/>
      <c r="N119" s="139" t="s">
        <v>105</v>
      </c>
      <c r="O119" s="139" t="s">
        <v>146</v>
      </c>
      <c r="P119" s="138" t="s">
        <v>61</v>
      </c>
      <c r="Q119" s="138" t="s">
        <v>61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</row>
    <row r="120" spans="1:71" s="34" customFormat="1" ht="15" hidden="1" customHeight="1">
      <c r="A120" s="32">
        <f t="shared" si="53"/>
        <v>1</v>
      </c>
      <c r="B120" s="299" t="str">
        <f t="shared" si="52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137"/>
      <c r="N120" s="138" t="s">
        <v>61</v>
      </c>
      <c r="O120" s="138" t="s">
        <v>61</v>
      </c>
      <c r="P120" s="138" t="s">
        <v>36</v>
      </c>
      <c r="Q120" s="138" t="s">
        <v>36</v>
      </c>
      <c r="R120" s="138" t="s">
        <v>36</v>
      </c>
      <c r="S120" s="138"/>
      <c r="T120" s="138"/>
      <c r="U120" s="138" t="s">
        <v>36</v>
      </c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</row>
    <row r="121" spans="1:71" s="34" customFormat="1" ht="1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8"/>
      <c r="O121" s="138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</row>
    <row r="122" spans="1:71" s="34" customFormat="1" ht="32.25" customHeight="1">
      <c r="A122" s="32"/>
      <c r="B122" s="385" t="s">
        <v>202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8"/>
      <c r="O122" s="138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</row>
    <row r="123" spans="1:71" s="34" customFormat="1" ht="43.5" customHeight="1">
      <c r="A123" s="32"/>
      <c r="B123" s="385" t="s">
        <v>213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8"/>
      <c r="O123" s="138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</row>
    <row r="124" spans="1:71" s="34" customFormat="1" ht="70.5" customHeight="1">
      <c r="A124" s="32"/>
      <c r="B124" s="385" t="s">
        <v>211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137"/>
      <c r="N124" s="138"/>
      <c r="O124" s="138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</row>
    <row r="125" spans="1:71" s="34" customFormat="1" ht="24.7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137"/>
      <c r="N125" s="138"/>
      <c r="O125" s="138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</row>
    <row r="126" spans="1:71" s="34" customFormat="1" ht="43.5" customHeight="1">
      <c r="A126" s="32"/>
      <c r="B126" s="385" t="s">
        <v>156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137"/>
      <c r="N126" s="138"/>
      <c r="O126" s="138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</row>
    <row r="127" spans="1:71" s="34" customFormat="1" ht="52.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137"/>
      <c r="N127" s="138"/>
      <c r="O127" s="138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</row>
    <row r="128" spans="1:71" s="34" customFormat="1" ht="42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137"/>
      <c r="N128" s="138"/>
      <c r="O128" s="138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</row>
    <row r="129" spans="1:71" s="34" customFormat="1" ht="37.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137"/>
      <c r="N129" s="138"/>
      <c r="O129" s="138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</row>
    <row r="130" spans="1:71" s="34" customFormat="1" ht="28.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137"/>
      <c r="N130" s="138"/>
      <c r="O130" s="138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</row>
    <row r="131" spans="1:71" s="34" customFormat="1" ht="37.5" customHeight="1">
      <c r="A131" s="32"/>
      <c r="B131" s="434" t="s">
        <v>194</v>
      </c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137"/>
      <c r="N131" s="138"/>
      <c r="O131" s="138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</row>
    <row r="132" spans="1:71" s="34" customFormat="1" ht="46.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137"/>
      <c r="N132" s="138"/>
      <c r="O132" s="138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</row>
    <row r="133" spans="1:71" s="34" customFormat="1" ht="32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8"/>
      <c r="O133" s="138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</row>
    <row r="134" spans="1:71" s="34" customFormat="1" ht="20.25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137"/>
      <c r="N134" s="138"/>
      <c r="O134" s="138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</row>
    <row r="135" spans="1:71" s="34" customFormat="1" ht="12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137"/>
      <c r="N135" s="138"/>
      <c r="O135" s="138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</row>
    <row r="136" spans="1:71" s="34" customFormat="1" ht="24.7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175</v>
      </c>
      <c r="J136" s="391"/>
      <c r="K136" s="391"/>
      <c r="L136" s="392"/>
      <c r="M136" s="137"/>
      <c r="N136" s="138"/>
      <c r="O136" s="138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</row>
    <row r="137" spans="1:71" s="34" customFormat="1" ht="44.2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204</v>
      </c>
      <c r="J137" s="391"/>
      <c r="K137" s="391"/>
      <c r="L137" s="392"/>
      <c r="M137" s="137"/>
      <c r="N137" s="138"/>
      <c r="O137" s="138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</row>
    <row r="138" spans="1:71" s="34" customFormat="1" ht="54.75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203</v>
      </c>
      <c r="J138" s="391"/>
      <c r="K138" s="391"/>
      <c r="L138" s="392"/>
      <c r="M138" s="137"/>
      <c r="N138" s="138"/>
      <c r="O138" s="138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</row>
    <row r="139" spans="1:71" s="34" customFormat="1" ht="53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203</v>
      </c>
      <c r="J139" s="391"/>
      <c r="K139" s="391"/>
      <c r="L139" s="392"/>
      <c r="M139" s="137"/>
      <c r="N139" s="138"/>
      <c r="O139" s="138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</row>
    <row r="140" spans="1:71" s="34" customFormat="1" ht="20.2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137"/>
      <c r="N140" s="138"/>
      <c r="O140" s="138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</row>
    <row r="141" spans="1:71" s="34" customFormat="1" ht="19.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137"/>
      <c r="N141" s="138"/>
      <c r="O141" s="138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</row>
    <row r="142" spans="1:71" s="34" customFormat="1" ht="20.2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137"/>
      <c r="N142" s="138"/>
      <c r="O142" s="138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</row>
    <row r="143" spans="1:71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137"/>
      <c r="N143" s="138"/>
      <c r="O143" s="138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</row>
    <row r="144" spans="1:71" s="34" customFormat="1" ht="44.25" customHeight="1">
      <c r="A144" s="32"/>
      <c r="B144" s="390" t="s">
        <v>173</v>
      </c>
      <c r="C144" s="391"/>
      <c r="D144" s="391"/>
      <c r="E144" s="391"/>
      <c r="F144" s="391"/>
      <c r="G144" s="391"/>
      <c r="H144" s="392"/>
      <c r="I144" s="390" t="s">
        <v>208</v>
      </c>
      <c r="J144" s="391"/>
      <c r="K144" s="391"/>
      <c r="L144" s="392"/>
      <c r="M144" s="137"/>
      <c r="N144" s="138"/>
      <c r="O144" s="138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</row>
    <row r="145" spans="1:71" s="34" customFormat="1" ht="50.25" customHeight="1">
      <c r="A145" s="32"/>
      <c r="B145" s="390" t="s">
        <v>171</v>
      </c>
      <c r="C145" s="391"/>
      <c r="D145" s="391"/>
      <c r="E145" s="391"/>
      <c r="F145" s="391"/>
      <c r="G145" s="391"/>
      <c r="H145" s="392"/>
      <c r="I145" s="390" t="s">
        <v>205</v>
      </c>
      <c r="J145" s="391"/>
      <c r="K145" s="391"/>
      <c r="L145" s="392"/>
      <c r="M145" s="137"/>
      <c r="N145" s="138"/>
      <c r="O145" s="138"/>
      <c r="P145" s="138"/>
      <c r="Q145" s="138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</row>
    <row r="146" spans="1:71" s="34" customFormat="1" ht="58.5" customHeight="1">
      <c r="A146" s="32"/>
      <c r="B146" s="387" t="s">
        <v>184</v>
      </c>
      <c r="C146" s="388"/>
      <c r="D146" s="388"/>
      <c r="E146" s="388"/>
      <c r="F146" s="388"/>
      <c r="G146" s="388"/>
      <c r="H146" s="389"/>
      <c r="I146" s="390" t="s">
        <v>206</v>
      </c>
      <c r="J146" s="391"/>
      <c r="K146" s="391"/>
      <c r="L146" s="392"/>
      <c r="M146" s="137"/>
      <c r="N146" s="138"/>
      <c r="O146" s="138"/>
      <c r="P146" s="138"/>
      <c r="Q146" s="138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</row>
    <row r="147" spans="1:71" s="34" customFormat="1" ht="60.75" customHeight="1">
      <c r="A147" s="32"/>
      <c r="B147" s="390" t="s">
        <v>172</v>
      </c>
      <c r="C147" s="391"/>
      <c r="D147" s="391"/>
      <c r="E147" s="391"/>
      <c r="F147" s="391"/>
      <c r="G147" s="391"/>
      <c r="H147" s="392"/>
      <c r="I147" s="390" t="s">
        <v>207</v>
      </c>
      <c r="J147" s="391"/>
      <c r="K147" s="391"/>
      <c r="L147" s="392"/>
      <c r="M147" s="137"/>
      <c r="N147" s="138"/>
      <c r="O147" s="138"/>
      <c r="P147" s="138"/>
      <c r="Q147" s="138"/>
      <c r="R147" s="138"/>
      <c r="S147" s="138"/>
      <c r="T147" s="138"/>
      <c r="U147" s="138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</row>
    <row r="148" spans="1:71" s="34" customFormat="1" ht="72.7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137"/>
      <c r="N148" s="138"/>
      <c r="O148" s="138"/>
      <c r="P148" s="138"/>
      <c r="Q148" s="138"/>
      <c r="R148" s="138"/>
      <c r="S148" s="138"/>
      <c r="T148" s="138"/>
      <c r="U148" s="138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</row>
    <row r="149" spans="1:71" s="34" customFormat="1" ht="35.2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137"/>
      <c r="N149" s="138"/>
      <c r="O149" s="138"/>
      <c r="P149" s="138"/>
      <c r="Q149" s="138"/>
      <c r="R149" s="138"/>
      <c r="S149" s="138"/>
      <c r="T149" s="138"/>
      <c r="U149" s="138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</row>
    <row r="150" spans="1:71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71" ht="16.5" thickBot="1">
      <c r="A151" s="2"/>
      <c r="B151" s="396">
        <f ca="1">IF(A151=0,TODAY(),A151)</f>
        <v>45294</v>
      </c>
      <c r="C151" s="396"/>
      <c r="D151" s="398"/>
      <c r="E151" s="398"/>
      <c r="F151" s="398"/>
      <c r="G151" s="385" t="str">
        <f>D7</f>
        <v>Иванов И.И.</v>
      </c>
      <c r="H151" s="385"/>
      <c r="I151" s="123"/>
      <c r="J151" s="123"/>
      <c r="K151" s="123"/>
      <c r="L151" s="123"/>
    </row>
    <row r="152" spans="1:7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7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7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7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7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7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71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7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7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mergeCells count="236">
    <mergeCell ref="M11:P11"/>
    <mergeCell ref="T11:V11"/>
    <mergeCell ref="B12:C12"/>
    <mergeCell ref="D12:E12"/>
    <mergeCell ref="M12:P12"/>
    <mergeCell ref="F1:H4"/>
    <mergeCell ref="N1:Q1"/>
    <mergeCell ref="B5:I5"/>
    <mergeCell ref="B7:C7"/>
    <mergeCell ref="D7:F7"/>
    <mergeCell ref="B8:C8"/>
    <mergeCell ref="D8:F8"/>
    <mergeCell ref="B13:C13"/>
    <mergeCell ref="D13:F13"/>
    <mergeCell ref="B14:C14"/>
    <mergeCell ref="D14:E14"/>
    <mergeCell ref="B15:C15"/>
    <mergeCell ref="D15:E15"/>
    <mergeCell ref="B10:C10"/>
    <mergeCell ref="D10:E10"/>
    <mergeCell ref="B11:C11"/>
    <mergeCell ref="D19:F19"/>
    <mergeCell ref="D20:F20"/>
    <mergeCell ref="D21:F21"/>
    <mergeCell ref="D22:E22"/>
    <mergeCell ref="B23:C24"/>
    <mergeCell ref="D23:H23"/>
    <mergeCell ref="B16:C16"/>
    <mergeCell ref="D16:E16"/>
    <mergeCell ref="B17:C17"/>
    <mergeCell ref="D17:F17"/>
    <mergeCell ref="B18:C18"/>
    <mergeCell ref="D18:F18"/>
    <mergeCell ref="B27:C27"/>
    <mergeCell ref="D27:E27"/>
    <mergeCell ref="B28:C28"/>
    <mergeCell ref="D28:E28"/>
    <mergeCell ref="B29:C29"/>
    <mergeCell ref="D29:E29"/>
    <mergeCell ref="I23:L23"/>
    <mergeCell ref="D24:E24"/>
    <mergeCell ref="B25:C25"/>
    <mergeCell ref="D25:E25"/>
    <mergeCell ref="B26:C26"/>
    <mergeCell ref="D26:E26"/>
    <mergeCell ref="B33:C33"/>
    <mergeCell ref="D33:E33"/>
    <mergeCell ref="B34:C34"/>
    <mergeCell ref="D34:E34"/>
    <mergeCell ref="B35:C35"/>
    <mergeCell ref="D35:E35"/>
    <mergeCell ref="B30:C30"/>
    <mergeCell ref="D30:E30"/>
    <mergeCell ref="B31:C31"/>
    <mergeCell ref="D31:E31"/>
    <mergeCell ref="B32:C32"/>
    <mergeCell ref="D32:E32"/>
    <mergeCell ref="B39:C39"/>
    <mergeCell ref="D39:E39"/>
    <mergeCell ref="B40:C40"/>
    <mergeCell ref="D40:E40"/>
    <mergeCell ref="B41:C41"/>
    <mergeCell ref="D41:E41"/>
    <mergeCell ref="B36:C36"/>
    <mergeCell ref="D36:E36"/>
    <mergeCell ref="B37:C37"/>
    <mergeCell ref="D37:E37"/>
    <mergeCell ref="B38:C38"/>
    <mergeCell ref="D38:E38"/>
    <mergeCell ref="B45:C45"/>
    <mergeCell ref="D45:E45"/>
    <mergeCell ref="B46:C46"/>
    <mergeCell ref="D46:E46"/>
    <mergeCell ref="B47:C47"/>
    <mergeCell ref="D47:E47"/>
    <mergeCell ref="B42:C42"/>
    <mergeCell ref="D42:E42"/>
    <mergeCell ref="B43:C43"/>
    <mergeCell ref="D43:E43"/>
    <mergeCell ref="B44:C44"/>
    <mergeCell ref="D44:E44"/>
    <mergeCell ref="B51:C51"/>
    <mergeCell ref="D51:E51"/>
    <mergeCell ref="B52:C52"/>
    <mergeCell ref="D52:E52"/>
    <mergeCell ref="B53:C53"/>
    <mergeCell ref="D53:E53"/>
    <mergeCell ref="B48:C48"/>
    <mergeCell ref="D48:E48"/>
    <mergeCell ref="B49:C49"/>
    <mergeCell ref="D49:E49"/>
    <mergeCell ref="B50:C50"/>
    <mergeCell ref="D50:E50"/>
    <mergeCell ref="B57:C57"/>
    <mergeCell ref="D57:E57"/>
    <mergeCell ref="B58:C58"/>
    <mergeCell ref="D58:E58"/>
    <mergeCell ref="B59:C59"/>
    <mergeCell ref="D59:E59"/>
    <mergeCell ref="B54:C54"/>
    <mergeCell ref="D54:E54"/>
    <mergeCell ref="B55:C55"/>
    <mergeCell ref="D55:E55"/>
    <mergeCell ref="B56:C56"/>
    <mergeCell ref="D56:E56"/>
    <mergeCell ref="B63:C63"/>
    <mergeCell ref="D63:E63"/>
    <mergeCell ref="B64:C64"/>
    <mergeCell ref="D64:E64"/>
    <mergeCell ref="B65:C65"/>
    <mergeCell ref="D65:E65"/>
    <mergeCell ref="B60:C60"/>
    <mergeCell ref="D60:E60"/>
    <mergeCell ref="B61:C61"/>
    <mergeCell ref="D61:E61"/>
    <mergeCell ref="B62:C62"/>
    <mergeCell ref="D62:E62"/>
    <mergeCell ref="B69:C69"/>
    <mergeCell ref="D69:E69"/>
    <mergeCell ref="B70:C70"/>
    <mergeCell ref="D70:E70"/>
    <mergeCell ref="B71:C71"/>
    <mergeCell ref="D71:E71"/>
    <mergeCell ref="B66:C66"/>
    <mergeCell ref="D66:E66"/>
    <mergeCell ref="B67:C67"/>
    <mergeCell ref="D67:E67"/>
    <mergeCell ref="B68:C68"/>
    <mergeCell ref="D68:E68"/>
    <mergeCell ref="B75:C75"/>
    <mergeCell ref="D75:E75"/>
    <mergeCell ref="B76:C76"/>
    <mergeCell ref="D76:E76"/>
    <mergeCell ref="B77:C77"/>
    <mergeCell ref="D77:E77"/>
    <mergeCell ref="B72:C72"/>
    <mergeCell ref="D72:E72"/>
    <mergeCell ref="B73:C73"/>
    <mergeCell ref="D73:E73"/>
    <mergeCell ref="B74:C74"/>
    <mergeCell ref="D74:E74"/>
    <mergeCell ref="B81:C81"/>
    <mergeCell ref="D81:E81"/>
    <mergeCell ref="B82:C82"/>
    <mergeCell ref="D82:E82"/>
    <mergeCell ref="B83:C83"/>
    <mergeCell ref="D83:E83"/>
    <mergeCell ref="B78:C78"/>
    <mergeCell ref="D78:E78"/>
    <mergeCell ref="B79:C79"/>
    <mergeCell ref="D79:E79"/>
    <mergeCell ref="B80:C80"/>
    <mergeCell ref="D80:E80"/>
    <mergeCell ref="B87:L87"/>
    <mergeCell ref="B89:H89"/>
    <mergeCell ref="B92:L92"/>
    <mergeCell ref="B93:L93"/>
    <mergeCell ref="N94:O94"/>
    <mergeCell ref="P94:Q94"/>
    <mergeCell ref="B84:C84"/>
    <mergeCell ref="D84:E84"/>
    <mergeCell ref="B85:C85"/>
    <mergeCell ref="D85:E85"/>
    <mergeCell ref="B86:C86"/>
    <mergeCell ref="D86:E86"/>
    <mergeCell ref="B101:L101"/>
    <mergeCell ref="B102:L102"/>
    <mergeCell ref="B103:L103"/>
    <mergeCell ref="B104:L104"/>
    <mergeCell ref="B105:L105"/>
    <mergeCell ref="B106:L106"/>
    <mergeCell ref="B95:J95"/>
    <mergeCell ref="B96:H96"/>
    <mergeCell ref="B97:L97"/>
    <mergeCell ref="B98:L98"/>
    <mergeCell ref="B99:L99"/>
    <mergeCell ref="B100:L100"/>
    <mergeCell ref="B113:L113"/>
    <mergeCell ref="B114:L114"/>
    <mergeCell ref="B115:L115"/>
    <mergeCell ref="B116:L116"/>
    <mergeCell ref="B117:L117"/>
    <mergeCell ref="B118:L118"/>
    <mergeCell ref="B107:L107"/>
    <mergeCell ref="B108:L108"/>
    <mergeCell ref="B109:L109"/>
    <mergeCell ref="B110:L110"/>
    <mergeCell ref="B111:L111"/>
    <mergeCell ref="B112:L112"/>
    <mergeCell ref="B125:L125"/>
    <mergeCell ref="B126:L126"/>
    <mergeCell ref="B127:L127"/>
    <mergeCell ref="B128:L128"/>
    <mergeCell ref="B129:L129"/>
    <mergeCell ref="B130:L130"/>
    <mergeCell ref="B119:L119"/>
    <mergeCell ref="B120:L120"/>
    <mergeCell ref="B121:L121"/>
    <mergeCell ref="B122:L122"/>
    <mergeCell ref="B123:L123"/>
    <mergeCell ref="B124:L124"/>
    <mergeCell ref="B138:H138"/>
    <mergeCell ref="I138:L138"/>
    <mergeCell ref="B139:H139"/>
    <mergeCell ref="I139:L139"/>
    <mergeCell ref="B131:L131"/>
    <mergeCell ref="B132:L132"/>
    <mergeCell ref="B133:L133"/>
    <mergeCell ref="B134:L134"/>
    <mergeCell ref="B135:L135"/>
    <mergeCell ref="B136:H136"/>
    <mergeCell ref="I136:L136"/>
    <mergeCell ref="H158:R158"/>
    <mergeCell ref="S15:U15"/>
    <mergeCell ref="Q16:Q17"/>
    <mergeCell ref="B148:L148"/>
    <mergeCell ref="B149:L149"/>
    <mergeCell ref="B150:L150"/>
    <mergeCell ref="B151:C151"/>
    <mergeCell ref="D151:F151"/>
    <mergeCell ref="G151:H151"/>
    <mergeCell ref="B145:H145"/>
    <mergeCell ref="I145:L145"/>
    <mergeCell ref="B146:H146"/>
    <mergeCell ref="I146:L146"/>
    <mergeCell ref="B147:H147"/>
    <mergeCell ref="I147:L147"/>
    <mergeCell ref="B140:L140"/>
    <mergeCell ref="B141:L141"/>
    <mergeCell ref="B142:L142"/>
    <mergeCell ref="B143:H143"/>
    <mergeCell ref="I143:L143"/>
    <mergeCell ref="B144:H144"/>
    <mergeCell ref="I144:L144"/>
    <mergeCell ref="B137:H137"/>
    <mergeCell ref="I137:L137"/>
  </mergeCells>
  <conditionalFormatting sqref="B26:C85 D48:F85 H48:H85">
    <cfRule type="expression" dxfId="175" priority="34" stopIfTrue="1">
      <formula>$N26</formula>
    </cfRule>
  </conditionalFormatting>
  <conditionalFormatting sqref="B25:H25">
    <cfRule type="expression" dxfId="174" priority="28" stopIfTrue="1">
      <formula>$N$25</formula>
    </cfRule>
  </conditionalFormatting>
  <conditionalFormatting sqref="B96:I120">
    <cfRule type="expression" dxfId="173" priority="30" stopIfTrue="1">
      <formula>A96</formula>
    </cfRule>
  </conditionalFormatting>
  <conditionalFormatting sqref="D12">
    <cfRule type="expression" dxfId="172" priority="3" stopIfTrue="1">
      <formula>$A$24</formula>
    </cfRule>
  </conditionalFormatting>
  <conditionalFormatting sqref="D45:F45 H45">
    <cfRule type="expression" dxfId="171" priority="6" stopIfTrue="1">
      <formula>$N$45</formula>
    </cfRule>
  </conditionalFormatting>
  <conditionalFormatting sqref="D46:F46 H46">
    <cfRule type="expression" dxfId="170" priority="5" stopIfTrue="1">
      <formula>$N$46</formula>
    </cfRule>
  </conditionalFormatting>
  <conditionalFormatting sqref="D47:F47 H47">
    <cfRule type="expression" dxfId="169" priority="4" stopIfTrue="1">
      <formula>$N$47</formula>
    </cfRule>
  </conditionalFormatting>
  <conditionalFormatting sqref="D26:H26">
    <cfRule type="expression" dxfId="168" priority="27" stopIfTrue="1">
      <formula>$N$26</formula>
    </cfRule>
  </conditionalFormatting>
  <conditionalFormatting sqref="D27:H27">
    <cfRule type="expression" dxfId="167" priority="26" stopIfTrue="1">
      <formula>$N$27</formula>
    </cfRule>
  </conditionalFormatting>
  <conditionalFormatting sqref="D28:H28">
    <cfRule type="expression" dxfId="166" priority="25" stopIfTrue="1">
      <formula>$N$28</formula>
    </cfRule>
  </conditionalFormatting>
  <conditionalFormatting sqref="D29:H29">
    <cfRule type="expression" dxfId="165" priority="24" stopIfTrue="1">
      <formula>$N$29</formula>
    </cfRule>
  </conditionalFormatting>
  <conditionalFormatting sqref="D30:H30">
    <cfRule type="expression" dxfId="164" priority="23" stopIfTrue="1">
      <formula>$N$30</formula>
    </cfRule>
  </conditionalFormatting>
  <conditionalFormatting sqref="D31:H31">
    <cfRule type="expression" dxfId="163" priority="22" stopIfTrue="1">
      <formula>$N$31</formula>
    </cfRule>
  </conditionalFormatting>
  <conditionalFormatting sqref="D32:H32">
    <cfRule type="expression" dxfId="162" priority="21" stopIfTrue="1">
      <formula>$N$32</formula>
    </cfRule>
  </conditionalFormatting>
  <conditionalFormatting sqref="D33:H33">
    <cfRule type="expression" dxfId="161" priority="20" stopIfTrue="1">
      <formula>$N$33</formula>
    </cfRule>
  </conditionalFormatting>
  <conditionalFormatting sqref="D34:H34">
    <cfRule type="expression" dxfId="160" priority="19" stopIfTrue="1">
      <formula>$N$34</formula>
    </cfRule>
  </conditionalFormatting>
  <conditionalFormatting sqref="D35:H35">
    <cfRule type="expression" dxfId="159" priority="18" stopIfTrue="1">
      <formula>$N$35</formula>
    </cfRule>
  </conditionalFormatting>
  <conditionalFormatting sqref="D36:H36">
    <cfRule type="expression" dxfId="158" priority="17" stopIfTrue="1">
      <formula>$N$36</formula>
    </cfRule>
  </conditionalFormatting>
  <conditionalFormatting sqref="D37:H37">
    <cfRule type="expression" dxfId="157" priority="16" stopIfTrue="1">
      <formula>$N$37</formula>
    </cfRule>
  </conditionalFormatting>
  <conditionalFormatting sqref="D38:H38">
    <cfRule type="expression" dxfId="156" priority="15" stopIfTrue="1">
      <formula>$N$38</formula>
    </cfRule>
  </conditionalFormatting>
  <conditionalFormatting sqref="D39:H39">
    <cfRule type="expression" dxfId="155" priority="14" stopIfTrue="1">
      <formula>$N$39</formula>
    </cfRule>
  </conditionalFormatting>
  <conditionalFormatting sqref="D40:H40">
    <cfRule type="expression" dxfId="154" priority="13" stopIfTrue="1">
      <formula>$N$40</formula>
    </cfRule>
  </conditionalFormatting>
  <conditionalFormatting sqref="D41:H41">
    <cfRule type="expression" dxfId="153" priority="12" stopIfTrue="1">
      <formula>$N$41</formula>
    </cfRule>
  </conditionalFormatting>
  <conditionalFormatting sqref="D42:H42">
    <cfRule type="expression" dxfId="152" priority="11" stopIfTrue="1">
      <formula>$N$42</formula>
    </cfRule>
  </conditionalFormatting>
  <conditionalFormatting sqref="D43:H43">
    <cfRule type="expression" dxfId="151" priority="8" stopIfTrue="1">
      <formula>$N$43</formula>
    </cfRule>
  </conditionalFormatting>
  <conditionalFormatting sqref="D44:H44 G45:G85">
    <cfRule type="expression" dxfId="150" priority="7" stopIfTrue="1">
      <formula>$N$44</formula>
    </cfRule>
  </conditionalFormatting>
  <conditionalFormatting sqref="F10 D11:E11">
    <cfRule type="expression" dxfId="149" priority="10" stopIfTrue="1">
      <formula>$M$5</formula>
    </cfRule>
  </conditionalFormatting>
  <conditionalFormatting sqref="G10:L10">
    <cfRule type="expression" dxfId="148" priority="9" stopIfTrue="1">
      <formula>$A$1</formula>
    </cfRule>
  </conditionalFormatting>
  <conditionalFormatting sqref="I24:K24">
    <cfRule type="expression" dxfId="147" priority="2" stopIfTrue="1">
      <formula>$D$15</formula>
    </cfRule>
  </conditionalFormatting>
  <conditionalFormatting sqref="I23:L23 L24">
    <cfRule type="expression" dxfId="146" priority="1" stopIfTrue="1">
      <formula>$D$15</formula>
    </cfRule>
  </conditionalFormatting>
  <conditionalFormatting sqref="I25:L85">
    <cfRule type="expression" dxfId="145" priority="33" stopIfTrue="1">
      <formula>$AY25</formula>
    </cfRule>
  </conditionalFormatting>
  <conditionalFormatting sqref="J96:J120">
    <cfRule type="expression" dxfId="144" priority="29" stopIfTrue="1">
      <formula>H96</formula>
    </cfRule>
  </conditionalFormatting>
  <conditionalFormatting sqref="K96:K120">
    <cfRule type="expression" dxfId="143" priority="31" stopIfTrue="1">
      <formula>H96</formula>
    </cfRule>
  </conditionalFormatting>
  <conditionalFormatting sqref="L96:L120">
    <cfRule type="expression" dxfId="142" priority="32" stopIfTrue="1">
      <formula>H96</formula>
    </cfRule>
  </conditionalFormatting>
  <dataValidations count="2">
    <dataValidation type="list" allowBlank="1" showInputMessage="1" showErrorMessage="1" sqref="D14:E14" xr:uid="{00000000-0002-0000-1000-000000000000}">
      <formula1>$AC$10:$AC$14</formula1>
    </dataValidation>
    <dataValidation type="list" allowBlank="1" showInputMessage="1" showErrorMessage="1" sqref="D15:E15" xr:uid="{00000000-0002-0000-1000-000001000000}">
      <formula1>$AD$10:$AD$13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EM156"/>
  <sheetViews>
    <sheetView topLeftCell="A10" zoomScale="96" zoomScaleNormal="96" workbookViewId="0">
      <selection activeCell="G21" sqref="G21:M21"/>
    </sheetView>
  </sheetViews>
  <sheetFormatPr defaultRowHeight="12.75"/>
  <cols>
    <col min="1" max="1" width="6.140625" style="21" customWidth="1"/>
    <col min="2" max="2" width="7.140625" style="21" customWidth="1"/>
    <col min="3" max="3" width="16" style="21" customWidth="1"/>
    <col min="4" max="4" width="5.42578125" style="21" customWidth="1"/>
    <col min="5" max="5" width="6" style="21" customWidth="1"/>
    <col min="6" max="6" width="7.140625" style="21" customWidth="1"/>
    <col min="7" max="7" width="15.85546875" style="21" customWidth="1"/>
    <col min="8" max="8" width="16.5703125" style="21" hidden="1" customWidth="1"/>
    <col min="9" max="10" width="15.140625" style="21" customWidth="1"/>
    <col min="11" max="11" width="12.28515625" style="21" customWidth="1"/>
    <col min="12" max="12" width="16.5703125" style="21" hidden="1" customWidth="1"/>
    <col min="13" max="13" width="12.42578125" style="21" customWidth="1"/>
    <col min="14" max="58" width="15.7109375" style="2" hidden="1" customWidth="1"/>
    <col min="59" max="61" width="15.7109375" style="21" hidden="1" customWidth="1"/>
    <col min="62" max="62" width="20.7109375" style="21" hidden="1" customWidth="1"/>
    <col min="63" max="64" width="9.140625" style="21" customWidth="1"/>
    <col min="65" max="70" width="9.140625" style="21"/>
    <col min="71" max="143" width="9.140625" style="20"/>
    <col min="144" max="16384" width="9.140625" style="21"/>
  </cols>
  <sheetData>
    <row r="1" spans="2:143">
      <c r="B1" s="311" t="s">
        <v>2</v>
      </c>
      <c r="C1" s="312"/>
      <c r="D1" s="536" t="s">
        <v>3</v>
      </c>
      <c r="E1" s="537"/>
      <c r="F1" s="537"/>
      <c r="G1" s="538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thickBot="1">
      <c r="B2" s="343" t="str">
        <f>IF(N37=1,"№ кредитного договора:",IF(N37=2,"№ соглашения:"," "))</f>
        <v>№ соглашения:</v>
      </c>
      <c r="C2" s="344"/>
      <c r="D2" s="306">
        <v>123</v>
      </c>
      <c r="E2" s="307"/>
      <c r="F2" s="307"/>
      <c r="G2" s="308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3.5" thickBot="1">
      <c r="B3" s="9"/>
      <c r="C3" s="9"/>
      <c r="D3" s="45"/>
      <c r="E3" s="45"/>
      <c r="F3" s="45"/>
      <c r="G3" s="45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311" t="str">
        <f>IF(N37=1,"Сумма кредита:",IF(N37=2,"Лимит овердрафта:"," "))</f>
        <v>Лимит овердрафта:</v>
      </c>
      <c r="C4" s="312"/>
      <c r="D4" s="556">
        <v>5000</v>
      </c>
      <c r="E4" s="557"/>
      <c r="F4" s="558"/>
      <c r="G4" s="180" t="s">
        <v>189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4.25">
      <c r="B5" s="309" t="s">
        <v>8</v>
      </c>
      <c r="C5" s="310"/>
      <c r="D5" s="533">
        <v>16.100000000000001</v>
      </c>
      <c r="E5" s="534"/>
      <c r="F5" s="535"/>
      <c r="G5" s="181" t="str">
        <f>IF(D5=0," ","% годовых")</f>
        <v>% годовых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 ht="14.25" hidden="1">
      <c r="B6" s="309" t="s">
        <v>10</v>
      </c>
      <c r="C6" s="310"/>
      <c r="D6" s="315">
        <v>0</v>
      </c>
      <c r="E6" s="532"/>
      <c r="F6" s="316"/>
      <c r="G6" s="181" t="str">
        <f>IF(D6=0," ","% в месяц")</f>
        <v xml:space="preserve"> 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>
      <c r="B7" s="345" t="s">
        <v>181</v>
      </c>
      <c r="C7" s="346"/>
      <c r="D7" s="552" t="s">
        <v>183</v>
      </c>
      <c r="E7" s="553"/>
      <c r="F7" s="553"/>
      <c r="G7" s="554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4.25">
      <c r="B8" s="309" t="s">
        <v>13</v>
      </c>
      <c r="C8" s="310"/>
      <c r="D8" s="533">
        <v>36</v>
      </c>
      <c r="E8" s="534"/>
      <c r="F8" s="535"/>
      <c r="G8" s="181" t="str">
        <f>IF(D8=0," ","месяцев")</f>
        <v>месяцев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4.25">
      <c r="B9" s="309" t="s">
        <v>139</v>
      </c>
      <c r="C9" s="310"/>
      <c r="D9" s="523">
        <v>12</v>
      </c>
      <c r="E9" s="524"/>
      <c r="F9" s="525"/>
      <c r="G9" s="181" t="str">
        <f>IF(D9&gt;4,"месяцев",IF(D9&gt;1,"месяца",IF(D9=1,"месяц","месяцев")))</f>
        <v>месяцев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 ht="14.25">
      <c r="B10" s="309" t="s">
        <v>14</v>
      </c>
      <c r="C10" s="310"/>
      <c r="D10" s="374">
        <f ca="1">TODAY()</f>
        <v>45294</v>
      </c>
      <c r="E10" s="522"/>
      <c r="F10" s="375"/>
      <c r="G10" s="181" t="s">
        <v>15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>
      <c r="B11" s="309" t="s">
        <v>16</v>
      </c>
      <c r="C11" s="310"/>
      <c r="D11" s="360" t="s">
        <v>79</v>
      </c>
      <c r="E11" s="361"/>
      <c r="F11" s="361"/>
      <c r="G11" s="362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2" spans="2:143" ht="13.5" thickBot="1">
      <c r="B12" s="125" t="s">
        <v>214</v>
      </c>
      <c r="C12" s="126"/>
      <c r="D12" s="376" t="s">
        <v>215</v>
      </c>
      <c r="E12" s="377"/>
      <c r="F12" s="377"/>
      <c r="G12" s="378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</row>
    <row r="14" spans="2:143" ht="15.75">
      <c r="B14" s="562" t="s">
        <v>223</v>
      </c>
      <c r="C14" s="562"/>
      <c r="D14" s="562"/>
      <c r="E14" s="562"/>
      <c r="F14" s="562"/>
      <c r="G14" s="562"/>
      <c r="H14" s="562"/>
      <c r="I14" s="562"/>
      <c r="J14" s="562"/>
      <c r="K14" s="562"/>
      <c r="L14" s="562"/>
      <c r="M14" s="562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>
      <c r="B15" s="563" t="str">
        <f>D1</f>
        <v>Иванов И.И.</v>
      </c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>
      <c r="B16" s="562" t="s">
        <v>224</v>
      </c>
      <c r="C16" s="562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3" s="21" customFormat="1" ht="15.75">
      <c r="B17" s="509" t="s">
        <v>225</v>
      </c>
      <c r="C17" s="509"/>
      <c r="D17" s="509"/>
      <c r="E17" s="509"/>
      <c r="F17" s="509"/>
      <c r="G17" s="510"/>
      <c r="H17" s="510"/>
      <c r="I17" s="510"/>
      <c r="J17" s="510"/>
    </row>
    <row r="18" spans="2:13" s="21" customFormat="1" ht="15.75">
      <c r="B18" s="183" t="s">
        <v>226</v>
      </c>
      <c r="C18" s="511" t="s">
        <v>227</v>
      </c>
      <c r="D18" s="511"/>
      <c r="E18" s="511"/>
      <c r="F18" s="511"/>
      <c r="G18" s="543" t="s">
        <v>228</v>
      </c>
      <c r="H18" s="543"/>
      <c r="I18" s="543"/>
      <c r="J18" s="543"/>
      <c r="K18" s="543"/>
      <c r="L18" s="543"/>
      <c r="M18" s="543"/>
    </row>
    <row r="19" spans="2:13" s="21" customFormat="1" ht="78.75" customHeight="1">
      <c r="B19" s="184" t="s">
        <v>229</v>
      </c>
      <c r="C19" s="506" t="s">
        <v>230</v>
      </c>
      <c r="D19" s="507"/>
      <c r="E19" s="507"/>
      <c r="F19" s="512"/>
      <c r="G19" s="191">
        <f>D4</f>
        <v>5000</v>
      </c>
      <c r="H19" s="192" t="s">
        <v>231</v>
      </c>
      <c r="I19" s="544" t="s">
        <v>231</v>
      </c>
      <c r="J19" s="544"/>
      <c r="K19" s="544"/>
      <c r="L19" s="544"/>
      <c r="M19" s="545"/>
    </row>
    <row r="20" spans="2:13" s="21" customFormat="1" ht="15.75" customHeight="1">
      <c r="B20" s="513" t="s">
        <v>232</v>
      </c>
      <c r="C20" s="515" t="s">
        <v>233</v>
      </c>
      <c r="D20" s="516"/>
      <c r="E20" s="516"/>
      <c r="F20" s="517"/>
      <c r="G20" s="193">
        <f>D9</f>
        <v>12</v>
      </c>
      <c r="H20" s="190" t="s">
        <v>234</v>
      </c>
      <c r="I20" s="546" t="s">
        <v>234</v>
      </c>
      <c r="J20" s="547"/>
      <c r="K20" s="547"/>
      <c r="L20" s="547"/>
      <c r="M20" s="548"/>
    </row>
    <row r="21" spans="2:13" s="21" customFormat="1" ht="51.75" customHeight="1">
      <c r="B21" s="514"/>
      <c r="C21" s="518"/>
      <c r="D21" s="519"/>
      <c r="E21" s="519"/>
      <c r="F21" s="519"/>
      <c r="G21" s="549" t="s">
        <v>235</v>
      </c>
      <c r="H21" s="550"/>
      <c r="I21" s="550"/>
      <c r="J21" s="550"/>
      <c r="K21" s="550"/>
      <c r="L21" s="550"/>
      <c r="M21" s="551"/>
    </row>
    <row r="22" spans="2:13" s="21" customFormat="1" ht="15.75" customHeight="1">
      <c r="B22" s="513" t="s">
        <v>236</v>
      </c>
      <c r="C22" s="515" t="s">
        <v>237</v>
      </c>
      <c r="D22" s="516"/>
      <c r="E22" s="516"/>
      <c r="F22" s="517"/>
      <c r="G22" s="194">
        <f>D8</f>
        <v>36</v>
      </c>
      <c r="H22" s="544" t="s">
        <v>238</v>
      </c>
      <c r="I22" s="544"/>
      <c r="J22" s="544"/>
      <c r="K22" s="544"/>
      <c r="L22" s="544"/>
      <c r="M22" s="545"/>
    </row>
    <row r="23" spans="2:13" s="21" customFormat="1" ht="117.75" customHeight="1">
      <c r="B23" s="514"/>
      <c r="C23" s="518"/>
      <c r="D23" s="519"/>
      <c r="E23" s="519"/>
      <c r="F23" s="519"/>
      <c r="G23" s="526" t="s">
        <v>239</v>
      </c>
      <c r="H23" s="527"/>
      <c r="I23" s="527"/>
      <c r="J23" s="527"/>
      <c r="K23" s="527"/>
      <c r="L23" s="527"/>
      <c r="M23" s="528"/>
    </row>
    <row r="24" spans="2:13" s="21" customFormat="1" ht="15.75" customHeight="1">
      <c r="B24" s="513" t="s">
        <v>240</v>
      </c>
      <c r="C24" s="515" t="s">
        <v>241</v>
      </c>
      <c r="D24" s="516"/>
      <c r="E24" s="516"/>
      <c r="F24" s="520"/>
      <c r="G24" s="195">
        <f>D5</f>
        <v>16.100000000000001</v>
      </c>
      <c r="H24" s="529" t="s">
        <v>242</v>
      </c>
      <c r="I24" s="529"/>
      <c r="J24" s="529"/>
      <c r="K24" s="529"/>
      <c r="L24" s="529"/>
      <c r="M24" s="530"/>
    </row>
    <row r="25" spans="2:13" s="21" customFormat="1" ht="81" customHeight="1">
      <c r="B25" s="514"/>
      <c r="C25" s="518"/>
      <c r="D25" s="519"/>
      <c r="E25" s="519"/>
      <c r="F25" s="521"/>
      <c r="G25" s="564" t="s">
        <v>243</v>
      </c>
      <c r="H25" s="565"/>
      <c r="I25" s="565"/>
      <c r="J25" s="565"/>
      <c r="K25" s="565"/>
      <c r="L25" s="565"/>
      <c r="M25" s="566"/>
    </row>
    <row r="26" spans="2:13" s="21" customFormat="1" ht="33.75" customHeight="1">
      <c r="B26" s="184" t="s">
        <v>244</v>
      </c>
      <c r="C26" s="506" t="s">
        <v>245</v>
      </c>
      <c r="D26" s="507"/>
      <c r="E26" s="507"/>
      <c r="F26" s="508"/>
      <c r="G26" s="539" t="s">
        <v>246</v>
      </c>
      <c r="H26" s="540"/>
      <c r="I26" s="540"/>
      <c r="J26" s="540"/>
      <c r="K26" s="540"/>
      <c r="L26" s="540"/>
      <c r="M26" s="541"/>
    </row>
    <row r="27" spans="2:13" s="21" customFormat="1" ht="84" customHeight="1">
      <c r="B27" s="184" t="s">
        <v>247</v>
      </c>
      <c r="C27" s="506" t="s">
        <v>248</v>
      </c>
      <c r="D27" s="507"/>
      <c r="E27" s="507"/>
      <c r="F27" s="508"/>
      <c r="G27" s="542" t="s">
        <v>249</v>
      </c>
      <c r="H27" s="542"/>
      <c r="I27" s="542"/>
      <c r="J27" s="542"/>
      <c r="K27" s="542"/>
      <c r="L27" s="542"/>
      <c r="M27" s="542"/>
    </row>
    <row r="28" spans="2:13" s="21" customFormat="1" ht="49.5" customHeight="1">
      <c r="B28" s="184" t="s">
        <v>250</v>
      </c>
      <c r="C28" s="506" t="s">
        <v>251</v>
      </c>
      <c r="D28" s="507"/>
      <c r="E28" s="507"/>
      <c r="F28" s="508"/>
      <c r="G28" s="505" t="s">
        <v>252</v>
      </c>
      <c r="H28" s="505"/>
      <c r="I28" s="505"/>
      <c r="J28" s="505"/>
      <c r="K28" s="505"/>
      <c r="L28" s="505"/>
      <c r="M28" s="505"/>
    </row>
    <row r="29" spans="2:13" s="21" customFormat="1" ht="65.25" customHeight="1">
      <c r="B29" s="184" t="s">
        <v>253</v>
      </c>
      <c r="C29" s="506" t="s">
        <v>254</v>
      </c>
      <c r="D29" s="507"/>
      <c r="E29" s="507"/>
      <c r="F29" s="508"/>
      <c r="G29" s="505" t="s">
        <v>79</v>
      </c>
      <c r="H29" s="505"/>
      <c r="I29" s="505"/>
      <c r="J29" s="505"/>
      <c r="K29" s="505"/>
      <c r="L29" s="505"/>
      <c r="M29" s="505"/>
    </row>
    <row r="30" spans="2:13" s="21" customFormat="1" ht="33.75" customHeight="1">
      <c r="B30" s="184" t="s">
        <v>255</v>
      </c>
      <c r="C30" s="506" t="s">
        <v>256</v>
      </c>
      <c r="D30" s="507"/>
      <c r="E30" s="507"/>
      <c r="F30" s="508"/>
      <c r="G30" s="505" t="s">
        <v>257</v>
      </c>
      <c r="H30" s="505"/>
      <c r="I30" s="505"/>
      <c r="J30" s="505"/>
      <c r="K30" s="505"/>
      <c r="L30" s="505"/>
      <c r="M30" s="505"/>
    </row>
    <row r="31" spans="2:13" s="21" customFormat="1" ht="222" customHeight="1">
      <c r="B31" s="184" t="s">
        <v>258</v>
      </c>
      <c r="C31" s="506" t="s">
        <v>259</v>
      </c>
      <c r="D31" s="507"/>
      <c r="E31" s="507"/>
      <c r="F31" s="508"/>
      <c r="G31" s="542" t="s">
        <v>298</v>
      </c>
      <c r="H31" s="542"/>
      <c r="I31" s="542"/>
      <c r="J31" s="542"/>
      <c r="K31" s="542"/>
      <c r="L31" s="542"/>
      <c r="M31" s="542"/>
    </row>
    <row r="32" spans="2:13" s="21" customFormat="1" ht="250.5" customHeight="1">
      <c r="B32" s="184" t="s">
        <v>261</v>
      </c>
      <c r="C32" s="506" t="s">
        <v>262</v>
      </c>
      <c r="D32" s="507"/>
      <c r="E32" s="507"/>
      <c r="F32" s="508"/>
      <c r="G32" s="542" t="s">
        <v>263</v>
      </c>
      <c r="H32" s="542"/>
      <c r="I32" s="542"/>
      <c r="J32" s="542"/>
      <c r="K32" s="542"/>
      <c r="L32" s="542"/>
      <c r="M32" s="542"/>
    </row>
    <row r="33" spans="1:32" s="21" customFormat="1" ht="50.25" customHeight="1">
      <c r="B33" s="184" t="s">
        <v>264</v>
      </c>
      <c r="C33" s="506" t="s">
        <v>265</v>
      </c>
      <c r="D33" s="507"/>
      <c r="E33" s="507"/>
      <c r="F33" s="508"/>
      <c r="G33" s="505" t="s">
        <v>266</v>
      </c>
      <c r="H33" s="505"/>
      <c r="I33" s="505"/>
      <c r="J33" s="505"/>
      <c r="K33" s="505"/>
      <c r="L33" s="505"/>
      <c r="M33" s="505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s="21" customFormat="1" ht="15.75">
      <c r="B34" s="186"/>
      <c r="C34" s="187"/>
      <c r="D34" s="187"/>
      <c r="E34" s="187"/>
      <c r="F34" s="187"/>
      <c r="G34" s="187"/>
      <c r="H34" s="187"/>
      <c r="I34" s="187"/>
      <c r="J34" s="18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s="21" customFormat="1" ht="15.75">
      <c r="B35" s="559" t="str">
        <f>D1</f>
        <v>Иванов И.И.</v>
      </c>
      <c r="C35" s="560"/>
      <c r="D35" s="560"/>
      <c r="E35" s="560"/>
      <c r="F35" s="560"/>
      <c r="G35" s="531"/>
      <c r="H35" s="531"/>
      <c r="I35" s="188">
        <f ca="1">TODAY()</f>
        <v>45294</v>
      </c>
      <c r="J35" s="18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21" customFormat="1" ht="15.75">
      <c r="B36" s="555" t="s">
        <v>267</v>
      </c>
      <c r="C36" s="555"/>
      <c r="D36" s="555"/>
      <c r="E36" s="555"/>
      <c r="F36" s="555"/>
      <c r="G36" s="555" t="s">
        <v>268</v>
      </c>
      <c r="H36" s="555"/>
      <c r="I36" s="187"/>
      <c r="J36" s="187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s="21" customFormat="1" ht="15.6" customHeight="1">
      <c r="A37" s="196">
        <v>1</v>
      </c>
      <c r="B37" s="2"/>
      <c r="C37" s="2"/>
      <c r="D37" s="2"/>
      <c r="E37" s="2"/>
      <c r="F37" s="2"/>
      <c r="G37" s="342"/>
      <c r="H37" s="342"/>
      <c r="I37" s="342"/>
      <c r="J37" s="77"/>
      <c r="K37" s="77"/>
      <c r="L37" s="77"/>
      <c r="M37" s="77"/>
      <c r="N37" s="127">
        <f>IF(I44=1,1,IF(N44=1,2,IF(O44=1,1,0)))</f>
        <v>2</v>
      </c>
      <c r="O37" s="337" t="s">
        <v>0</v>
      </c>
      <c r="P37" s="337"/>
      <c r="Q37" s="337"/>
      <c r="R37" s="337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s="21" customFormat="1" ht="3" hidden="1" customHeight="1">
      <c r="A38" s="4"/>
      <c r="B38" s="2"/>
      <c r="C38" s="2"/>
      <c r="D38" s="2"/>
      <c r="E38" s="2"/>
      <c r="F38" s="2"/>
      <c r="G38" s="342"/>
      <c r="H38" s="342"/>
      <c r="I38" s="342"/>
      <c r="J38" s="77"/>
      <c r="K38" s="77"/>
      <c r="L38" s="77"/>
      <c r="M38" s="77"/>
      <c r="N38" s="12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s="21" customFormat="1" ht="9.75" hidden="1" customHeight="1">
      <c r="A39" s="4"/>
      <c r="B39" s="2"/>
      <c r="C39" s="2"/>
      <c r="D39" s="2"/>
      <c r="E39" s="2"/>
      <c r="F39" s="2"/>
      <c r="G39" s="342"/>
      <c r="H39" s="342"/>
      <c r="I39" s="342"/>
      <c r="J39" s="77"/>
      <c r="K39" s="77"/>
      <c r="L39" s="77"/>
      <c r="M39" s="77"/>
      <c r="N39" s="12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s="21" customFormat="1" ht="2.25" hidden="1" customHeight="1">
      <c r="A40" s="4"/>
      <c r="B40" s="2"/>
      <c r="C40" s="2"/>
      <c r="D40" s="2"/>
      <c r="E40" s="2"/>
      <c r="F40" s="2"/>
      <c r="G40" s="342"/>
      <c r="H40" s="342"/>
      <c r="I40" s="342"/>
      <c r="J40" s="77"/>
      <c r="K40" s="77"/>
      <c r="L40" s="77"/>
      <c r="M40" s="77"/>
      <c r="N40" s="12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s="21" customFormat="1" ht="14.25" customHeight="1">
      <c r="A41" s="6" t="str">
        <f>IF(I44=1,"СП - КП",IF(N44=1,"Экспресс",IF(O44=1,"Спецпроцедура"," ")))</f>
        <v>Экспресс</v>
      </c>
      <c r="B41" s="561" t="s">
        <v>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2">
        <f>IF(N37=0,1,0)</f>
        <v>0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s="21" customFormat="1" ht="15" hidden="1" customHeight="1">
      <c r="A42" s="4"/>
      <c r="B42" s="2"/>
      <c r="C42" s="2"/>
      <c r="D42" s="2"/>
      <c r="E42" s="2"/>
      <c r="F42" s="2"/>
      <c r="G42" s="2"/>
      <c r="H42" s="2"/>
      <c r="I42" s="4"/>
      <c r="J42" s="4"/>
      <c r="K42" s="4"/>
      <c r="L42" s="4"/>
      <c r="M42" s="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s="21" customFormat="1" ht="15" hidden="1" customHeight="1">
      <c r="A43" s="7"/>
      <c r="H43" s="4"/>
      <c r="I43" s="4" t="s">
        <v>4</v>
      </c>
      <c r="J43" s="4"/>
      <c r="K43" s="4"/>
      <c r="L43" s="4"/>
      <c r="M43" s="4"/>
      <c r="N43" s="2" t="s">
        <v>5</v>
      </c>
      <c r="O43" s="2" t="s">
        <v>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s="21" customFormat="1" ht="15" hidden="1" customHeight="1">
      <c r="A44" s="7"/>
      <c r="H44" s="4"/>
      <c r="I44" s="4">
        <f>IF(D2&gt;288450000000,IF(D2&lt;288499999999,1,IF(D2&gt;288997000000,IF(D2&lt;288997999999,1,0),0)),0)</f>
        <v>0</v>
      </c>
      <c r="J44" s="4"/>
      <c r="K44" s="4"/>
      <c r="L44" s="4"/>
      <c r="M44" s="4"/>
      <c r="N44" s="2">
        <v>1</v>
      </c>
      <c r="O44" s="2">
        <v>0</v>
      </c>
      <c r="P44" s="2">
        <v>0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s="21" customFormat="1" ht="6.75" hidden="1" customHeight="1" thickBot="1">
      <c r="A45" s="8"/>
      <c r="H45" s="10"/>
      <c r="I45" s="10"/>
      <c r="J45" s="10"/>
      <c r="K45" s="10"/>
      <c r="L45" s="10"/>
      <c r="M45" s="10"/>
      <c r="N45" s="2"/>
      <c r="O45" s="2"/>
      <c r="P45" s="130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>
        <v>0</v>
      </c>
    </row>
    <row r="46" spans="1:32" s="21" customFormat="1" ht="15" hidden="1" customHeight="1" thickBot="1">
      <c r="A46" s="7"/>
      <c r="H46" s="12" t="s">
        <v>7</v>
      </c>
      <c r="I46" s="13">
        <f ca="1">G59+H59+A129+D4</f>
        <v>7555.8568427777773</v>
      </c>
      <c r="J46" s="40"/>
      <c r="K46" s="40"/>
      <c r="L46" s="40"/>
      <c r="M46" s="40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>
        <v>6</v>
      </c>
      <c r="AF46" s="2">
        <v>1</v>
      </c>
    </row>
    <row r="47" spans="1:32" s="21" customFormat="1" ht="15.75" hidden="1" customHeight="1">
      <c r="A47" s="7"/>
      <c r="H47" s="4"/>
      <c r="I47" s="4"/>
      <c r="J47" s="4"/>
      <c r="K47" s="4"/>
      <c r="L47" s="4"/>
      <c r="M47" s="4"/>
      <c r="N47" s="337" t="s">
        <v>9</v>
      </c>
      <c r="O47" s="337"/>
      <c r="P47" s="337"/>
      <c r="Q47" s="337"/>
      <c r="R47" s="131">
        <f ca="1">S47-R48-1</f>
        <v>27</v>
      </c>
      <c r="S47" s="2">
        <f ca="1">IF(DAY(D10)=31,31,30)</f>
        <v>30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>
        <v>12</v>
      </c>
      <c r="AF47" s="2">
        <v>3</v>
      </c>
    </row>
    <row r="48" spans="1:32" s="21" customFormat="1" ht="14.25" hidden="1" customHeight="1">
      <c r="A48" s="7"/>
      <c r="H48" s="4">
        <f>D6*12</f>
        <v>0</v>
      </c>
      <c r="I48" s="4"/>
      <c r="J48" s="4"/>
      <c r="K48" s="4"/>
      <c r="L48" s="4"/>
      <c r="M48" s="4"/>
      <c r="N48" s="337" t="s">
        <v>11</v>
      </c>
      <c r="O48" s="337"/>
      <c r="P48" s="337"/>
      <c r="Q48" s="337"/>
      <c r="R48" s="131">
        <f ca="1">DATE(YEAR(0),MONTH(0),DAY(D10)-1)</f>
        <v>2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>
        <v>18</v>
      </c>
      <c r="AF48" s="2">
        <v>6</v>
      </c>
    </row>
    <row r="49" spans="1:143" ht="28.5" hidden="1" customHeight="1">
      <c r="A49" s="16" t="s">
        <v>12</v>
      </c>
      <c r="H49" s="4"/>
      <c r="I49" s="4"/>
      <c r="J49" s="4"/>
      <c r="K49" s="4"/>
      <c r="L49" s="4"/>
      <c r="M49" s="4"/>
      <c r="N49" s="128"/>
      <c r="O49" s="128"/>
      <c r="P49" s="128"/>
      <c r="Q49" s="128"/>
      <c r="R49" s="131"/>
      <c r="AE49" s="2">
        <v>12</v>
      </c>
      <c r="AF49" s="2">
        <v>3</v>
      </c>
    </row>
    <row r="50" spans="1:143" ht="15" hidden="1" customHeight="1">
      <c r="A50" s="75">
        <f ca="1">IF(DAY(D10)&lt;=21,D8,D8+1)</f>
        <v>36</v>
      </c>
      <c r="H50" s="4"/>
      <c r="I50" s="4"/>
      <c r="J50" s="4"/>
      <c r="K50" s="4"/>
      <c r="L50" s="4"/>
      <c r="M50" s="4"/>
      <c r="N50" s="2">
        <f ca="1">IF(N37=1,IF(G4="USD",0,A50),IF(N37=2,A50," "))</f>
        <v>36</v>
      </c>
      <c r="AE50" s="2">
        <v>24</v>
      </c>
      <c r="AF50" s="2">
        <v>6</v>
      </c>
    </row>
    <row r="51" spans="1:143" ht="15" hidden="1" customHeight="1">
      <c r="A51" s="16"/>
      <c r="H51" s="4"/>
      <c r="I51" s="4"/>
      <c r="J51" s="4"/>
      <c r="K51" s="4"/>
      <c r="L51" s="4"/>
      <c r="M51" s="4"/>
      <c r="AE51" s="2">
        <v>36</v>
      </c>
      <c r="AF51" s="2">
        <v>12</v>
      </c>
    </row>
    <row r="52" spans="1:143" ht="15" hidden="1" customHeight="1">
      <c r="A52" s="7"/>
      <c r="H52" s="10"/>
      <c r="I52" s="10"/>
      <c r="J52" s="10"/>
      <c r="K52" s="10"/>
      <c r="L52" s="10"/>
      <c r="M52" s="10"/>
      <c r="N52" s="132">
        <f ca="1">A50-D9</f>
        <v>24</v>
      </c>
      <c r="AE52" s="2">
        <v>48</v>
      </c>
    </row>
    <row r="53" spans="1:143" ht="15.75" hidden="1" customHeight="1">
      <c r="A53" s="4">
        <f ca="1">IF(A50&gt;61,1,0)</f>
        <v>0</v>
      </c>
      <c r="H53" s="10"/>
      <c r="I53" s="18"/>
      <c r="J53" s="18"/>
      <c r="K53" s="18"/>
      <c r="L53" s="18"/>
      <c r="M53" s="18"/>
      <c r="AE53" s="2">
        <v>60</v>
      </c>
    </row>
    <row r="54" spans="1:143" ht="15.75" hidden="1" customHeight="1">
      <c r="A54" s="4"/>
      <c r="H54" s="10"/>
      <c r="I54" s="18"/>
      <c r="J54" s="18"/>
      <c r="K54" s="18"/>
      <c r="L54" s="18"/>
      <c r="M54" s="18"/>
    </row>
    <row r="55" spans="1:143" ht="15.75" hidden="1" customHeight="1" thickBot="1">
      <c r="A55" s="4"/>
      <c r="H55" s="4"/>
      <c r="I55" s="4"/>
      <c r="J55" s="4"/>
      <c r="K55" s="4"/>
      <c r="L55" s="4"/>
      <c r="M55" s="4"/>
    </row>
    <row r="56" spans="1:143" ht="12.75" hidden="1" customHeight="1">
      <c r="A56" s="4"/>
      <c r="B56" s="4"/>
      <c r="C56" s="4"/>
      <c r="D56" s="297" t="s">
        <v>79</v>
      </c>
      <c r="E56" s="297"/>
      <c r="F56" s="297"/>
      <c r="G56" s="297"/>
      <c r="H56" s="4"/>
      <c r="I56" s="4"/>
      <c r="J56" s="4"/>
      <c r="K56" s="4"/>
      <c r="L56" s="4"/>
      <c r="M56" s="4"/>
    </row>
    <row r="57" spans="1:143" ht="12.75" hidden="1" customHeight="1">
      <c r="A57" s="4"/>
      <c r="B57" s="4"/>
      <c r="C57" s="4"/>
      <c r="D57" s="272" t="s">
        <v>79</v>
      </c>
      <c r="E57" s="272"/>
      <c r="F57" s="272"/>
      <c r="G57" s="272"/>
      <c r="H57" s="4"/>
      <c r="I57" s="4"/>
      <c r="J57" s="4"/>
      <c r="K57" s="4"/>
      <c r="L57" s="4"/>
      <c r="M57" s="4"/>
    </row>
    <row r="58" spans="1:143" ht="12.75" hidden="1" customHeight="1">
      <c r="A58" s="4"/>
      <c r="B58" s="4"/>
      <c r="C58" s="4"/>
      <c r="D58" s="272" t="s">
        <v>79</v>
      </c>
      <c r="E58" s="272"/>
      <c r="F58" s="272"/>
      <c r="G58" s="272"/>
      <c r="H58" s="4"/>
      <c r="I58" s="4"/>
      <c r="J58" s="4"/>
      <c r="K58" s="4"/>
      <c r="L58" s="4"/>
      <c r="M58" s="4"/>
    </row>
    <row r="59" spans="1:143" ht="12.75" customHeight="1">
      <c r="A59" s="4"/>
      <c r="B59" s="2"/>
      <c r="C59" s="182"/>
      <c r="D59" s="569">
        <f ca="1">SUM(D62:F122)</f>
        <v>9999.9999999999982</v>
      </c>
      <c r="E59" s="569"/>
      <c r="F59" s="569"/>
      <c r="G59" s="155">
        <f ca="1">SUM(G62:G123)/2</f>
        <v>2555.8568427777773</v>
      </c>
      <c r="H59" s="155">
        <v>0</v>
      </c>
      <c r="I59" s="155">
        <f ca="1">SUM(I62:I109)</f>
        <v>12555.856842777777</v>
      </c>
      <c r="J59" s="155"/>
      <c r="K59" s="155"/>
      <c r="L59" s="155"/>
      <c r="M59" s="155"/>
    </row>
    <row r="60" spans="1:143" ht="24" customHeight="1">
      <c r="A60" s="4"/>
      <c r="B60" s="347" t="s">
        <v>21</v>
      </c>
      <c r="C60" s="348"/>
      <c r="D60" s="573" t="s">
        <v>140</v>
      </c>
      <c r="E60" s="574"/>
      <c r="F60" s="574"/>
      <c r="G60" s="574"/>
      <c r="H60" s="574"/>
      <c r="I60" s="575"/>
      <c r="J60" s="570" t="s">
        <v>141</v>
      </c>
      <c r="K60" s="571"/>
      <c r="L60" s="571"/>
      <c r="M60" s="571"/>
    </row>
    <row r="61" spans="1:143" ht="55.5" customHeight="1">
      <c r="A61" s="4">
        <f ca="1">IF(ABS(A50-D8)&gt;(D9),1,0)</f>
        <v>0</v>
      </c>
      <c r="B61" s="349"/>
      <c r="C61" s="350"/>
      <c r="D61" s="273" t="s">
        <v>22</v>
      </c>
      <c r="E61" s="572"/>
      <c r="F61" s="274"/>
      <c r="G61" s="88" t="s">
        <v>23</v>
      </c>
      <c r="H61" s="88" t="s">
        <v>24</v>
      </c>
      <c r="I61" s="89" t="s">
        <v>25</v>
      </c>
      <c r="J61" s="76" t="s">
        <v>22</v>
      </c>
      <c r="K61" s="76" t="s">
        <v>23</v>
      </c>
      <c r="L61" s="76" t="s">
        <v>24</v>
      </c>
      <c r="M61" s="76" t="s">
        <v>25</v>
      </c>
      <c r="O61" s="133" t="s">
        <v>26</v>
      </c>
      <c r="P61" s="133" t="s">
        <v>27</v>
      </c>
      <c r="Q61" s="133" t="s">
        <v>28</v>
      </c>
      <c r="R61" s="133" t="s">
        <v>29</v>
      </c>
      <c r="S61" s="133" t="s">
        <v>30</v>
      </c>
      <c r="T61" s="133">
        <v>2</v>
      </c>
      <c r="U61" s="133"/>
      <c r="V61" s="133" t="s">
        <v>31</v>
      </c>
      <c r="W61" s="133" t="s">
        <v>32</v>
      </c>
      <c r="X61" s="133" t="s">
        <v>142</v>
      </c>
      <c r="Y61" s="133" t="s">
        <v>142</v>
      </c>
      <c r="Z61" s="133"/>
      <c r="AA61" s="133"/>
      <c r="AB61" s="133"/>
      <c r="AC61" s="133" t="s">
        <v>33</v>
      </c>
      <c r="AD61" s="133" t="s">
        <v>186</v>
      </c>
      <c r="AE61" s="133" t="s">
        <v>28</v>
      </c>
      <c r="AF61" s="133" t="s">
        <v>29</v>
      </c>
      <c r="AG61" s="133" t="s">
        <v>143</v>
      </c>
      <c r="AH61" s="133" t="s">
        <v>143</v>
      </c>
      <c r="AI61" s="133"/>
      <c r="AJ61" s="133"/>
      <c r="AK61" s="133" t="s">
        <v>30</v>
      </c>
      <c r="AL61" s="133" t="s">
        <v>31</v>
      </c>
      <c r="AM61" s="133" t="s">
        <v>32</v>
      </c>
    </row>
    <row r="62" spans="1:143" s="24" customFormat="1" ht="15" customHeight="1">
      <c r="A62" s="4">
        <v>1</v>
      </c>
      <c r="B62" s="317">
        <f ca="1">IF(O62=0,IF(O61=1,"ИТОГО"," "),DATE(YEAR(D10),MONTH(D10)+1,P62))</f>
        <v>45342</v>
      </c>
      <c r="C62" s="317"/>
      <c r="D62" s="318">
        <f ca="1">IF(O62=0,0,IF(G4="USD",ROUND(D4/N50,0),IF(G4="бел. рублей",IF(AY62&lt;=5,AW62,AW62)," ")))</f>
        <v>138.88999999999999</v>
      </c>
      <c r="E62" s="318"/>
      <c r="F62" s="318"/>
      <c r="G62" s="87">
        <f ca="1">IF(N37=1,Q62,IF(N37=2,R62," "))</f>
        <v>60.375</v>
      </c>
      <c r="H62" s="87">
        <v>0</v>
      </c>
      <c r="I62" s="87">
        <f ca="1">SUM(D62:H62)+A124</f>
        <v>199.26499999999999</v>
      </c>
      <c r="J62" s="87">
        <f ca="1">U62</f>
        <v>138.88999999999999</v>
      </c>
      <c r="K62" s="87">
        <f t="shared" ref="K62:K93" ca="1" si="0">AB62</f>
        <v>60.375</v>
      </c>
      <c r="L62" s="87">
        <v>0</v>
      </c>
      <c r="M62" s="87">
        <f ca="1">SUM(J62:L62)+A124</f>
        <v>199.26499999999999</v>
      </c>
      <c r="N62" s="2">
        <v>1</v>
      </c>
      <c r="O62" s="2">
        <f ca="1">IF(N37=1,IF(N50&gt;0,1,0),IF(N37=2,IF(N50&gt;0,1,0),0))</f>
        <v>1</v>
      </c>
      <c r="P62" s="2">
        <f t="shared" ref="P62:P93" ca="1" si="1">IF(D$8+1=A$50,IF(N62=A$50,IF(DATE(YEAR(0),MONTH(0),DAY(D$10)-1)&gt;AT62,DATE(YEAR(0),MONTH(0),DAY(D$10)-1),AT62),AT62),IF(N62=A$50,IF(DATE(YEAR(0),MONTH(0),DAY(D$10)-1)&lt;AT62,DATE(YEAR(0),MONTH(0),DAY(D$10)-1),AT62),AT62))</f>
        <v>20</v>
      </c>
      <c r="Q62" s="134">
        <f t="shared" ref="Q62:Q93" ca="1" si="2">V62</f>
        <v>60.375</v>
      </c>
      <c r="R62" s="134">
        <f t="shared" ref="R62:R93" ca="1" si="3">W62</f>
        <v>60.375</v>
      </c>
      <c r="S62" s="134">
        <f>D4</f>
        <v>5000</v>
      </c>
      <c r="T62" s="134">
        <f>IF(N63&lt;=D$9,D$4/(D$8-N62),D63)</f>
        <v>142.85714285714286</v>
      </c>
      <c r="U62" s="134">
        <f ca="1">AW62</f>
        <v>138.88999999999999</v>
      </c>
      <c r="V62" s="134">
        <f ca="1">S62*R47*D5/36000</f>
        <v>60.375</v>
      </c>
      <c r="W62" s="134">
        <f ca="1">S62*R47*D5/36000</f>
        <v>60.375</v>
      </c>
      <c r="X62" s="134">
        <f ca="1">IF(D4*R47*D5/36000&lt;&gt;0,IF(VALUE(RIGHT(ROUND(D4*R47*D5/36000,0)))&lt;=5,ROUND(D4*R47*D5/36000,0)-VALUE(RIGHT(ROUND(D4*R47*D5/36000,0))),ROUND(D4*R47*D5/36000,0)+10-VALUE(RIGHT(ROUND(D4*R47*D5/36000,0)))),0)</f>
        <v>60</v>
      </c>
      <c r="Y62" s="134">
        <f ca="1">IF(D4*R47*D5/36000&lt;&gt;0,IF(VALUE(RIGHT(ROUND(D4*R47*D5/36000,0)))&lt;=5,ROUND(D4*R47*D5/36000,0)-VALUE(RIGHT(ROUND(D4*R47*D5/36000,0))),ROUND(D4*R47*D5/36000,0)+10-VALUE(RIGHT(ROUND(D4*R47*D5/36000,0)))),0)</f>
        <v>60</v>
      </c>
      <c r="Z62" s="134">
        <f t="shared" ref="Z62:Z93" si="4">IF(N62&lt;=(D$9+1),D$4,Z61-J61)</f>
        <v>5000</v>
      </c>
      <c r="AA62" s="134">
        <f ca="1">Z62*R47*D5/36000</f>
        <v>60.375</v>
      </c>
      <c r="AB62" s="134">
        <f t="shared" ref="AB62:AB93" ca="1" si="5">AA62</f>
        <v>60.375</v>
      </c>
      <c r="AC62" s="134">
        <f ca="1">S62*R47</f>
        <v>135000</v>
      </c>
      <c r="AD62" s="134">
        <f ca="1">Z62*R47</f>
        <v>135000</v>
      </c>
      <c r="AE62" s="134">
        <f t="shared" ref="AE62:AE93" ca="1" si="6">IF(AL62&lt;&gt;0,IF(VALUE(RIGHT(ROUND(AL62,0)))&lt;=5,ROUND(AL62,0)-VALUE(RIGHT(ROUND(AL62,0))),ROUND(AL62,0)+10-VALUE(RIGHT(ROUND(AL62,0)))),0)</f>
        <v>0</v>
      </c>
      <c r="AF62" s="134">
        <f t="shared" ref="AF62:AF93" ca="1" si="7">IF(AM62&lt;&gt;0,IF(VALUE(RIGHT(ROUND(AM62,0)))&lt;=5,ROUND(AM62,0)-VALUE(RIGHT(ROUND(AM62,0))),ROUND(AM62,0)+10-VALUE(RIGHT(ROUND(AM62,0)))),0)</f>
        <v>0</v>
      </c>
      <c r="AG62" s="134">
        <f ca="1">AK62*R47*H48/36000</f>
        <v>0</v>
      </c>
      <c r="AH62" s="134">
        <f t="shared" ref="AH62:AH93" ca="1" si="8">IF(AG62&lt;&gt;0,IF(VALUE(RIGHT(ROUND(AG62,0)))&lt;=5,ROUND(AG62,0)-VALUE(RIGHT(ROUND(AG62,0))),ROUND(AG62,0)+10-VALUE(RIGHT(ROUND(AG62,0)))),0)</f>
        <v>0</v>
      </c>
      <c r="AI62" s="134">
        <f ca="1">Z62*R47*H48/36000</f>
        <v>0</v>
      </c>
      <c r="AJ62" s="134">
        <f t="shared" ref="AJ62:AJ93" ca="1" si="9">IF(AI62&lt;&gt;0,IF(VALUE(RIGHT(ROUND(AI62,0)))&lt;=5,ROUND(AI62,0)-VALUE(RIGHT(ROUND(AI62,0))),ROUND(AI62,0)+10-VALUE(RIGHT(ROUND(AI62,0)))),0)</f>
        <v>0</v>
      </c>
      <c r="AK62" s="134">
        <f t="shared" ref="AK62:AK93" si="10">S62</f>
        <v>5000</v>
      </c>
      <c r="AL62" s="134">
        <f ca="1">AK62*R47*H48/36000</f>
        <v>0</v>
      </c>
      <c r="AM62" s="134">
        <f ca="1">AK62*R47*H48/36000</f>
        <v>0</v>
      </c>
      <c r="AN62" s="132">
        <f ca="1">IF(O62=0,0,MONTH(D10)+1)</f>
        <v>2</v>
      </c>
      <c r="AO62" s="132">
        <f t="shared" ref="AO62:AO93" ca="1" si="11">IF(AN62=13,1,AN62)</f>
        <v>2</v>
      </c>
      <c r="AP62" s="2">
        <f ca="1">IF(O62=0,0,YEAR(D10))</f>
        <v>2024</v>
      </c>
      <c r="AQ62" s="2">
        <f t="shared" ref="AQ62:AQ93" ca="1" si="12">IF(AO62=1,AP62+1,AP62)</f>
        <v>2024</v>
      </c>
      <c r="AR62" s="2">
        <f t="shared" ref="AR62:AR93" ca="1" si="13">IF((AP62/2012)=1,1,IF((AP62/2016)=1,1,IF((AP62/2020)=1,1,IF((AP62/2024)=1,1,IF((AP62/2028)=1,1,IF((AP62/2032)=1,1,0))))))</f>
        <v>1</v>
      </c>
      <c r="AS62" s="2">
        <f t="shared" ref="AS62:AS93" ca="1" si="14">IF(AO62=2,IF(AR62=1,29,28),30)</f>
        <v>29</v>
      </c>
      <c r="AT62" s="2">
        <f t="shared" ref="AT62:AT93" si="15">IF(C$61=30,AS62,20)</f>
        <v>20</v>
      </c>
      <c r="AU62" s="2"/>
      <c r="AV62" s="2"/>
      <c r="AW62" s="142">
        <f ca="1">ROUND(IF(O62=0,0,IF(G4="USD",ROUND(D4/N50,2),IF(G4="бел. рублей",D4/N50," "))),2)</f>
        <v>138.88999999999999</v>
      </c>
      <c r="AX62" s="132" t="str">
        <f ca="1">RIGHT(AW62)</f>
        <v>9</v>
      </c>
      <c r="AY62" s="2">
        <f ca="1">VALUE(AX62)</f>
        <v>9</v>
      </c>
      <c r="AZ62" s="2">
        <f ca="1">10-AY62</f>
        <v>1</v>
      </c>
      <c r="BA62" s="2">
        <f t="shared" ref="BA62:BA93" ca="1" si="16">IF(D$9=0,0,IF(O62=1,1,0))</f>
        <v>1</v>
      </c>
      <c r="BB62" s="2"/>
      <c r="BC62" s="2"/>
      <c r="BD62" s="2"/>
      <c r="BE62" s="2"/>
      <c r="BF62" s="2"/>
      <c r="BG62" s="21"/>
      <c r="BH62" s="143">
        <f ca="1">ROUND((D4-D62*(N50-1)),2)</f>
        <v>138.85</v>
      </c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</row>
    <row r="63" spans="1:143" s="24" customFormat="1" ht="15" customHeight="1">
      <c r="A63" s="4">
        <f t="shared" ref="A63:A85" si="17">A62+1</f>
        <v>2</v>
      </c>
      <c r="B63" s="268">
        <f t="shared" ref="B63:B94" ca="1" si="18">IF(O63=0,IF(O62=1,"ИТОГО"," "),IF(A$50=D$8+1,IF(N63=A$50,IF(MONTH(B62)=2,IF(DAY(D$10)&gt;29,DATE(YEAR(B62),MONTH(B62),AU63),DATE(YEAR(B62),MONTH(B62),P63)),DATE(YEAR(B62),MONTH(B62),P63)),DATE(YEAR(B62),MONTH(B62)+1,P63)),DATE(YEAR(B62),MONTH(B62)+1,P63)))</f>
        <v>45371</v>
      </c>
      <c r="C63" s="268"/>
      <c r="D63" s="269">
        <f ca="1">IF(O63=0,IF(O62=1,D62," "),IF(O63=0,0,IF(O64=1,D62,IF(O64=0,ROUNDUP(D4-D62*(N50-1),2)," "))))</f>
        <v>138.88999999999999</v>
      </c>
      <c r="E63" s="269"/>
      <c r="F63" s="269"/>
      <c r="G63" s="87">
        <f ca="1">IF(O63=0,IF(O62=1,G62," "),IF(N37=1,Q63,IF(N37=2,R63," ")))</f>
        <v>66.462186388888881</v>
      </c>
      <c r="H63" s="87">
        <v>0</v>
      </c>
      <c r="I63" s="87">
        <f t="shared" ref="I63:I94" ca="1" si="19">IF(SUM(D63:H63)=0," ",SUM(D63:H63))</f>
        <v>205.35218638888887</v>
      </c>
      <c r="J63" s="87">
        <f t="shared" ref="J63:J94" ca="1" si="20">IF(O63=1,IF(O64=1,IF(N63&lt;=D$9,U63,AX$63),D$4-AX$63*N$52+AX$63),0)</f>
        <v>142.85714285714286</v>
      </c>
      <c r="K63" s="87">
        <f t="shared" ca="1" si="0"/>
        <v>67.083333333333329</v>
      </c>
      <c r="L63" s="87">
        <v>0</v>
      </c>
      <c r="M63" s="87">
        <f t="shared" ref="M63:M94" ca="1" si="21">IF(SUM(J63:L63)=0," ",SUM(J63:L63))</f>
        <v>209.9404761904762</v>
      </c>
      <c r="N63" s="2">
        <f t="shared" ref="N63:N85" si="22">N62+1</f>
        <v>2</v>
      </c>
      <c r="O63" s="2">
        <f ca="1">IF(N37=1,IF(N50&gt;1,1,0),IF(N37=2,IF(N50&gt;1,1,0),0))</f>
        <v>1</v>
      </c>
      <c r="P63" s="2">
        <f t="shared" ca="1" si="1"/>
        <v>20</v>
      </c>
      <c r="Q63" s="134">
        <f t="shared" ca="1" si="2"/>
        <v>66.462186388888881</v>
      </c>
      <c r="R63" s="134">
        <f t="shared" ca="1" si="3"/>
        <v>66.462186388888881</v>
      </c>
      <c r="S63" s="134">
        <f t="shared" ref="S63:S94" ca="1" si="23">IF(O63=0,0,S62-D62)</f>
        <v>4861.1099999999997</v>
      </c>
      <c r="T63" s="134">
        <f t="shared" ref="T63:T94" si="24">IF(N63&lt;=D$9,D$4/(D$8-N62),D63)</f>
        <v>142.85714285714286</v>
      </c>
      <c r="U63" s="134">
        <f t="shared" ref="U63:U94" si="25">T63</f>
        <v>142.85714285714286</v>
      </c>
      <c r="V63" s="134">
        <f ca="1">IF(O64=1,S62*D5*20/36000+S63*D5*10/36000,IF(O64=0,IF(O63=0,0,S63*D5*R48/36000+S62*D5*20/36000+S63*D5*10/36000)))</f>
        <v>66.462186388888881</v>
      </c>
      <c r="W63" s="134">
        <f ca="1">IF(O64=1,S62*D5*20/36000+S63*D5*10/36000,IF(O64=0,IF(O63=0,0,S63*D5*R48/36000+S62*D5*20/36000+S63*D5*10/36000)))</f>
        <v>66.462186388888881</v>
      </c>
      <c r="X63" s="134">
        <f t="shared" ref="X63:X94" ca="1" si="26">IF(O64=1,$D$4*$D$5*20/36000+$D$4*$D$5*10/36000,IF(O64=0,IF(O63=0,0,$D$4*$D$5*$R$48/36000+$D$4*$D$5*20/36000+$D$4*$D$5*10/36000)))</f>
        <v>67.083333333333329</v>
      </c>
      <c r="Y63" s="134">
        <f t="shared" ref="Y63:Y94" ca="1" si="27">IF(X63&lt;&gt;0,IF(VALUE(RIGHT(ROUND(X63,0)))&lt;=5,ROUND(X63,0)-VALUE(RIGHT(ROUND(X63,0))),ROUND(X63,0)+10-VALUE(RIGHT(ROUND(X63,0)))),0)</f>
        <v>70</v>
      </c>
      <c r="Z63" s="134">
        <f t="shared" si="4"/>
        <v>5000</v>
      </c>
      <c r="AA63" s="134">
        <f ca="1">IF(O64=1,Z62*D$5*20/36000+Z63*D$5*10/36000,IF(O64=0,IF(O63=0,0,Z63*D$5*R$48/36000+Z62*D$5*20/36000+Z63*D$5*10/36000)))</f>
        <v>67.083333333333329</v>
      </c>
      <c r="AB63" s="134">
        <f t="shared" ca="1" si="5"/>
        <v>67.083333333333329</v>
      </c>
      <c r="AC63" s="134">
        <f ca="1">IF(S64=0,S63*R48,(S62*20+S63*10))</f>
        <v>148611.1</v>
      </c>
      <c r="AD63" s="134">
        <f t="shared" ref="AD63:AD68" si="28">IF(Z64=0,Z63*R48,(Z62*20+Z63*10))</f>
        <v>150000</v>
      </c>
      <c r="AE63" s="134">
        <f t="shared" ca="1" si="6"/>
        <v>0</v>
      </c>
      <c r="AF63" s="134">
        <f t="shared" ca="1" si="7"/>
        <v>0</v>
      </c>
      <c r="AG63" s="134">
        <f t="shared" ref="AG63:AG94" ca="1" si="29">IF(O64=1,D$4*H$48*20/36000+D$4*H$48*10/36000,IF(O64=0,IF(O63=0,0,D$4*H$48*R$48/36000+D$4*H$48*20/36000+D$4*H$48*10/36000)))</f>
        <v>0</v>
      </c>
      <c r="AH63" s="134">
        <f t="shared" ca="1" si="8"/>
        <v>0</v>
      </c>
      <c r="AI63" s="134">
        <f t="shared" ref="AI63:AI94" ca="1" si="30">IF(O64=1,Z62*H$48*20/36000+Z63*H$48*10/36000,IF(O64=0,IF(O63=0,0,Z63*H$48*R$48/36000+Z62*H$48*20/36000+Z63*H$48*10/36000)))</f>
        <v>0</v>
      </c>
      <c r="AJ63" s="134">
        <f t="shared" ca="1" si="9"/>
        <v>0</v>
      </c>
      <c r="AK63" s="134">
        <f t="shared" ca="1" si="10"/>
        <v>4861.1099999999997</v>
      </c>
      <c r="AL63" s="134">
        <f ca="1">IF(O64=1,AK62*H48*20/36000+AK63*H48*10/36000,IF(O64=0,IF(O63=0,0,AK63*H48*R48/36000+AK62*H48*20/36000+AK63*H48*10/36000)))</f>
        <v>0</v>
      </c>
      <c r="AM63" s="134">
        <f ca="1">IF(O64=1,AK62*H48*20/36000+AK63*H48*10/36000,IF(O64=0,IF(O63=0,0,AK63*H48*R48/36000+AK62*H48*20/36000+AK63*H48*10/36000)))</f>
        <v>0</v>
      </c>
      <c r="AN63" s="132">
        <f t="shared" ref="AN63:AN94" ca="1" si="31">IF(O63=0,0,MONTH(B62)+1)</f>
        <v>3</v>
      </c>
      <c r="AO63" s="132">
        <f t="shared" ca="1" si="11"/>
        <v>3</v>
      </c>
      <c r="AP63" s="2">
        <f t="shared" ref="AP63:AP94" ca="1" si="32">IF(O63=0,0,YEAR(B62))</f>
        <v>2024</v>
      </c>
      <c r="AQ63" s="2">
        <f t="shared" ca="1" si="12"/>
        <v>2024</v>
      </c>
      <c r="AR63" s="2">
        <f t="shared" ca="1" si="13"/>
        <v>1</v>
      </c>
      <c r="AS63" s="2">
        <f t="shared" ca="1" si="14"/>
        <v>30</v>
      </c>
      <c r="AT63" s="2">
        <f t="shared" si="15"/>
        <v>20</v>
      </c>
      <c r="AU63" s="2">
        <f t="shared" ref="AU63:AU94" ca="1" si="33">AS62</f>
        <v>29</v>
      </c>
      <c r="AV63" s="2"/>
      <c r="AW63" s="142">
        <f ca="1">D$4/(A$50-D$9)</f>
        <v>208.33333333333334</v>
      </c>
      <c r="AX63" s="144">
        <f ca="1">ROUNDUP(AW63,2)</f>
        <v>208.34</v>
      </c>
      <c r="AY63" s="2"/>
      <c r="AZ63" s="2"/>
      <c r="BA63" s="2">
        <f t="shared" ca="1" si="16"/>
        <v>1</v>
      </c>
      <c r="BB63" s="2"/>
      <c r="BC63" s="2"/>
      <c r="BD63" s="2"/>
      <c r="BE63" s="2"/>
      <c r="BF63" s="2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</row>
    <row r="64" spans="1:143" s="24" customFormat="1" ht="15" customHeight="1">
      <c r="A64" s="4">
        <f t="shared" si="17"/>
        <v>3</v>
      </c>
      <c r="B64" s="268">
        <f t="shared" ca="1" si="18"/>
        <v>45402</v>
      </c>
      <c r="C64" s="268"/>
      <c r="D64" s="269">
        <f ca="1">IF(O64=0,IF(O63=1,D62+D63," "),IF(O64=0,0,IF(O65=1,D62,IF(O65=0,D4-D62*(N50-1)," "))))</f>
        <v>138.88999999999999</v>
      </c>
      <c r="E64" s="269"/>
      <c r="F64" s="269"/>
      <c r="G64" s="87">
        <f ca="1">IF(O64=0,IF(O63=1,G62+G63," "),IF(N37=1,Q64,IF(N37=2,R64," ")))</f>
        <v>64.598745555555553</v>
      </c>
      <c r="H64" s="87">
        <v>0</v>
      </c>
      <c r="I64" s="87">
        <f t="shared" ca="1" si="19"/>
        <v>203.48874555555554</v>
      </c>
      <c r="J64" s="87">
        <f t="shared" ca="1" si="20"/>
        <v>147.05882352941177</v>
      </c>
      <c r="K64" s="87">
        <f t="shared" ca="1" si="0"/>
        <v>67.083333333333329</v>
      </c>
      <c r="L64" s="87">
        <v>0</v>
      </c>
      <c r="M64" s="87">
        <f t="shared" ca="1" si="21"/>
        <v>214.14215686274508</v>
      </c>
      <c r="N64" s="2">
        <f t="shared" si="22"/>
        <v>3</v>
      </c>
      <c r="O64" s="2">
        <f ca="1">IF(N37=1,IF(N50&gt;2,1,0),IF(N37=2,IF(N50&gt;2,1,0),0))</f>
        <v>1</v>
      </c>
      <c r="P64" s="2">
        <f t="shared" ca="1" si="1"/>
        <v>20</v>
      </c>
      <c r="Q64" s="134">
        <f t="shared" ca="1" si="2"/>
        <v>64.598745555555553</v>
      </c>
      <c r="R64" s="134">
        <f t="shared" ca="1" si="3"/>
        <v>64.598745555555553</v>
      </c>
      <c r="S64" s="134">
        <f t="shared" ca="1" si="23"/>
        <v>4722.2199999999993</v>
      </c>
      <c r="T64" s="134">
        <f t="shared" si="24"/>
        <v>147.05882352941177</v>
      </c>
      <c r="U64" s="134">
        <f t="shared" si="25"/>
        <v>147.05882352941177</v>
      </c>
      <c r="V64" s="134">
        <f ca="1">IF(O65=1,S63*D5*20/36000+S64*D5*10/36000,IF(O65=0,IF(O64=0,0,S64*D5*R48/36000+S63*D5*20/36000+S64*D5*10/36000)))</f>
        <v>64.598745555555553</v>
      </c>
      <c r="W64" s="134">
        <f ca="1">IF(O65=1,S63*D5*20/36000+S64*D5*10/36000,IF(O65=0,IF(O64=0,0,S64*D5*R48/36000+S63*D5*20/36000+S64*D5*10/36000)))</f>
        <v>64.598745555555553</v>
      </c>
      <c r="X64" s="134">
        <f t="shared" ca="1" si="26"/>
        <v>67.083333333333329</v>
      </c>
      <c r="Y64" s="134">
        <f t="shared" ca="1" si="27"/>
        <v>70</v>
      </c>
      <c r="Z64" s="134">
        <f t="shared" si="4"/>
        <v>5000</v>
      </c>
      <c r="AA64" s="134">
        <f ca="1">IF(O65=1,Z63*D$5*20/36000+Z64*D$5*10/36000,IF(O65=0,IF(O64=0,0,Z64*D$5*R$48/36000+Z63*D$5*20/36000+Z64*D$5*10/36000)))</f>
        <v>67.083333333333329</v>
      </c>
      <c r="AB64" s="134">
        <f t="shared" ca="1" si="5"/>
        <v>67.083333333333329</v>
      </c>
      <c r="AC64" s="134">
        <f ca="1">IF(S65=0,S64*R48,(S63*20+S64*10))</f>
        <v>144444.4</v>
      </c>
      <c r="AD64" s="134">
        <f t="shared" si="28"/>
        <v>150000</v>
      </c>
      <c r="AE64" s="134">
        <f t="shared" ca="1" si="6"/>
        <v>0</v>
      </c>
      <c r="AF64" s="134">
        <f t="shared" ca="1" si="7"/>
        <v>0</v>
      </c>
      <c r="AG64" s="134">
        <f t="shared" ca="1" si="29"/>
        <v>0</v>
      </c>
      <c r="AH64" s="134">
        <f t="shared" ca="1" si="8"/>
        <v>0</v>
      </c>
      <c r="AI64" s="134">
        <f t="shared" ca="1" si="30"/>
        <v>0</v>
      </c>
      <c r="AJ64" s="134">
        <f t="shared" ca="1" si="9"/>
        <v>0</v>
      </c>
      <c r="AK64" s="134">
        <f t="shared" ca="1" si="10"/>
        <v>4722.2199999999993</v>
      </c>
      <c r="AL64" s="134">
        <f ca="1">IF(O65=1,AK63*H48*20/36000+AK64*H48*10/36000,IF(O65=0,IF(O64=0,0,AK64*H48*R48/36000+AK63*H48*20/36000+AK64*H48*10/36000)))</f>
        <v>0</v>
      </c>
      <c r="AM64" s="134">
        <f ca="1">IF(O65=1,AK63*H48*20/36000+AK64*H48*10/36000,IF(O65=0,IF(O64=0,0,AK64*H48*R48/36000+AK63*H48*20/36000+AK64*H48*10/36000)))</f>
        <v>0</v>
      </c>
      <c r="AN64" s="132">
        <f t="shared" ca="1" si="31"/>
        <v>4</v>
      </c>
      <c r="AO64" s="132">
        <f t="shared" ca="1" si="11"/>
        <v>4</v>
      </c>
      <c r="AP64" s="2">
        <f t="shared" ca="1" si="32"/>
        <v>2024</v>
      </c>
      <c r="AQ64" s="2">
        <f t="shared" ca="1" si="12"/>
        <v>2024</v>
      </c>
      <c r="AR64" s="2">
        <f t="shared" ca="1" si="13"/>
        <v>1</v>
      </c>
      <c r="AS64" s="2">
        <f t="shared" ca="1" si="14"/>
        <v>30</v>
      </c>
      <c r="AT64" s="2">
        <f t="shared" si="15"/>
        <v>20</v>
      </c>
      <c r="AU64" s="2">
        <f t="shared" ca="1" si="33"/>
        <v>30</v>
      </c>
      <c r="AV64" s="2"/>
      <c r="AW64" s="2"/>
      <c r="AX64" s="2"/>
      <c r="AY64" s="2"/>
      <c r="AZ64" s="2"/>
      <c r="BA64" s="2">
        <f t="shared" ca="1" si="16"/>
        <v>1</v>
      </c>
      <c r="BB64" s="2"/>
      <c r="BC64" s="2"/>
      <c r="BD64" s="2"/>
      <c r="BE64" s="2"/>
      <c r="BF64" s="2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</row>
    <row r="65" spans="1:143" s="24" customFormat="1" ht="15" customHeight="1">
      <c r="A65" s="4">
        <f t="shared" si="17"/>
        <v>4</v>
      </c>
      <c r="B65" s="268">
        <f t="shared" ca="1" si="18"/>
        <v>45432</v>
      </c>
      <c r="C65" s="268"/>
      <c r="D65" s="269">
        <f ca="1">IF(O65=0,IF(O64=1,D62+D63+D64," "),IF(O65=0,0,IF(O66=1,D62,IF(O66=0,D4-D62*(N50-1)," "))))</f>
        <v>138.88999999999999</v>
      </c>
      <c r="E65" s="269"/>
      <c r="F65" s="269"/>
      <c r="G65" s="87">
        <f ca="1">IF(O65=0,IF(O64=1,G62+G63+G64," "),IF(N37=1,Q65,IF(N37=2,R65," ")))</f>
        <v>62.735304722222217</v>
      </c>
      <c r="H65" s="87">
        <v>0</v>
      </c>
      <c r="I65" s="87">
        <f t="shared" ca="1" si="19"/>
        <v>201.62530472222221</v>
      </c>
      <c r="J65" s="87">
        <f t="shared" ca="1" si="20"/>
        <v>151.5151515151515</v>
      </c>
      <c r="K65" s="87">
        <f t="shared" ca="1" si="0"/>
        <v>67.083333333333329</v>
      </c>
      <c r="L65" s="87">
        <v>0</v>
      </c>
      <c r="M65" s="87">
        <f t="shared" ca="1" si="21"/>
        <v>218.59848484848482</v>
      </c>
      <c r="N65" s="2">
        <f t="shared" si="22"/>
        <v>4</v>
      </c>
      <c r="O65" s="2">
        <f ca="1">IF(N37=1,IF(N50&gt;3,1,0),IF(N37=2,IF(N50&gt;3,1,0),0))</f>
        <v>1</v>
      </c>
      <c r="P65" s="2">
        <f t="shared" ca="1" si="1"/>
        <v>20</v>
      </c>
      <c r="Q65" s="134">
        <f t="shared" ca="1" si="2"/>
        <v>62.735304722222217</v>
      </c>
      <c r="R65" s="134">
        <f t="shared" ca="1" si="3"/>
        <v>62.735304722222217</v>
      </c>
      <c r="S65" s="134">
        <f t="shared" ca="1" si="23"/>
        <v>4583.329999999999</v>
      </c>
      <c r="T65" s="134">
        <f t="shared" si="24"/>
        <v>151.5151515151515</v>
      </c>
      <c r="U65" s="134">
        <f t="shared" si="25"/>
        <v>151.5151515151515</v>
      </c>
      <c r="V65" s="134">
        <f ca="1">IF(O66=1,S64*D5*20/36000+S65*D5*10/36000,IF(O66=0,IF(O65=0,0,S65*D5*R48/36000+S64*D5*20/36000+S65*D5*10/36000)))</f>
        <v>62.735304722222217</v>
      </c>
      <c r="W65" s="134">
        <f ca="1">IF(O66=1,S64*D5*20/36000+S65*D5*10/36000,IF(O66=0,IF(O65=0,0,S65*D5*R48/36000+S64*D5*20/36000+S65*D5*10/36000)))</f>
        <v>62.735304722222217</v>
      </c>
      <c r="X65" s="134">
        <f t="shared" ca="1" si="26"/>
        <v>67.083333333333329</v>
      </c>
      <c r="Y65" s="134">
        <f t="shared" ca="1" si="27"/>
        <v>70</v>
      </c>
      <c r="Z65" s="134">
        <f t="shared" si="4"/>
        <v>5000</v>
      </c>
      <c r="AA65" s="134">
        <f ca="1">IF(O66=1,Z64*D$5*20/36000+Z65*D$5*10/36000,IF(O66=0,IF(O65=0,0,Z65*D$5*R$48/36000+Z64*D$5*20/36000+Z65*D$5*10/36000)))</f>
        <v>67.083333333333329</v>
      </c>
      <c r="AB65" s="134">
        <f t="shared" ca="1" si="5"/>
        <v>67.083333333333329</v>
      </c>
      <c r="AC65" s="134">
        <f ca="1">IF(S66=0,S65*R48,(S64*20+S65*10))</f>
        <v>140277.69999999998</v>
      </c>
      <c r="AD65" s="134">
        <f t="shared" si="28"/>
        <v>150000</v>
      </c>
      <c r="AE65" s="134">
        <f t="shared" ca="1" si="6"/>
        <v>0</v>
      </c>
      <c r="AF65" s="134">
        <f t="shared" ca="1" si="7"/>
        <v>0</v>
      </c>
      <c r="AG65" s="134">
        <f t="shared" ca="1" si="29"/>
        <v>0</v>
      </c>
      <c r="AH65" s="134">
        <f t="shared" ca="1" si="8"/>
        <v>0</v>
      </c>
      <c r="AI65" s="134">
        <f t="shared" ca="1" si="30"/>
        <v>0</v>
      </c>
      <c r="AJ65" s="134">
        <f t="shared" ca="1" si="9"/>
        <v>0</v>
      </c>
      <c r="AK65" s="134">
        <f t="shared" ca="1" si="10"/>
        <v>4583.329999999999</v>
      </c>
      <c r="AL65" s="134">
        <f ca="1">IF(O66=1,AK64*H48*20/36000+AK65*H48*10/36000,IF(O66=0,IF(O65=0,0,AK65*H48*R48/36000+AK64*H48*20/36000+AK65*H48*10/36000)))</f>
        <v>0</v>
      </c>
      <c r="AM65" s="134">
        <f ca="1">IF(O66=1,AK64*H48*20/36000+AK65*H48*10/36000,IF(O66=0,IF(O65=0,0,AK65*H48*R48/36000+AK64*H48*20/36000+AK65*H48*10/36000)))</f>
        <v>0</v>
      </c>
      <c r="AN65" s="132">
        <f t="shared" ca="1" si="31"/>
        <v>5</v>
      </c>
      <c r="AO65" s="132">
        <f t="shared" ca="1" si="11"/>
        <v>5</v>
      </c>
      <c r="AP65" s="2">
        <f t="shared" ca="1" si="32"/>
        <v>2024</v>
      </c>
      <c r="AQ65" s="2">
        <f t="shared" ca="1" si="12"/>
        <v>2024</v>
      </c>
      <c r="AR65" s="2">
        <f t="shared" ca="1" si="13"/>
        <v>1</v>
      </c>
      <c r="AS65" s="2">
        <f t="shared" ca="1" si="14"/>
        <v>30</v>
      </c>
      <c r="AT65" s="2">
        <f t="shared" si="15"/>
        <v>20</v>
      </c>
      <c r="AU65" s="2">
        <f t="shared" ca="1" si="33"/>
        <v>30</v>
      </c>
      <c r="AV65" s="2"/>
      <c r="AW65" s="2"/>
      <c r="AX65" s="2"/>
      <c r="AY65" s="2"/>
      <c r="AZ65" s="2"/>
      <c r="BA65" s="2">
        <f t="shared" ca="1" si="16"/>
        <v>1</v>
      </c>
      <c r="BB65" s="2"/>
      <c r="BC65" s="2"/>
      <c r="BD65" s="2"/>
      <c r="BE65" s="2"/>
      <c r="BF65" s="2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</row>
    <row r="66" spans="1:143" s="24" customFormat="1" ht="15" customHeight="1">
      <c r="A66" s="4">
        <f t="shared" si="17"/>
        <v>5</v>
      </c>
      <c r="B66" s="268">
        <f t="shared" ca="1" si="18"/>
        <v>45463</v>
      </c>
      <c r="C66" s="268"/>
      <c r="D66" s="269">
        <f ca="1">IF(O66=0,IF(O65=1,D62+D63+D64+D65," "),IF(O66=0,0,IF(O67=1,D62,IF(O67=0,D4-D62*(N50-1)," "))))</f>
        <v>138.88999999999999</v>
      </c>
      <c r="E66" s="269"/>
      <c r="F66" s="269"/>
      <c r="G66" s="87">
        <f ca="1">IF(O66=0,IF(O65=1,G62+G63+G64+G65," "),IF(N37=1,Q66,IF(N37=2,R66," ")))</f>
        <v>60.871863888888882</v>
      </c>
      <c r="H66" s="87">
        <v>0</v>
      </c>
      <c r="I66" s="87">
        <f t="shared" ca="1" si="19"/>
        <v>199.76186388888885</v>
      </c>
      <c r="J66" s="87">
        <f t="shared" ca="1" si="20"/>
        <v>156.25</v>
      </c>
      <c r="K66" s="87">
        <f t="shared" ca="1" si="0"/>
        <v>67.083333333333329</v>
      </c>
      <c r="L66" s="87">
        <v>0</v>
      </c>
      <c r="M66" s="87">
        <f t="shared" ca="1" si="21"/>
        <v>223.33333333333331</v>
      </c>
      <c r="N66" s="2">
        <f t="shared" si="22"/>
        <v>5</v>
      </c>
      <c r="O66" s="2">
        <f ca="1">IF(N37=1,IF(N50&gt;4,1,0),IF(N37=2,IF(N50&gt;4,1,0),0))</f>
        <v>1</v>
      </c>
      <c r="P66" s="2">
        <f t="shared" ca="1" si="1"/>
        <v>20</v>
      </c>
      <c r="Q66" s="134">
        <f t="shared" ca="1" si="2"/>
        <v>60.871863888888882</v>
      </c>
      <c r="R66" s="134">
        <f t="shared" ca="1" si="3"/>
        <v>60.871863888888882</v>
      </c>
      <c r="S66" s="134">
        <f t="shared" ca="1" si="23"/>
        <v>4444.4399999999987</v>
      </c>
      <c r="T66" s="134">
        <f t="shared" si="24"/>
        <v>156.25</v>
      </c>
      <c r="U66" s="134">
        <f t="shared" si="25"/>
        <v>156.25</v>
      </c>
      <c r="V66" s="134">
        <f ca="1">IF(O67=1,S65*D5*20/36000+S66*D5*10/36000,IF(O67=0,IF(O66=0,0,S66*D5*R48/36000+S65*D5*20/36000+S66*D5*10/36000)))</f>
        <v>60.871863888888882</v>
      </c>
      <c r="W66" s="134">
        <f ca="1">IF(O67=1,S65*D5*20/36000+S66*D5*10/36000,IF(O67=0,IF(O66=0,0,S66*D5*R48/36000+S65*D5*20/36000+S66*D5*10/36000)))</f>
        <v>60.871863888888882</v>
      </c>
      <c r="X66" s="134">
        <f t="shared" ca="1" si="26"/>
        <v>67.083333333333329</v>
      </c>
      <c r="Y66" s="134">
        <f t="shared" ca="1" si="27"/>
        <v>70</v>
      </c>
      <c r="Z66" s="134">
        <f t="shared" si="4"/>
        <v>5000</v>
      </c>
      <c r="AA66" s="134">
        <f ca="1">IF(O67=1,Z65*D$5*20/36000+Z66*D$5*10/36000,IF(O67=0,IF(O66=0,0,Z66*D$5*R$48/36000+Z65*D$5*20/36000+Z66*D$5*10/36000)))</f>
        <v>67.083333333333329</v>
      </c>
      <c r="AB66" s="134">
        <f t="shared" ca="1" si="5"/>
        <v>67.083333333333329</v>
      </c>
      <c r="AC66" s="134">
        <f ca="1">IF(S67=0,S66*R48,(S65*20+S66*10))</f>
        <v>136110.99999999997</v>
      </c>
      <c r="AD66" s="134">
        <f t="shared" si="28"/>
        <v>150000</v>
      </c>
      <c r="AE66" s="134">
        <f t="shared" ca="1" si="6"/>
        <v>0</v>
      </c>
      <c r="AF66" s="134">
        <f t="shared" ca="1" si="7"/>
        <v>0</v>
      </c>
      <c r="AG66" s="134">
        <f t="shared" ca="1" si="29"/>
        <v>0</v>
      </c>
      <c r="AH66" s="134">
        <f t="shared" ca="1" si="8"/>
        <v>0</v>
      </c>
      <c r="AI66" s="134">
        <f t="shared" ca="1" si="30"/>
        <v>0</v>
      </c>
      <c r="AJ66" s="134">
        <f t="shared" ca="1" si="9"/>
        <v>0</v>
      </c>
      <c r="AK66" s="134">
        <f t="shared" ca="1" si="10"/>
        <v>4444.4399999999987</v>
      </c>
      <c r="AL66" s="134">
        <f ca="1">IF(O67=1,AK65*H48*20/36000+AK66*H48*10/36000,IF(O67=0,IF(O66=0,0,AK66*H48*R48/36000+AK65*H48*20/36000+AK66*H48*10/36000)))</f>
        <v>0</v>
      </c>
      <c r="AM66" s="134">
        <f ca="1">IF(O67=1,AK65*H48*20/36000+AK66*H48*10/36000,IF(O67=0,IF(O66=0,0,AK66*H48*R48/36000+AK65*H48*20/36000+AK66*H48*10/36000)))</f>
        <v>0</v>
      </c>
      <c r="AN66" s="132">
        <f t="shared" ca="1" si="31"/>
        <v>6</v>
      </c>
      <c r="AO66" s="132">
        <f t="shared" ca="1" si="11"/>
        <v>6</v>
      </c>
      <c r="AP66" s="2">
        <f t="shared" ca="1" si="32"/>
        <v>2024</v>
      </c>
      <c r="AQ66" s="2">
        <f t="shared" ca="1" si="12"/>
        <v>2024</v>
      </c>
      <c r="AR66" s="2">
        <f t="shared" ca="1" si="13"/>
        <v>1</v>
      </c>
      <c r="AS66" s="2">
        <f t="shared" ca="1" si="14"/>
        <v>30</v>
      </c>
      <c r="AT66" s="2">
        <f t="shared" si="15"/>
        <v>20</v>
      </c>
      <c r="AU66" s="2">
        <f t="shared" ca="1" si="33"/>
        <v>30</v>
      </c>
      <c r="AV66" s="2"/>
      <c r="AW66" s="2"/>
      <c r="AX66" s="2"/>
      <c r="AY66" s="2"/>
      <c r="AZ66" s="2"/>
      <c r="BA66" s="2">
        <f t="shared" ca="1" si="16"/>
        <v>1</v>
      </c>
      <c r="BB66" s="2"/>
      <c r="BC66" s="2"/>
      <c r="BD66" s="2"/>
      <c r="BE66" s="2"/>
      <c r="BF66" s="2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</row>
    <row r="67" spans="1:143" s="24" customFormat="1" ht="15" customHeight="1">
      <c r="A67" s="4">
        <f t="shared" si="17"/>
        <v>6</v>
      </c>
      <c r="B67" s="268">
        <f t="shared" ca="1" si="18"/>
        <v>45493</v>
      </c>
      <c r="C67" s="268"/>
      <c r="D67" s="269">
        <f ca="1">IF(O67=0,IF(O66=1,D62+D63+D64+D65+D66," "),IF(O67=0,0,IF(O68=1,D62,IF(O68=0,ROUNDUP((D4-D62*(N50-1)),2)," "))))</f>
        <v>138.88999999999999</v>
      </c>
      <c r="E67" s="269"/>
      <c r="F67" s="269"/>
      <c r="G67" s="87">
        <f ca="1">IF(O67=0,IF(O66=1,G62+G63+G64+G65+G66," "),IF(N37=1,Q67,IF(N37=2,R67," ")))</f>
        <v>59.008423055555539</v>
      </c>
      <c r="H67" s="87">
        <v>0</v>
      </c>
      <c r="I67" s="87">
        <f t="shared" ca="1" si="19"/>
        <v>197.89842305555553</v>
      </c>
      <c r="J67" s="87">
        <f t="shared" ca="1" si="20"/>
        <v>161.29032258064515</v>
      </c>
      <c r="K67" s="87">
        <f t="shared" ca="1" si="0"/>
        <v>67.083333333333329</v>
      </c>
      <c r="L67" s="87">
        <v>0</v>
      </c>
      <c r="M67" s="87">
        <f t="shared" ca="1" si="21"/>
        <v>228.3736559139785</v>
      </c>
      <c r="N67" s="2">
        <f t="shared" si="22"/>
        <v>6</v>
      </c>
      <c r="O67" s="2">
        <f ca="1">IF(N37=1,IF(N50&gt;5,1,0),IF(N37=2,IF(N50&gt;5,1,0),0))</f>
        <v>1</v>
      </c>
      <c r="P67" s="2">
        <f t="shared" ca="1" si="1"/>
        <v>20</v>
      </c>
      <c r="Q67" s="134">
        <f t="shared" ca="1" si="2"/>
        <v>59.008423055555539</v>
      </c>
      <c r="R67" s="134">
        <f t="shared" ca="1" si="3"/>
        <v>59.008423055555539</v>
      </c>
      <c r="S67" s="134">
        <f t="shared" ca="1" si="23"/>
        <v>4305.5499999999984</v>
      </c>
      <c r="T67" s="134">
        <f t="shared" si="24"/>
        <v>161.29032258064515</v>
      </c>
      <c r="U67" s="134">
        <f t="shared" si="25"/>
        <v>161.29032258064515</v>
      </c>
      <c r="V67" s="134">
        <f ca="1">IF(O68=1,S66*D5*20/36000+S67*D5*10/36000,IF(O68=0,IF(O67=0,0,S67*D5*R48/36000+S66*D5*20/36000+S67*D5*10/36000)))</f>
        <v>59.008423055555539</v>
      </c>
      <c r="W67" s="134">
        <f ca="1">IF(O68=1,S66*D5*20/36000+S67*D5*10/36000,IF(O68=0,IF(O67=0,0,S67*D5*R48/36000+S66*D5*20/36000+S67*D5*10/36000)))</f>
        <v>59.008423055555539</v>
      </c>
      <c r="X67" s="134">
        <f t="shared" ca="1" si="26"/>
        <v>67.083333333333329</v>
      </c>
      <c r="Y67" s="134">
        <f t="shared" ca="1" si="27"/>
        <v>70</v>
      </c>
      <c r="Z67" s="134">
        <f t="shared" si="4"/>
        <v>5000</v>
      </c>
      <c r="AA67" s="134">
        <f ca="1">IF(O68=1,Z66*D$5*20/36000+Z67*D$5*10/36000,IF(O68=0,IF(O67=0,0,Z67*D$5*R$48/36000+Z66*D$5*20/36000+Z67*D$5*10/36000)))</f>
        <v>67.083333333333329</v>
      </c>
      <c r="AB67" s="134">
        <f t="shared" ca="1" si="5"/>
        <v>67.083333333333329</v>
      </c>
      <c r="AC67" s="134">
        <f ca="1">IF(S68=0,S67*R48,(S66*20+S67*10))</f>
        <v>131944.29999999996</v>
      </c>
      <c r="AD67" s="134">
        <f t="shared" si="28"/>
        <v>150000</v>
      </c>
      <c r="AE67" s="134">
        <f t="shared" ca="1" si="6"/>
        <v>0</v>
      </c>
      <c r="AF67" s="134">
        <f t="shared" ca="1" si="7"/>
        <v>0</v>
      </c>
      <c r="AG67" s="134">
        <f t="shared" ca="1" si="29"/>
        <v>0</v>
      </c>
      <c r="AH67" s="134">
        <f t="shared" ca="1" si="8"/>
        <v>0</v>
      </c>
      <c r="AI67" s="134">
        <f t="shared" ca="1" si="30"/>
        <v>0</v>
      </c>
      <c r="AJ67" s="134">
        <f t="shared" ca="1" si="9"/>
        <v>0</v>
      </c>
      <c r="AK67" s="134">
        <f t="shared" ca="1" si="10"/>
        <v>4305.5499999999984</v>
      </c>
      <c r="AL67" s="134">
        <f ca="1">IF(O68=1,AK66*H48*20/36000+AK67*H48*10/36000,IF(O68=0,IF(O67=0,0,AK67*H48*R48/36000+AK66*H48*20/36000+AK67*H48*10/36000)))</f>
        <v>0</v>
      </c>
      <c r="AM67" s="134">
        <f ca="1">IF(O68=1,AK66*H48*20/36000+AK67*H48*10/36000,IF(O68=0,IF(O67=0,0,AK67*H48*R48/36000+AK66*H48*20/36000+AK67*H48*10/36000)))</f>
        <v>0</v>
      </c>
      <c r="AN67" s="132">
        <f t="shared" ca="1" si="31"/>
        <v>7</v>
      </c>
      <c r="AO67" s="132">
        <f t="shared" ca="1" si="11"/>
        <v>7</v>
      </c>
      <c r="AP67" s="2">
        <f t="shared" ca="1" si="32"/>
        <v>2024</v>
      </c>
      <c r="AQ67" s="2">
        <f t="shared" ca="1" si="12"/>
        <v>2024</v>
      </c>
      <c r="AR67" s="2">
        <f t="shared" ca="1" si="13"/>
        <v>1</v>
      </c>
      <c r="AS67" s="2">
        <f t="shared" ca="1" si="14"/>
        <v>30</v>
      </c>
      <c r="AT67" s="2">
        <f t="shared" si="15"/>
        <v>20</v>
      </c>
      <c r="AU67" s="2">
        <f t="shared" ca="1" si="33"/>
        <v>30</v>
      </c>
      <c r="AV67" s="2"/>
      <c r="AW67" s="2"/>
      <c r="AX67" s="2"/>
      <c r="AY67" s="2"/>
      <c r="AZ67" s="2"/>
      <c r="BA67" s="2">
        <f t="shared" ca="1" si="16"/>
        <v>1</v>
      </c>
      <c r="BB67" s="2"/>
      <c r="BC67" s="2"/>
      <c r="BD67" s="2"/>
      <c r="BE67" s="2"/>
      <c r="BF67" s="2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</row>
    <row r="68" spans="1:143" s="24" customFormat="1" ht="15" customHeight="1">
      <c r="A68" s="19">
        <f t="shared" si="17"/>
        <v>7</v>
      </c>
      <c r="B68" s="268">
        <f t="shared" ca="1" si="18"/>
        <v>45524</v>
      </c>
      <c r="C68" s="268"/>
      <c r="D68" s="269">
        <f ca="1">IF(O68=0,IF(O67=1,D62+D63+D64+D65+D66+D67," "),IF(O68=0," ",IF(O69=1,D62,IF(O69=0,ROUNDUP((D4-D62*(N50-1)),2)," "))))</f>
        <v>138.88999999999999</v>
      </c>
      <c r="E68" s="269"/>
      <c r="F68" s="269"/>
      <c r="G68" s="87">
        <f ca="1">IF(O68=0,IF(O67=1,G62+G63+G64+G65+G66+G67," "),IF(N37=1,Q68,IF(N37=2,R68," ")))</f>
        <v>57.144982222222211</v>
      </c>
      <c r="H68" s="87">
        <v>0</v>
      </c>
      <c r="I68" s="87">
        <f t="shared" ca="1" si="19"/>
        <v>196.0349822222222</v>
      </c>
      <c r="J68" s="87">
        <f t="shared" ca="1" si="20"/>
        <v>166.66666666666666</v>
      </c>
      <c r="K68" s="87">
        <f t="shared" ca="1" si="0"/>
        <v>67.083333333333329</v>
      </c>
      <c r="L68" s="87">
        <v>0</v>
      </c>
      <c r="M68" s="87">
        <f t="shared" ca="1" si="21"/>
        <v>233.75</v>
      </c>
      <c r="N68" s="2">
        <f t="shared" si="22"/>
        <v>7</v>
      </c>
      <c r="O68" s="2">
        <f ca="1">IF(N37=1,IF(N50&gt;6,1,0),IF(N37=2,IF(N50&gt;6,1,0),0))</f>
        <v>1</v>
      </c>
      <c r="P68" s="2">
        <f t="shared" ca="1" si="1"/>
        <v>20</v>
      </c>
      <c r="Q68" s="134">
        <f t="shared" ca="1" si="2"/>
        <v>57.144982222222211</v>
      </c>
      <c r="R68" s="134">
        <f t="shared" ca="1" si="3"/>
        <v>57.144982222222211</v>
      </c>
      <c r="S68" s="134">
        <f t="shared" ca="1" si="23"/>
        <v>4166.659999999998</v>
      </c>
      <c r="T68" s="134">
        <f t="shared" si="24"/>
        <v>166.66666666666666</v>
      </c>
      <c r="U68" s="134">
        <f t="shared" si="25"/>
        <v>166.66666666666666</v>
      </c>
      <c r="V68" s="134">
        <f ca="1">IF(O69=1,S67*D$5*20/36000+S68*D$5*10/36000,IF(O69=0,IF(O68=0,0,IF(D$10&gt;20,S67*D$5*20/36000+S68*D$5*(R$48-20)/36000,S68*D$5*R$48/36000))))</f>
        <v>57.144982222222211</v>
      </c>
      <c r="W68" s="134">
        <f ca="1">IF(O69=1,S67*D5*20/36000+S68*D5*10/36000,IF(O69=0,IF(O68=0,0,IF(D10&gt;20,S67*D$5*20/36000+S68*D$5*(R$48-20)/36000,S68*D$5*R$48/36000))))</f>
        <v>57.144982222222211</v>
      </c>
      <c r="X68" s="134">
        <f t="shared" ca="1" si="26"/>
        <v>67.083333333333329</v>
      </c>
      <c r="Y68" s="134">
        <f t="shared" ca="1" si="27"/>
        <v>70</v>
      </c>
      <c r="Z68" s="134">
        <f t="shared" si="4"/>
        <v>5000</v>
      </c>
      <c r="AA68" s="134">
        <f ca="1">IF(O69=1,Z67*D$5*20/36000+Z68*D$5*10/36000,IF(O69=0,IF(O68=0,0,IF(D$10&gt;20,Z67*D$5*20/36000+Z68*D$5*(R$48-20)/36000,Z68*D$5*R$48/36000))))</f>
        <v>67.083333333333329</v>
      </c>
      <c r="AB68" s="134">
        <f t="shared" ca="1" si="5"/>
        <v>67.083333333333329</v>
      </c>
      <c r="AC68" s="134">
        <f ca="1">IF(S69=0,S68*R48,(S67*20+S68*10))</f>
        <v>127777.59999999995</v>
      </c>
      <c r="AD68" s="134">
        <f t="shared" si="28"/>
        <v>150000</v>
      </c>
      <c r="AE68" s="134">
        <f t="shared" ca="1" si="6"/>
        <v>0</v>
      </c>
      <c r="AF68" s="134">
        <f t="shared" ca="1" si="7"/>
        <v>0</v>
      </c>
      <c r="AG68" s="134">
        <f t="shared" ca="1" si="29"/>
        <v>0</v>
      </c>
      <c r="AH68" s="134">
        <f t="shared" ca="1" si="8"/>
        <v>0</v>
      </c>
      <c r="AI68" s="134">
        <f t="shared" ca="1" si="30"/>
        <v>0</v>
      </c>
      <c r="AJ68" s="134">
        <f t="shared" ca="1" si="9"/>
        <v>0</v>
      </c>
      <c r="AK68" s="134">
        <f t="shared" ca="1" si="10"/>
        <v>4166.659999999998</v>
      </c>
      <c r="AL68" s="134">
        <f ca="1">IF(O69=1,AK67*H$48*20/36000+AK68*H$48*10/36000,IF(O69=0,IF(O68=0,0,AK68*H$48*R$48/36000)))</f>
        <v>0</v>
      </c>
      <c r="AM68" s="134">
        <f ca="1">IF(O69=1,AK67*H$48*20/36000+AK68*H$48*10/36000,IF(O69=0,IF(O68=0,0,AK68*H$48*R$48/36000)))</f>
        <v>0</v>
      </c>
      <c r="AN68" s="132">
        <f t="shared" ca="1" si="31"/>
        <v>8</v>
      </c>
      <c r="AO68" s="132">
        <f t="shared" ca="1" si="11"/>
        <v>8</v>
      </c>
      <c r="AP68" s="2">
        <f t="shared" ca="1" si="32"/>
        <v>2024</v>
      </c>
      <c r="AQ68" s="2">
        <f t="shared" ca="1" si="12"/>
        <v>2024</v>
      </c>
      <c r="AR68" s="2">
        <f t="shared" ca="1" si="13"/>
        <v>1</v>
      </c>
      <c r="AS68" s="2">
        <f t="shared" ca="1" si="14"/>
        <v>30</v>
      </c>
      <c r="AT68" s="2">
        <f t="shared" si="15"/>
        <v>20</v>
      </c>
      <c r="AU68" s="2">
        <f t="shared" ca="1" si="33"/>
        <v>30</v>
      </c>
      <c r="AV68" s="2"/>
      <c r="AW68" s="2"/>
      <c r="AX68" s="2"/>
      <c r="AY68" s="2"/>
      <c r="AZ68" s="2"/>
      <c r="BA68" s="2">
        <f t="shared" ca="1" si="16"/>
        <v>1</v>
      </c>
      <c r="BB68" s="2"/>
      <c r="BC68" s="2"/>
      <c r="BD68" s="2"/>
      <c r="BE68" s="2"/>
      <c r="BF68" s="2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</row>
    <row r="69" spans="1:143" s="24" customFormat="1" ht="15" customHeight="1">
      <c r="A69" s="4">
        <f t="shared" si="17"/>
        <v>8</v>
      </c>
      <c r="B69" s="268">
        <f t="shared" ca="1" si="18"/>
        <v>45555</v>
      </c>
      <c r="C69" s="268"/>
      <c r="D69" s="269">
        <f ca="1">IF(O69=0,IF(O68=1,D62+D63+D64+D65+D66+D67+D68," "),IF(O69=0," ",IF(O70=1,D62,IF(O70=0,ROUNDUP((D4-D62*(N50-1)),2)," "))))</f>
        <v>138.88999999999999</v>
      </c>
      <c r="E69" s="269"/>
      <c r="F69" s="269"/>
      <c r="G69" s="87">
        <f ca="1">IF(O69=0,IF(O68=1,G62+G63+G64+G65+G66+G67+G68," "),IF(N37=1,Q69,IF(N37=2,R69," ")))</f>
        <v>55.281541388888868</v>
      </c>
      <c r="H69" s="87">
        <v>0</v>
      </c>
      <c r="I69" s="87">
        <f t="shared" ca="1" si="19"/>
        <v>194.17154138888884</v>
      </c>
      <c r="J69" s="87">
        <f t="shared" ca="1" si="20"/>
        <v>172.41379310344828</v>
      </c>
      <c r="K69" s="87">
        <f t="shared" ca="1" si="0"/>
        <v>67.083333333333329</v>
      </c>
      <c r="L69" s="87">
        <v>0</v>
      </c>
      <c r="M69" s="87">
        <f t="shared" ca="1" si="21"/>
        <v>239.49712643678163</v>
      </c>
      <c r="N69" s="2">
        <f t="shared" si="22"/>
        <v>8</v>
      </c>
      <c r="O69" s="2">
        <f ca="1">IF(N37=1,IF(N50&gt;7,1,0),IF(N37=2,IF(N50&gt;7,1,0),0))</f>
        <v>1</v>
      </c>
      <c r="P69" s="2">
        <f t="shared" ca="1" si="1"/>
        <v>20</v>
      </c>
      <c r="Q69" s="134">
        <f t="shared" ca="1" si="2"/>
        <v>55.281541388888868</v>
      </c>
      <c r="R69" s="134">
        <f t="shared" ca="1" si="3"/>
        <v>55.281541388888868</v>
      </c>
      <c r="S69" s="134">
        <f t="shared" ca="1" si="23"/>
        <v>4027.7699999999982</v>
      </c>
      <c r="T69" s="134">
        <f t="shared" si="24"/>
        <v>172.41379310344828</v>
      </c>
      <c r="U69" s="134">
        <f t="shared" si="25"/>
        <v>172.41379310344828</v>
      </c>
      <c r="V69" s="134">
        <f ca="1">IF(O70=1,S68*D5*20/36000+S69*D5*10/36000,IF(O70=0,IF(O69=0,0,S69*D5*R48/36000+S68*D5*20/36000+S69*D5*10/36000)))</f>
        <v>55.281541388888868</v>
      </c>
      <c r="W69" s="134">
        <f ca="1">IF(O70=1,S68*D5*20/36000+S69*D5*10/36000,IF(O70=0,IF(O69=0,0,S69*D5*R48/36000+S68*D5*20/36000+S69*D5*10/36000)))</f>
        <v>55.281541388888868</v>
      </c>
      <c r="X69" s="134">
        <f t="shared" ca="1" si="26"/>
        <v>67.083333333333329</v>
      </c>
      <c r="Y69" s="134">
        <f t="shared" ca="1" si="27"/>
        <v>70</v>
      </c>
      <c r="Z69" s="134">
        <f t="shared" si="4"/>
        <v>5000</v>
      </c>
      <c r="AA69" s="134">
        <f ca="1">IF(O70=1,Z68*D$5*20/36000+Z69*D$5*10/36000,IF(O70=0,IF(O69=0,0,Z69*D$5*R$48/36000+Z68*D$5*20/36000+Z69*D$5*10/36000)))</f>
        <v>67.083333333333329</v>
      </c>
      <c r="AB69" s="134">
        <f t="shared" ca="1" si="5"/>
        <v>67.083333333333329</v>
      </c>
      <c r="AC69" s="134">
        <f ca="1">IF(S70=0,S69*R48,(S68*20+S69*10))</f>
        <v>123610.89999999994</v>
      </c>
      <c r="AD69" s="134">
        <f>IF(Z70=0,Z69*R55,(Z68*20+Z69*10))</f>
        <v>150000</v>
      </c>
      <c r="AE69" s="134">
        <f t="shared" ca="1" si="6"/>
        <v>0</v>
      </c>
      <c r="AF69" s="134">
        <f t="shared" ca="1" si="7"/>
        <v>0</v>
      </c>
      <c r="AG69" s="134">
        <f t="shared" ca="1" si="29"/>
        <v>0</v>
      </c>
      <c r="AH69" s="134">
        <f t="shared" ca="1" si="8"/>
        <v>0</v>
      </c>
      <c r="AI69" s="134">
        <f t="shared" ca="1" si="30"/>
        <v>0</v>
      </c>
      <c r="AJ69" s="134">
        <f t="shared" ca="1" si="9"/>
        <v>0</v>
      </c>
      <c r="AK69" s="134">
        <f t="shared" ca="1" si="10"/>
        <v>4027.7699999999982</v>
      </c>
      <c r="AL69" s="134">
        <f ca="1">IF(O70=1,AK68*H48*20/36000+AK69*H48*10/36000,IF(O70=0,IF(O69=0,0,AK69*H48*R48/36000+AK68*H48*20/36000+AK69*H48*10/36000)))</f>
        <v>0</v>
      </c>
      <c r="AM69" s="134">
        <f ca="1">IF(O70=1,AK68*H48*20/36000+AK69*H48*10/36000,IF(O70=0,IF(O69=0,0,AK69*H48*R48/36000+AK68*H48*20/36000+AK69*H48*10/36000)))</f>
        <v>0</v>
      </c>
      <c r="AN69" s="132">
        <f t="shared" ca="1" si="31"/>
        <v>9</v>
      </c>
      <c r="AO69" s="132">
        <f t="shared" ca="1" si="11"/>
        <v>9</v>
      </c>
      <c r="AP69" s="2">
        <f t="shared" ca="1" si="32"/>
        <v>2024</v>
      </c>
      <c r="AQ69" s="2">
        <f t="shared" ca="1" si="12"/>
        <v>2024</v>
      </c>
      <c r="AR69" s="2">
        <f t="shared" ca="1" si="13"/>
        <v>1</v>
      </c>
      <c r="AS69" s="2">
        <f t="shared" ca="1" si="14"/>
        <v>30</v>
      </c>
      <c r="AT69" s="2">
        <f t="shared" si="15"/>
        <v>20</v>
      </c>
      <c r="AU69" s="2">
        <f t="shared" ca="1" si="33"/>
        <v>30</v>
      </c>
      <c r="AV69" s="2"/>
      <c r="AW69" s="2"/>
      <c r="AX69" s="2"/>
      <c r="AY69" s="2"/>
      <c r="AZ69" s="2"/>
      <c r="BA69" s="2">
        <f t="shared" ca="1" si="16"/>
        <v>1</v>
      </c>
      <c r="BB69" s="2"/>
      <c r="BC69" s="2"/>
      <c r="BD69" s="2"/>
      <c r="BE69" s="2"/>
      <c r="BF69" s="2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</row>
    <row r="70" spans="1:143" s="24" customFormat="1" ht="15" customHeight="1">
      <c r="A70" s="4">
        <f t="shared" si="17"/>
        <v>9</v>
      </c>
      <c r="B70" s="268">
        <f t="shared" ca="1" si="18"/>
        <v>45585</v>
      </c>
      <c r="C70" s="268"/>
      <c r="D70" s="269">
        <f ca="1">IF(O70=0,IF(O69=1,D62+D63+D64+D65+D66+D67+D68+D69," "),IF(O70=0," ",IF(O71=1,D62,IF(O71=0,D4-D62*(N50-1)," "))))</f>
        <v>138.88999999999999</v>
      </c>
      <c r="E70" s="269"/>
      <c r="F70" s="269"/>
      <c r="G70" s="87">
        <f ca="1">IF(O70=0,IF(O69=1,G62+G63+G64+G65+G66+G67+G68+G69," "),IF(N37=1,Q70,IF(N37=2,R70," ")))</f>
        <v>53.41810055555554</v>
      </c>
      <c r="H70" s="87">
        <v>0</v>
      </c>
      <c r="I70" s="87">
        <f t="shared" ca="1" si="19"/>
        <v>192.30810055555554</v>
      </c>
      <c r="J70" s="87">
        <f t="shared" ca="1" si="20"/>
        <v>178.57142857142858</v>
      </c>
      <c r="K70" s="87">
        <f t="shared" ca="1" si="0"/>
        <v>67.083333333333329</v>
      </c>
      <c r="L70" s="87">
        <v>0</v>
      </c>
      <c r="M70" s="87">
        <f t="shared" ca="1" si="21"/>
        <v>245.65476190476193</v>
      </c>
      <c r="N70" s="2">
        <f t="shared" si="22"/>
        <v>9</v>
      </c>
      <c r="O70" s="2">
        <f ca="1">IF(N37=1,IF(N50&gt;8,1,0),IF(N37=2,IF(N50&gt;8,1,0),0))</f>
        <v>1</v>
      </c>
      <c r="P70" s="2">
        <f t="shared" ca="1" si="1"/>
        <v>20</v>
      </c>
      <c r="Q70" s="134">
        <f t="shared" ca="1" si="2"/>
        <v>53.41810055555554</v>
      </c>
      <c r="R70" s="134">
        <f t="shared" ca="1" si="3"/>
        <v>53.41810055555554</v>
      </c>
      <c r="S70" s="134">
        <f t="shared" ca="1" si="23"/>
        <v>3888.8799999999983</v>
      </c>
      <c r="T70" s="134">
        <f t="shared" si="24"/>
        <v>178.57142857142858</v>
      </c>
      <c r="U70" s="134">
        <f t="shared" si="25"/>
        <v>178.57142857142858</v>
      </c>
      <c r="V70" s="134">
        <f ca="1">IF(O71=1,S69*D5*20/36000+S70*D5*10/36000,IF(O71=0,IF(O70=0,0,S70*D5*R48/36000+S69*D5*20/36000+S70*D5*10/36000)))</f>
        <v>53.41810055555554</v>
      </c>
      <c r="W70" s="134">
        <f ca="1">IF(O71=1,S69*D5*20/36000+S70*D5*10/36000,IF(O71=0,IF(O70=0,0,S70*D5*R48/36000+S69*D5*20/36000+S70*D5*10/36000)))</f>
        <v>53.41810055555554</v>
      </c>
      <c r="X70" s="134">
        <f t="shared" ca="1" si="26"/>
        <v>67.083333333333329</v>
      </c>
      <c r="Y70" s="134">
        <f t="shared" ca="1" si="27"/>
        <v>70</v>
      </c>
      <c r="Z70" s="134">
        <f t="shared" si="4"/>
        <v>5000</v>
      </c>
      <c r="AA70" s="134">
        <f ca="1">IF(O71=1,Z69*D$5*20/36000+Z70*D$5*10/36000,IF(O71=0,IF(O70=0,0,Z70*D$5*R$48/36000+Z69*D$5*20/36000+Z70*D$5*10/36000)))</f>
        <v>67.083333333333329</v>
      </c>
      <c r="AB70" s="134">
        <f t="shared" ca="1" si="5"/>
        <v>67.083333333333329</v>
      </c>
      <c r="AC70" s="134">
        <f ca="1">IF(S71=0,S70*R48,(S69*20+S70*10))</f>
        <v>119444.19999999995</v>
      </c>
      <c r="AD70" s="134">
        <f>IF(Z71=0,Z70*R56,(Z69*20+Z70*10))</f>
        <v>150000</v>
      </c>
      <c r="AE70" s="134">
        <f t="shared" ca="1" si="6"/>
        <v>0</v>
      </c>
      <c r="AF70" s="134">
        <f t="shared" ca="1" si="7"/>
        <v>0</v>
      </c>
      <c r="AG70" s="134">
        <f t="shared" ca="1" si="29"/>
        <v>0</v>
      </c>
      <c r="AH70" s="134">
        <f t="shared" ca="1" si="8"/>
        <v>0</v>
      </c>
      <c r="AI70" s="134">
        <f t="shared" ca="1" si="30"/>
        <v>0</v>
      </c>
      <c r="AJ70" s="134">
        <f t="shared" ca="1" si="9"/>
        <v>0</v>
      </c>
      <c r="AK70" s="134">
        <f t="shared" ca="1" si="10"/>
        <v>3888.8799999999983</v>
      </c>
      <c r="AL70" s="134">
        <f ca="1">IF(O71=1,AK69*H48*20/36000+AK70*H48*10/36000,IF(O71=0,IF(O70=0,0,AK70*H48*R48/36000+AK69*H48*20/36000+AK70*H48*10/36000)))</f>
        <v>0</v>
      </c>
      <c r="AM70" s="134">
        <f ca="1">IF(O71=1,AK69*H48*20/36000+AK70*H48*10/36000,IF(O71=0,IF(O70=0,0,AK70*H48*R48/36000+AK69*H48*20/36000+AK70*H48*10/36000)))</f>
        <v>0</v>
      </c>
      <c r="AN70" s="132">
        <f t="shared" ca="1" si="31"/>
        <v>10</v>
      </c>
      <c r="AO70" s="132">
        <f t="shared" ca="1" si="11"/>
        <v>10</v>
      </c>
      <c r="AP70" s="2">
        <f t="shared" ca="1" si="32"/>
        <v>2024</v>
      </c>
      <c r="AQ70" s="2">
        <f t="shared" ca="1" si="12"/>
        <v>2024</v>
      </c>
      <c r="AR70" s="2">
        <f t="shared" ca="1" si="13"/>
        <v>1</v>
      </c>
      <c r="AS70" s="2">
        <f t="shared" ca="1" si="14"/>
        <v>30</v>
      </c>
      <c r="AT70" s="2">
        <f t="shared" si="15"/>
        <v>20</v>
      </c>
      <c r="AU70" s="2">
        <f t="shared" ca="1" si="33"/>
        <v>30</v>
      </c>
      <c r="AV70" s="2"/>
      <c r="AW70" s="2"/>
      <c r="AX70" s="2"/>
      <c r="AY70" s="2"/>
      <c r="AZ70" s="2"/>
      <c r="BA70" s="2">
        <f t="shared" ca="1" si="16"/>
        <v>1</v>
      </c>
      <c r="BB70" s="2"/>
      <c r="BC70" s="2"/>
      <c r="BD70" s="2"/>
      <c r="BE70" s="2"/>
      <c r="BF70" s="2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</row>
    <row r="71" spans="1:143" s="24" customFormat="1" ht="15" customHeight="1">
      <c r="A71" s="4">
        <f t="shared" si="17"/>
        <v>10</v>
      </c>
      <c r="B71" s="268">
        <f t="shared" ca="1" si="18"/>
        <v>45616</v>
      </c>
      <c r="C71" s="268"/>
      <c r="D71" s="269">
        <f ca="1">IF(O71=0,IF(O70=1,D62+D63+D64+D65+D66+D67+D68+D69+D70," "),IF(O71=0," ",IF(O72=1,D62,IF(O72=0,D4-D62*(N50-1)," "))))</f>
        <v>138.88999999999999</v>
      </c>
      <c r="E71" s="269"/>
      <c r="F71" s="269"/>
      <c r="G71" s="87">
        <f ca="1">IF(O71=0,IF(O70=1,G62+G63+G64+G65+G66+G67+G68+G69+G70," "),IF(N37=1,Q71,IF(N37=2,R71," ")))</f>
        <v>51.554659722222212</v>
      </c>
      <c r="H71" s="87">
        <v>0</v>
      </c>
      <c r="I71" s="87">
        <f t="shared" ca="1" si="19"/>
        <v>190.44465972222218</v>
      </c>
      <c r="J71" s="87">
        <f t="shared" ca="1" si="20"/>
        <v>185.18518518518519</v>
      </c>
      <c r="K71" s="87">
        <f t="shared" ca="1" si="0"/>
        <v>67.083333333333329</v>
      </c>
      <c r="L71" s="87">
        <v>0</v>
      </c>
      <c r="M71" s="87">
        <f t="shared" ca="1" si="21"/>
        <v>252.26851851851853</v>
      </c>
      <c r="N71" s="2">
        <f t="shared" si="22"/>
        <v>10</v>
      </c>
      <c r="O71" s="2">
        <f ca="1">IF(N37=1,IF(N50&gt;9,1,0),IF(N37=2,IF(N50&gt;9,1,0),0))</f>
        <v>1</v>
      </c>
      <c r="P71" s="2">
        <f t="shared" ca="1" si="1"/>
        <v>20</v>
      </c>
      <c r="Q71" s="134">
        <f t="shared" ca="1" si="2"/>
        <v>51.554659722222212</v>
      </c>
      <c r="R71" s="134">
        <f t="shared" ca="1" si="3"/>
        <v>51.554659722222212</v>
      </c>
      <c r="S71" s="134">
        <f t="shared" ca="1" si="23"/>
        <v>3749.9899999999984</v>
      </c>
      <c r="T71" s="134">
        <f t="shared" si="24"/>
        <v>185.18518518518519</v>
      </c>
      <c r="U71" s="134">
        <f t="shared" si="25"/>
        <v>185.18518518518519</v>
      </c>
      <c r="V71" s="134">
        <f ca="1">IF(O72=1,S70*D5*20/36000+S71*D5*10/36000,IF(O72=0,IF(O71=0,0,S71*D5*R48/36000+29*D5*20/36000+S71*D5*10/36000)))</f>
        <v>51.554659722222212</v>
      </c>
      <c r="W71" s="134">
        <f ca="1">IF(O72=1,S70*D5*20/36000+S71*D5*10/36000,IF(O72=0,IF(O71=0,0,S71*D5*R48/36000+29*D5*20/36000+S71*D5*10/36000)))</f>
        <v>51.554659722222212</v>
      </c>
      <c r="X71" s="134">
        <f t="shared" ca="1" si="26"/>
        <v>67.083333333333329</v>
      </c>
      <c r="Y71" s="134">
        <f t="shared" ca="1" si="27"/>
        <v>70</v>
      </c>
      <c r="Z71" s="134">
        <f t="shared" si="4"/>
        <v>5000</v>
      </c>
      <c r="AA71" s="134">
        <f ca="1">IF(O72=1,Z70*D$5*20/36000+Z71*D$5*10/36000,IF(O72=0,IF(O71=0,0,Z71*D$5*R$48/36000+Z70*D$5*20/36000+Z71*D$5*10/36000)))</f>
        <v>67.083333333333329</v>
      </c>
      <c r="AB71" s="134">
        <f t="shared" ca="1" si="5"/>
        <v>67.083333333333329</v>
      </c>
      <c r="AC71" s="134">
        <f ca="1">IF(S72=0,S71*R48,(S70*20+S71*10))</f>
        <v>115277.49999999994</v>
      </c>
      <c r="AD71" s="134">
        <f>IF(Z72=0,Z71*R57,(Z70*20+Z71*10))</f>
        <v>150000</v>
      </c>
      <c r="AE71" s="134">
        <f t="shared" ca="1" si="6"/>
        <v>0</v>
      </c>
      <c r="AF71" s="134">
        <f t="shared" ca="1" si="7"/>
        <v>0</v>
      </c>
      <c r="AG71" s="134">
        <f t="shared" ca="1" si="29"/>
        <v>0</v>
      </c>
      <c r="AH71" s="134">
        <f t="shared" ca="1" si="8"/>
        <v>0</v>
      </c>
      <c r="AI71" s="134">
        <f t="shared" ca="1" si="30"/>
        <v>0</v>
      </c>
      <c r="AJ71" s="134">
        <f t="shared" ca="1" si="9"/>
        <v>0</v>
      </c>
      <c r="AK71" s="134">
        <f t="shared" ca="1" si="10"/>
        <v>3749.9899999999984</v>
      </c>
      <c r="AL71" s="134">
        <f ca="1">IF(O72=1,AK70*H48*20/36000+AK71*H48*10/36000,IF(O72=0,IF(O71=0,0,AK71*H48*R48/36000+29*H48*20/36000+AK71*H48*10/36000)))</f>
        <v>0</v>
      </c>
      <c r="AM71" s="134">
        <f ca="1">IF(O72=1,AK70*H48*20/36000+AK71*H48*10/36000,IF(O72=0,IF(O71=0,0,AK71*H48*R48/36000+29*H48*20/36000+AK71*H48*10/36000)))</f>
        <v>0</v>
      </c>
      <c r="AN71" s="132">
        <f t="shared" ca="1" si="31"/>
        <v>11</v>
      </c>
      <c r="AO71" s="132">
        <f t="shared" ca="1" si="11"/>
        <v>11</v>
      </c>
      <c r="AP71" s="2">
        <f t="shared" ca="1" si="32"/>
        <v>2024</v>
      </c>
      <c r="AQ71" s="2">
        <f t="shared" ca="1" si="12"/>
        <v>2024</v>
      </c>
      <c r="AR71" s="2">
        <f t="shared" ca="1" si="13"/>
        <v>1</v>
      </c>
      <c r="AS71" s="2">
        <f t="shared" ca="1" si="14"/>
        <v>30</v>
      </c>
      <c r="AT71" s="2">
        <f t="shared" si="15"/>
        <v>20</v>
      </c>
      <c r="AU71" s="2">
        <f t="shared" ca="1" si="33"/>
        <v>30</v>
      </c>
      <c r="AV71" s="2"/>
      <c r="AW71" s="2"/>
      <c r="AX71" s="2"/>
      <c r="AY71" s="2"/>
      <c r="AZ71" s="2"/>
      <c r="BA71" s="2">
        <f t="shared" ca="1" si="16"/>
        <v>1</v>
      </c>
      <c r="BB71" s="2"/>
      <c r="BC71" s="2"/>
      <c r="BD71" s="2"/>
      <c r="BE71" s="2"/>
      <c r="BF71" s="2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</row>
    <row r="72" spans="1:143" s="24" customFormat="1" ht="15" customHeight="1">
      <c r="A72" s="4">
        <f t="shared" si="17"/>
        <v>11</v>
      </c>
      <c r="B72" s="268">
        <f t="shared" ca="1" si="18"/>
        <v>45646</v>
      </c>
      <c r="C72" s="268"/>
      <c r="D72" s="269">
        <f ca="1">IF(O72=0,IF(O71=1,D62+D63+D64+D65+D66+D67+D68+D69+D70+D71," "),IF(O72=0," ",IF(O73=1,D62,IF(O73=0,D4-D62*(N50-1)," "))))</f>
        <v>138.88999999999999</v>
      </c>
      <c r="E72" s="269"/>
      <c r="F72" s="269"/>
      <c r="G72" s="87">
        <f ca="1">IF(O72=0,IF(O71=1,G62+G63+G64+G65+G66+G67+G68+G69+G70+G71," "),IF(N37=1,Q72,IF(N37=2,R72," ")))</f>
        <v>49.691218888888869</v>
      </c>
      <c r="H72" s="87">
        <v>0</v>
      </c>
      <c r="I72" s="87">
        <f t="shared" ca="1" si="19"/>
        <v>188.58121888888886</v>
      </c>
      <c r="J72" s="87">
        <f t="shared" ca="1" si="20"/>
        <v>192.30769230769232</v>
      </c>
      <c r="K72" s="87">
        <f t="shared" ca="1" si="0"/>
        <v>67.083333333333329</v>
      </c>
      <c r="L72" s="87">
        <v>0</v>
      </c>
      <c r="M72" s="87">
        <f t="shared" ca="1" si="21"/>
        <v>259.39102564102564</v>
      </c>
      <c r="N72" s="2">
        <f t="shared" si="22"/>
        <v>11</v>
      </c>
      <c r="O72" s="2">
        <f ca="1">IF(N37=1,IF(N50&gt;10,1,0),IF(N37=2,IF(N50&gt;10,1,0),0))</f>
        <v>1</v>
      </c>
      <c r="P72" s="2">
        <f t="shared" ca="1" si="1"/>
        <v>20</v>
      </c>
      <c r="Q72" s="134">
        <f t="shared" ca="1" si="2"/>
        <v>49.691218888888869</v>
      </c>
      <c r="R72" s="134">
        <f t="shared" ca="1" si="3"/>
        <v>49.691218888888869</v>
      </c>
      <c r="S72" s="134">
        <f t="shared" ca="1" si="23"/>
        <v>3611.0999999999985</v>
      </c>
      <c r="T72" s="134">
        <f t="shared" si="24"/>
        <v>192.30769230769232</v>
      </c>
      <c r="U72" s="134">
        <f t="shared" si="25"/>
        <v>192.30769230769232</v>
      </c>
      <c r="V72" s="134">
        <f ca="1">IF(O73=1,S71*D5*20/36000+S72*D5*10/36000,IF(O73=0,IF(O72=0,0,S72*D5*R48/36000+S71*D5*20/36000+S72*D5*10/36000)))</f>
        <v>49.691218888888869</v>
      </c>
      <c r="W72" s="134">
        <f ca="1">IF(O73=1,S71*D5*20/36000+S72*D5*10/36000,IF(O73=0,IF(O72=0,0,S72*D5*R48/36000+S71*D5*20/36000+S72*D5*10/36000)))</f>
        <v>49.691218888888869</v>
      </c>
      <c r="X72" s="134">
        <f t="shared" ca="1" si="26"/>
        <v>67.083333333333329</v>
      </c>
      <c r="Y72" s="134">
        <f t="shared" ca="1" si="27"/>
        <v>70</v>
      </c>
      <c r="Z72" s="134">
        <f t="shared" si="4"/>
        <v>5000</v>
      </c>
      <c r="AA72" s="134">
        <f ca="1">IF(O73=1,Z71*D$5*20/36000+Z72*D$5*10/36000,IF(O73=0,IF(O72=0,0,Z72*D$5*R$48/36000+Z71*D$5*20/36000+Z72*D$5*10/36000)))</f>
        <v>67.083333333333329</v>
      </c>
      <c r="AB72" s="134">
        <f t="shared" ca="1" si="5"/>
        <v>67.083333333333329</v>
      </c>
      <c r="AC72" s="134">
        <f ca="1">IF(S73=0,S72*R48,(S71*20+S72*10))</f>
        <v>111110.79999999996</v>
      </c>
      <c r="AD72" s="134"/>
      <c r="AE72" s="134">
        <f t="shared" ca="1" si="6"/>
        <v>0</v>
      </c>
      <c r="AF72" s="134">
        <f t="shared" ca="1" si="7"/>
        <v>0</v>
      </c>
      <c r="AG72" s="134">
        <f t="shared" ca="1" si="29"/>
        <v>0</v>
      </c>
      <c r="AH72" s="134">
        <f t="shared" ca="1" si="8"/>
        <v>0</v>
      </c>
      <c r="AI72" s="134">
        <f t="shared" ca="1" si="30"/>
        <v>0</v>
      </c>
      <c r="AJ72" s="134">
        <f t="shared" ca="1" si="9"/>
        <v>0</v>
      </c>
      <c r="AK72" s="134">
        <f t="shared" ca="1" si="10"/>
        <v>3611.0999999999985</v>
      </c>
      <c r="AL72" s="134">
        <f ca="1">IF(O73=1,AK71*H48*20/36000+AK72*H48*10/36000,IF(O73=0,IF(O72=0,0,AK72*H48*R48/36000+AK71*H48*20/36000+AK72*H48*10/36000)))</f>
        <v>0</v>
      </c>
      <c r="AM72" s="134">
        <f ca="1">IF(O73=1,AK71*H48*20/36000+AK72*H48*10/36000,IF(O73=0,IF(O72=0,0,AK72*H48*R48/36000+AK71*H48*20/36000+AK72*H48*10/36000)))</f>
        <v>0</v>
      </c>
      <c r="AN72" s="132">
        <f t="shared" ca="1" si="31"/>
        <v>12</v>
      </c>
      <c r="AO72" s="132">
        <f t="shared" ca="1" si="11"/>
        <v>12</v>
      </c>
      <c r="AP72" s="2">
        <f t="shared" ca="1" si="32"/>
        <v>2024</v>
      </c>
      <c r="AQ72" s="2">
        <f t="shared" ca="1" si="12"/>
        <v>2024</v>
      </c>
      <c r="AR72" s="2">
        <f t="shared" ca="1" si="13"/>
        <v>1</v>
      </c>
      <c r="AS72" s="2">
        <f t="shared" ca="1" si="14"/>
        <v>30</v>
      </c>
      <c r="AT72" s="2">
        <f t="shared" si="15"/>
        <v>20</v>
      </c>
      <c r="AU72" s="2">
        <f t="shared" ca="1" si="33"/>
        <v>30</v>
      </c>
      <c r="AV72" s="2"/>
      <c r="AW72" s="2"/>
      <c r="AX72" s="2"/>
      <c r="AY72" s="2"/>
      <c r="AZ72" s="2"/>
      <c r="BA72" s="2">
        <f t="shared" ca="1" si="16"/>
        <v>1</v>
      </c>
      <c r="BB72" s="2"/>
      <c r="BC72" s="2"/>
      <c r="BD72" s="2"/>
      <c r="BE72" s="2"/>
      <c r="BF72" s="2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4">
        <f t="shared" si="17"/>
        <v>12</v>
      </c>
      <c r="B73" s="268">
        <f t="shared" ca="1" si="18"/>
        <v>45677</v>
      </c>
      <c r="C73" s="268"/>
      <c r="D73" s="269">
        <f ca="1">IF(O73=0,IF(O72=1,D62+D63+D64+D65+D66+D67+D68+D69+D70+D71+D72," "),IF(O73=0," ",IF(O74=1,D62,IF(O74=0,D4-D62*(N50-1)," "))))</f>
        <v>138.88999999999999</v>
      </c>
      <c r="E73" s="269"/>
      <c r="F73" s="269"/>
      <c r="G73" s="87">
        <f ca="1">IF(O73=0,IF(O72=1,G62+G63+G64+G65+G66+G67+G68+G69+G70+G71+G72," "),IF(N37=1,Q73,IF(N37=2,R73," ")))</f>
        <v>47.827778055555541</v>
      </c>
      <c r="H73" s="87">
        <v>0</v>
      </c>
      <c r="I73" s="87">
        <f t="shared" ca="1" si="19"/>
        <v>186.71777805555553</v>
      </c>
      <c r="J73" s="87">
        <f t="shared" ca="1" si="20"/>
        <v>200</v>
      </c>
      <c r="K73" s="87">
        <f t="shared" ca="1" si="0"/>
        <v>67.083333333333329</v>
      </c>
      <c r="L73" s="87">
        <v>0</v>
      </c>
      <c r="M73" s="87">
        <f t="shared" ca="1" si="21"/>
        <v>267.08333333333331</v>
      </c>
      <c r="N73" s="2">
        <f t="shared" si="22"/>
        <v>12</v>
      </c>
      <c r="O73" s="2">
        <f ca="1">IF(N37=1,IF(N50&gt;11,1,0),IF(N37=2,IF(N50&gt;11,1,0),0))</f>
        <v>1</v>
      </c>
      <c r="P73" s="2">
        <f t="shared" ca="1" si="1"/>
        <v>20</v>
      </c>
      <c r="Q73" s="134">
        <f t="shared" ca="1" si="2"/>
        <v>47.827778055555541</v>
      </c>
      <c r="R73" s="134">
        <f t="shared" ca="1" si="3"/>
        <v>47.827778055555541</v>
      </c>
      <c r="S73" s="134">
        <f t="shared" ca="1" si="23"/>
        <v>3472.2099999999987</v>
      </c>
      <c r="T73" s="134">
        <f t="shared" si="24"/>
        <v>200</v>
      </c>
      <c r="U73" s="134">
        <f t="shared" si="25"/>
        <v>200</v>
      </c>
      <c r="V73" s="134">
        <f ca="1">IF(O74=1,S72*D5*20/36000+S73*D5*10/36000,IF(O74=0,IF(O73=0,0,S73*D5*R48/36000+S72*D5*20/36000+S73*D5*10/36000)))</f>
        <v>47.827778055555541</v>
      </c>
      <c r="W73" s="134">
        <f ca="1">IF(O74=1,S72*D5*20/36000+S73*D5*10/36000,IF(O74=0,IF(O73=0,0,S73*D5*R48/36000+S72*D5*20/36000+S73*D5*10/36000)))</f>
        <v>47.827778055555541</v>
      </c>
      <c r="X73" s="134">
        <f t="shared" ca="1" si="26"/>
        <v>67.083333333333329</v>
      </c>
      <c r="Y73" s="134">
        <f t="shared" ca="1" si="27"/>
        <v>70</v>
      </c>
      <c r="Z73" s="134">
        <f t="shared" si="4"/>
        <v>5000</v>
      </c>
      <c r="AA73" s="134">
        <f ca="1">IF(O74=1,Z72*D$5*20/36000+Z73*D$5*10/36000,IF(O74=0,IF(O73=0,0,Z73*D$5*R$48/36000+Z72*D$5*20/36000+Z73*D$5*10/36000)))</f>
        <v>67.083333333333329</v>
      </c>
      <c r="AB73" s="134">
        <f t="shared" ca="1" si="5"/>
        <v>67.083333333333329</v>
      </c>
      <c r="AC73" s="134">
        <f ca="1">IF(S74=0,S73*R48,(S72*20+S73*10))</f>
        <v>106944.09999999995</v>
      </c>
      <c r="AD73" s="134"/>
      <c r="AE73" s="134">
        <f t="shared" ca="1" si="6"/>
        <v>0</v>
      </c>
      <c r="AF73" s="134">
        <f t="shared" ca="1" si="7"/>
        <v>0</v>
      </c>
      <c r="AG73" s="134">
        <f t="shared" ca="1" si="29"/>
        <v>0</v>
      </c>
      <c r="AH73" s="134">
        <f t="shared" ca="1" si="8"/>
        <v>0</v>
      </c>
      <c r="AI73" s="134">
        <f t="shared" ca="1" si="30"/>
        <v>0</v>
      </c>
      <c r="AJ73" s="134">
        <f t="shared" ca="1" si="9"/>
        <v>0</v>
      </c>
      <c r="AK73" s="134">
        <f t="shared" ca="1" si="10"/>
        <v>3472.2099999999987</v>
      </c>
      <c r="AL73" s="134">
        <f ca="1">IF(O74=1,AK72*H48*20/36000+AK73*H48*10/36000,IF(O74=0,IF(O73=0,0,AK73*H48*R48/36000+AK72*H48*20/36000+AK73*H48*10/36000)))</f>
        <v>0</v>
      </c>
      <c r="AM73" s="134">
        <f ca="1">IF(O74=1,AK72*H48*20/36000+AK73*H48*10/36000,IF(O74=0,IF(O73=0,0,AK73*H48*R48/36000+AK72*H48*20/36000+AK73*H48*10/36000)))</f>
        <v>0</v>
      </c>
      <c r="AN73" s="132">
        <f t="shared" ca="1" si="31"/>
        <v>13</v>
      </c>
      <c r="AO73" s="132">
        <f t="shared" ca="1" si="11"/>
        <v>1</v>
      </c>
      <c r="AP73" s="2">
        <f t="shared" ca="1" si="32"/>
        <v>2024</v>
      </c>
      <c r="AQ73" s="2">
        <f t="shared" ca="1" si="12"/>
        <v>2025</v>
      </c>
      <c r="AR73" s="2">
        <f t="shared" ca="1" si="13"/>
        <v>1</v>
      </c>
      <c r="AS73" s="2">
        <f t="shared" ca="1" si="14"/>
        <v>30</v>
      </c>
      <c r="AT73" s="2">
        <f t="shared" si="15"/>
        <v>20</v>
      </c>
      <c r="AU73" s="2">
        <f t="shared" ca="1" si="33"/>
        <v>30</v>
      </c>
      <c r="AV73" s="2"/>
      <c r="AW73" s="2"/>
      <c r="AX73" s="2"/>
      <c r="AY73" s="2"/>
      <c r="AZ73" s="2"/>
      <c r="BA73" s="2">
        <f t="shared" ca="1" si="16"/>
        <v>1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19">
        <f t="shared" si="17"/>
        <v>13</v>
      </c>
      <c r="B74" s="268">
        <f t="shared" ca="1" si="18"/>
        <v>45708</v>
      </c>
      <c r="C74" s="268"/>
      <c r="D74" s="269">
        <f ca="1">IF(O74=0,IF(O73=1,D62+D63+D64+D65+D66+D67+D68+D69+D70+D71+D72+D73," "),IF(O74=0," ",IF(O75=1,D62,IF(O75=0,D4-D62*(N50-1)," "))))</f>
        <v>138.88999999999999</v>
      </c>
      <c r="E74" s="269"/>
      <c r="F74" s="269"/>
      <c r="G74" s="87">
        <f ca="1">IF(O74=0,IF(O73=1,G62+G63+G64+G65+G66+G67+G68+G69+G70+G71+G72+G73," "),IF(N37=1,Q74,IF(N37=2,R74," ")))</f>
        <v>45.964337222222206</v>
      </c>
      <c r="H74" s="87">
        <v>0</v>
      </c>
      <c r="I74" s="87">
        <f t="shared" ca="1" si="19"/>
        <v>184.8543372222222</v>
      </c>
      <c r="J74" s="87">
        <f t="shared" ca="1" si="20"/>
        <v>208.34</v>
      </c>
      <c r="K74" s="87">
        <f t="shared" ca="1" si="0"/>
        <v>67.083333333333329</v>
      </c>
      <c r="L74" s="87">
        <v>0</v>
      </c>
      <c r="M74" s="87">
        <f t="shared" ca="1" si="21"/>
        <v>275.42333333333335</v>
      </c>
      <c r="N74" s="2">
        <f t="shared" si="22"/>
        <v>13</v>
      </c>
      <c r="O74" s="2">
        <f ca="1">IF(N37=1,IF(N50&gt;12,1,0),IF(N37=2,IF(N50&gt;12,1,0),0))</f>
        <v>1</v>
      </c>
      <c r="P74" s="2">
        <f t="shared" ca="1" si="1"/>
        <v>20</v>
      </c>
      <c r="Q74" s="134">
        <f t="shared" ca="1" si="2"/>
        <v>45.964337222222206</v>
      </c>
      <c r="R74" s="134">
        <f t="shared" ca="1" si="3"/>
        <v>45.964337222222206</v>
      </c>
      <c r="S74" s="134">
        <f t="shared" ca="1" si="23"/>
        <v>3333.3199999999988</v>
      </c>
      <c r="T74" s="134">
        <f t="shared" ca="1" si="24"/>
        <v>138.88999999999999</v>
      </c>
      <c r="U74" s="134">
        <f t="shared" ca="1" si="25"/>
        <v>138.88999999999999</v>
      </c>
      <c r="V74" s="134">
        <f ca="1">IF(O75=1,S73*D$5*20/36000+S74*D$5*10/36000,IF(O75=0,IF(O74=0,0,IF(D10&gt;20,S73*D$5*20/36000+S74*D$5*(R$48-20)/36000,S74*D$5*R$48/36000))))</f>
        <v>45.964337222222206</v>
      </c>
      <c r="W74" s="134">
        <f ca="1">IF(O75=1,S73*D$5*20/36000+S74*D$5*10/36000,IF(O75=0,IF(O74=0,0,IF(D10&gt;20,S73*D$5*20/36000+S74*D$5*(R$48-20)/36000,S74*D$5*R$48/36000))))</f>
        <v>45.964337222222206</v>
      </c>
      <c r="X74" s="134">
        <f t="shared" ca="1" si="26"/>
        <v>67.083333333333329</v>
      </c>
      <c r="Y74" s="134">
        <f t="shared" ca="1" si="27"/>
        <v>70</v>
      </c>
      <c r="Z74" s="134">
        <f t="shared" si="4"/>
        <v>5000</v>
      </c>
      <c r="AA74" s="134">
        <f ca="1">IF(O75=1,Z73*D$5*20/36000+Z74*D$5*10/36000,IF(O75=0,IF(O74=0,0,IF(D$10&gt;20,Z73*D$5*20/36000+Z74*D$5*(R$48-20)/36000,Z74*D$5*R$48/36000))))</f>
        <v>67.083333333333329</v>
      </c>
      <c r="AB74" s="134">
        <f t="shared" ca="1" si="5"/>
        <v>67.083333333333329</v>
      </c>
      <c r="AC74" s="134">
        <f ca="1">IF(S75=0,S74*R48,(S73*20+S74*10))</f>
        <v>102777.39999999997</v>
      </c>
      <c r="AD74" s="134"/>
      <c r="AE74" s="134">
        <f t="shared" ca="1" si="6"/>
        <v>0</v>
      </c>
      <c r="AF74" s="134">
        <f t="shared" ca="1" si="7"/>
        <v>0</v>
      </c>
      <c r="AG74" s="134">
        <f t="shared" ca="1" si="29"/>
        <v>0</v>
      </c>
      <c r="AH74" s="134">
        <f t="shared" ca="1" si="8"/>
        <v>0</v>
      </c>
      <c r="AI74" s="134">
        <f t="shared" ca="1" si="30"/>
        <v>0</v>
      </c>
      <c r="AJ74" s="134">
        <f t="shared" ca="1" si="9"/>
        <v>0</v>
      </c>
      <c r="AK74" s="134">
        <f t="shared" ca="1" si="10"/>
        <v>3333.3199999999988</v>
      </c>
      <c r="AL74" s="134">
        <f ca="1">IF(O75=1,AK73*H48*20/36000+AK74*H48*10/36000,IF(O75=0,IF(O74=0,0,AK74*H48*R48/36000)))</f>
        <v>0</v>
      </c>
      <c r="AM74" s="134">
        <f ca="1">IF(O75=1,AK73*H48*20/36000+AK74*H48*10/36000,IF(O75=0,IF(O74=0,0,AK74*H48*R48/36000)))</f>
        <v>0</v>
      </c>
      <c r="AN74" s="132">
        <f t="shared" ca="1" si="31"/>
        <v>2</v>
      </c>
      <c r="AO74" s="132">
        <f t="shared" ca="1" si="11"/>
        <v>2</v>
      </c>
      <c r="AP74" s="2">
        <f t="shared" ca="1" si="32"/>
        <v>2025</v>
      </c>
      <c r="AQ74" s="2">
        <f t="shared" ca="1" si="12"/>
        <v>2025</v>
      </c>
      <c r="AR74" s="2">
        <f t="shared" ca="1" si="13"/>
        <v>0</v>
      </c>
      <c r="AS74" s="2">
        <f t="shared" ca="1" si="14"/>
        <v>28</v>
      </c>
      <c r="AT74" s="2">
        <f t="shared" si="15"/>
        <v>20</v>
      </c>
      <c r="AU74" s="2">
        <f t="shared" ca="1" si="33"/>
        <v>30</v>
      </c>
      <c r="AV74" s="2"/>
      <c r="AW74" s="2"/>
      <c r="AX74" s="2"/>
      <c r="AY74" s="2"/>
      <c r="AZ74" s="2"/>
      <c r="BA74" s="2">
        <f t="shared" ca="1" si="16"/>
        <v>1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7"/>
        <v>14</v>
      </c>
      <c r="B75" s="268">
        <f t="shared" ca="1" si="18"/>
        <v>45736</v>
      </c>
      <c r="C75" s="268"/>
      <c r="D75" s="269">
        <f ca="1">IF(O75=0,IF(O74=1,D62+D63+D64+D65+D66+D67+D68+D69+D70+D71+D72+D73+D74," "),IF(O75=0," ",IF(O76=1,D62,IF(O76=0,D4-D62*(N50-1)," "))))</f>
        <v>138.88999999999999</v>
      </c>
      <c r="E75" s="269"/>
      <c r="F75" s="269"/>
      <c r="G75" s="87">
        <f ca="1">IF(O75=0,IF(O74=1,G62+G63+G64+G65+G66+G67+G68+G69+G70+G71+G72+G73+G74," "),IF(N37=1,Q75,IF(N37=2,R75," ")))</f>
        <v>44.100896388888877</v>
      </c>
      <c r="H75" s="87">
        <v>0</v>
      </c>
      <c r="I75" s="87">
        <f t="shared" ca="1" si="19"/>
        <v>182.99089638888887</v>
      </c>
      <c r="J75" s="87">
        <f t="shared" ca="1" si="20"/>
        <v>208.34</v>
      </c>
      <c r="K75" s="87">
        <f t="shared" ca="1" si="0"/>
        <v>66.151590555555558</v>
      </c>
      <c r="L75" s="87">
        <v>0</v>
      </c>
      <c r="M75" s="87">
        <f t="shared" ca="1" si="21"/>
        <v>274.49159055555555</v>
      </c>
      <c r="N75" s="2">
        <f t="shared" si="22"/>
        <v>14</v>
      </c>
      <c r="O75" s="2">
        <f ca="1">IF(N37=1,IF(N50&gt;13,1,0),IF(N37=2,IF(N50&gt;13,1,0),0))</f>
        <v>1</v>
      </c>
      <c r="P75" s="2">
        <f t="shared" ca="1" si="1"/>
        <v>20</v>
      </c>
      <c r="Q75" s="134">
        <f t="shared" ca="1" si="2"/>
        <v>44.100896388888877</v>
      </c>
      <c r="R75" s="134">
        <f t="shared" ca="1" si="3"/>
        <v>44.100896388888877</v>
      </c>
      <c r="S75" s="134">
        <f t="shared" ca="1" si="23"/>
        <v>3194.4299999999989</v>
      </c>
      <c r="T75" s="134">
        <f t="shared" ca="1" si="24"/>
        <v>138.88999999999999</v>
      </c>
      <c r="U75" s="134">
        <f t="shared" ca="1" si="25"/>
        <v>138.88999999999999</v>
      </c>
      <c r="V75" s="134">
        <f ca="1">IF(O76=1,S74*D5*20/36000+S75*D5*10/36000,IF(O76=0,IF(O75=0,0,S75*D5*R48/36000+S74*D5*20/36000+S75*D5*10/36000)))</f>
        <v>44.100896388888877</v>
      </c>
      <c r="W75" s="134">
        <f ca="1">IF(O76=1,S74*D5*20/36000+S75*D5*10/36000,IF(O76=0,IF(O75=0,0,S75*D5*R48/36000+S74*D5*20/36000+S75*D5*10/36000)))</f>
        <v>44.100896388888877</v>
      </c>
      <c r="X75" s="134">
        <f t="shared" ca="1" si="26"/>
        <v>67.083333333333329</v>
      </c>
      <c r="Y75" s="134">
        <f t="shared" ca="1" si="27"/>
        <v>70</v>
      </c>
      <c r="Z75" s="134">
        <f t="shared" ca="1" si="4"/>
        <v>4791.66</v>
      </c>
      <c r="AA75" s="134">
        <f ca="1">IF(O76=1,Z74*D$5*20/36000+Z75*D$5*10/36000,IF(O76=0,IF(O75=0,0,Z75*D$5*R$48/36000+Z74*D$5*20/36000+Z75*D$5*10/36000)))</f>
        <v>66.151590555555558</v>
      </c>
      <c r="AB75" s="134">
        <f t="shared" ca="1" si="5"/>
        <v>66.151590555555558</v>
      </c>
      <c r="AC75" s="134">
        <f ca="1">IF(S76=0,S75*R48,(S74*20+S75*10))</f>
        <v>98610.699999999968</v>
      </c>
      <c r="AD75" s="134"/>
      <c r="AE75" s="134">
        <f t="shared" ca="1" si="6"/>
        <v>0</v>
      </c>
      <c r="AF75" s="134">
        <f t="shared" ca="1" si="7"/>
        <v>0</v>
      </c>
      <c r="AG75" s="134">
        <f t="shared" ca="1" si="29"/>
        <v>0</v>
      </c>
      <c r="AH75" s="134">
        <f t="shared" ca="1" si="8"/>
        <v>0</v>
      </c>
      <c r="AI75" s="134">
        <f t="shared" ca="1" si="30"/>
        <v>0</v>
      </c>
      <c r="AJ75" s="134">
        <f t="shared" ca="1" si="9"/>
        <v>0</v>
      </c>
      <c r="AK75" s="134">
        <f t="shared" ca="1" si="10"/>
        <v>3194.4299999999989</v>
      </c>
      <c r="AL75" s="134">
        <f ca="1">IF(O76=1,AK74*H48*20/36000+AK75*H48*10/36000,IF(O76=0,IF(O75=0,0,AK75*H48*R48/36000+AK74*H48*20/36000+AK75*H48*10/36000)))</f>
        <v>0</v>
      </c>
      <c r="AM75" s="134">
        <f ca="1">IF(O76=1,AK74*H48*20/36000+AK75*H48*10/36000,IF(O76=0,IF(O75=0,0,AK75*H48*R48/36000+AK74*H48*20/36000+AK75*H48*10/36000)))</f>
        <v>0</v>
      </c>
      <c r="AN75" s="132">
        <f t="shared" ca="1" si="31"/>
        <v>3</v>
      </c>
      <c r="AO75" s="132">
        <f t="shared" ca="1" si="11"/>
        <v>3</v>
      </c>
      <c r="AP75" s="2">
        <f t="shared" ca="1" si="32"/>
        <v>2025</v>
      </c>
      <c r="AQ75" s="2">
        <f t="shared" ca="1" si="12"/>
        <v>2025</v>
      </c>
      <c r="AR75" s="2">
        <f t="shared" ca="1" si="13"/>
        <v>0</v>
      </c>
      <c r="AS75" s="2">
        <f t="shared" ca="1" si="14"/>
        <v>30</v>
      </c>
      <c r="AT75" s="2">
        <f t="shared" si="15"/>
        <v>20</v>
      </c>
      <c r="AU75" s="2">
        <f t="shared" ca="1" si="33"/>
        <v>28</v>
      </c>
      <c r="AV75" s="2"/>
      <c r="AW75" s="2"/>
      <c r="AX75" s="2"/>
      <c r="AY75" s="2"/>
      <c r="AZ75" s="2"/>
      <c r="BA75" s="2">
        <f t="shared" ca="1" si="16"/>
        <v>1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4">
        <f t="shared" si="17"/>
        <v>15</v>
      </c>
      <c r="B76" s="268">
        <f t="shared" ca="1" si="18"/>
        <v>45767</v>
      </c>
      <c r="C76" s="268"/>
      <c r="D76" s="269">
        <f ca="1">IF(O76=0,IF(O75=1,D62+D63+D64+D65+D66+D67+D68+D69+D70+D71+D72+D73+D74+D75," "),IF(O76=0," ",IF(O77=1,D62,IF(O77=0,D4-D62*(N50-1)," "))))</f>
        <v>138.88999999999999</v>
      </c>
      <c r="E76" s="269"/>
      <c r="F76" s="269"/>
      <c r="G76" s="87">
        <f ca="1">IF(O76=0,IF(O75=1,G62+G63+G64+G65+G66+G67+G68+G69+G70+G71+G72+G73+G74+G75," "),IF(N37=1,Q76,IF(N37=2,R76," ")))</f>
        <v>42.237455555555549</v>
      </c>
      <c r="H76" s="87">
        <v>0</v>
      </c>
      <c r="I76" s="87">
        <f t="shared" ca="1" si="19"/>
        <v>181.12745555555554</v>
      </c>
      <c r="J76" s="87">
        <f t="shared" ca="1" si="20"/>
        <v>208.34</v>
      </c>
      <c r="K76" s="87">
        <f t="shared" ca="1" si="0"/>
        <v>63.356362222222231</v>
      </c>
      <c r="L76" s="87">
        <v>0</v>
      </c>
      <c r="M76" s="87">
        <f t="shared" ca="1" si="21"/>
        <v>271.69636222222221</v>
      </c>
      <c r="N76" s="2">
        <f t="shared" si="22"/>
        <v>15</v>
      </c>
      <c r="O76" s="2">
        <f ca="1">IF(N37=1,IF(N50&gt;14,1,0),IF(N37=2,IF(N50&gt;14,1,0),0))</f>
        <v>1</v>
      </c>
      <c r="P76" s="2">
        <f t="shared" ca="1" si="1"/>
        <v>20</v>
      </c>
      <c r="Q76" s="134">
        <f t="shared" ca="1" si="2"/>
        <v>42.237455555555549</v>
      </c>
      <c r="R76" s="134">
        <f t="shared" ca="1" si="3"/>
        <v>42.237455555555549</v>
      </c>
      <c r="S76" s="134">
        <f t="shared" ca="1" si="23"/>
        <v>3055.5399999999991</v>
      </c>
      <c r="T76" s="134">
        <f t="shared" ca="1" si="24"/>
        <v>138.88999999999999</v>
      </c>
      <c r="U76" s="134">
        <f t="shared" ca="1" si="25"/>
        <v>138.88999999999999</v>
      </c>
      <c r="V76" s="134">
        <f ca="1">IF(O77=1,S75*D5*20/36000+S76*D5*10/36000,IF(O77=0,IF(O76=0,0,S76*D5*R48/36000+S75*D5*20/36000+S76*D5*10/36000)))</f>
        <v>42.237455555555549</v>
      </c>
      <c r="W76" s="134">
        <f ca="1">IF(O77=1,S75*D5*20/36000+S76*D5*10/36000,IF(O77=0,IF(O76=0,0,S76*D5*R48/36000+S75*D5*20/36000+S76*D5*10/36000)))</f>
        <v>42.237455555555549</v>
      </c>
      <c r="X76" s="134">
        <f t="shared" ca="1" si="26"/>
        <v>67.083333333333329</v>
      </c>
      <c r="Y76" s="134">
        <f t="shared" ca="1" si="27"/>
        <v>70</v>
      </c>
      <c r="Z76" s="134">
        <f t="shared" ca="1" si="4"/>
        <v>4583.32</v>
      </c>
      <c r="AA76" s="134">
        <f ca="1">IF(O77=1,Z75*D$5*20/36000+Z76*D$5*10/36000,IF(O77=0,IF(O76=0,0,Z76*D$5*R$48/36000+Z75*D$5*20/36000+Z76*D$5*10/36000)))</f>
        <v>63.356362222222231</v>
      </c>
      <c r="AB76" s="134">
        <f t="shared" ca="1" si="5"/>
        <v>63.356362222222231</v>
      </c>
      <c r="AC76" s="134">
        <f ca="1">IF(S77=0,S76*R48,(S75*20+S76*10))</f>
        <v>94443.999999999971</v>
      </c>
      <c r="AD76" s="134"/>
      <c r="AE76" s="134">
        <f t="shared" ca="1" si="6"/>
        <v>0</v>
      </c>
      <c r="AF76" s="134">
        <f t="shared" ca="1" si="7"/>
        <v>0</v>
      </c>
      <c r="AG76" s="134">
        <f t="shared" ca="1" si="29"/>
        <v>0</v>
      </c>
      <c r="AH76" s="134">
        <f t="shared" ca="1" si="8"/>
        <v>0</v>
      </c>
      <c r="AI76" s="134">
        <f t="shared" ca="1" si="30"/>
        <v>0</v>
      </c>
      <c r="AJ76" s="134">
        <f t="shared" ca="1" si="9"/>
        <v>0</v>
      </c>
      <c r="AK76" s="134">
        <f t="shared" ca="1" si="10"/>
        <v>3055.5399999999991</v>
      </c>
      <c r="AL76" s="134">
        <f ca="1">IF(O77=1,AK75*H48*20/36000+AK76*H48*10/36000,IF(O77=0,IF(O76=0,0,AK76*H48*R48/36000+AK75*H48*20/36000+AK76*H48*10/36000)))</f>
        <v>0</v>
      </c>
      <c r="AM76" s="134">
        <f ca="1">IF(O77=1,AK75*H48*20/36000+AK76*H48*10/36000,IF(O77=0,IF(O76=0,0,AK76*H48*R48/36000+AK75*H48*20/36000+AK76*H48*10/36000)))</f>
        <v>0</v>
      </c>
      <c r="AN76" s="132">
        <f t="shared" ca="1" si="31"/>
        <v>4</v>
      </c>
      <c r="AO76" s="132">
        <f t="shared" ca="1" si="11"/>
        <v>4</v>
      </c>
      <c r="AP76" s="2">
        <f t="shared" ca="1" si="32"/>
        <v>2025</v>
      </c>
      <c r="AQ76" s="2">
        <f t="shared" ca="1" si="12"/>
        <v>2025</v>
      </c>
      <c r="AR76" s="2">
        <f t="shared" ca="1" si="13"/>
        <v>0</v>
      </c>
      <c r="AS76" s="2">
        <f t="shared" ca="1" si="14"/>
        <v>30</v>
      </c>
      <c r="AT76" s="2">
        <f t="shared" si="15"/>
        <v>20</v>
      </c>
      <c r="AU76" s="2">
        <f t="shared" ca="1" si="33"/>
        <v>30</v>
      </c>
      <c r="AV76" s="2"/>
      <c r="AW76" s="2"/>
      <c r="AX76" s="2"/>
      <c r="AY76" s="2"/>
      <c r="AZ76" s="2"/>
      <c r="BA76" s="2">
        <f t="shared" ca="1" si="16"/>
        <v>1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7"/>
        <v>16</v>
      </c>
      <c r="B77" s="268">
        <f t="shared" ca="1" si="18"/>
        <v>45797</v>
      </c>
      <c r="C77" s="268"/>
      <c r="D77" s="269">
        <f ca="1">IF(O77=0,IF(O76=1,D62+D63+D64+D65+D66+D67+D68+D69+D70+D71+D72+D73+D74+D75+D76," "),IF(O77=0," ",IF(O78=1,D62,IF(O78=0,D4-D62*(N50-1)," "))))</f>
        <v>138.88999999999999</v>
      </c>
      <c r="E77" s="269"/>
      <c r="F77" s="269"/>
      <c r="G77" s="87">
        <f ca="1">IF(O77=0,IF(O76=1,G62+G63+G64+G65+G66+G67+G68+G69+G70+G71+G72+G73+G74+G75+G76," "),IF(N37=1,Q77,IF(N37=2,R77," ")))</f>
        <v>40.374014722222213</v>
      </c>
      <c r="H77" s="87">
        <v>0</v>
      </c>
      <c r="I77" s="87">
        <f t="shared" ca="1" si="19"/>
        <v>179.26401472222221</v>
      </c>
      <c r="J77" s="87">
        <f t="shared" ca="1" si="20"/>
        <v>208.34</v>
      </c>
      <c r="K77" s="87">
        <f t="shared" ca="1" si="0"/>
        <v>60.561133888888889</v>
      </c>
      <c r="L77" s="87">
        <v>0</v>
      </c>
      <c r="M77" s="87">
        <f t="shared" ca="1" si="21"/>
        <v>268.90113388888892</v>
      </c>
      <c r="N77" s="2">
        <f t="shared" si="22"/>
        <v>16</v>
      </c>
      <c r="O77" s="2">
        <f ca="1">IF(N37=1,IF(N50&gt;15,1,0),IF(N37=2,IF(N50&gt;15,1,0),0))</f>
        <v>1</v>
      </c>
      <c r="P77" s="2">
        <f t="shared" ca="1" si="1"/>
        <v>20</v>
      </c>
      <c r="Q77" s="134">
        <f t="shared" ca="1" si="2"/>
        <v>40.374014722222213</v>
      </c>
      <c r="R77" s="134">
        <f t="shared" ca="1" si="3"/>
        <v>40.374014722222213</v>
      </c>
      <c r="S77" s="134">
        <f t="shared" ca="1" si="23"/>
        <v>2916.6499999999992</v>
      </c>
      <c r="T77" s="134">
        <f t="shared" ca="1" si="24"/>
        <v>138.88999999999999</v>
      </c>
      <c r="U77" s="134">
        <f t="shared" ca="1" si="25"/>
        <v>138.88999999999999</v>
      </c>
      <c r="V77" s="134">
        <f ca="1">IF(O78=1,S76*D5*20/36000+S77*D5*10/36000,IF(O78=0,IF(O77=0,0,S77*D5*R48/36000+S76*D5*20/36000+S77*D5*10/36000)))</f>
        <v>40.374014722222213</v>
      </c>
      <c r="W77" s="134">
        <f ca="1">IF(O78=1,S76*D5*20/36000+S77*D5*10/36000,IF(O78=0,IF(O77=0,0,S77*D5*R48/36000+S76*D5*20/36000+S77*D5*10/36000)))</f>
        <v>40.374014722222213</v>
      </c>
      <c r="X77" s="134">
        <f t="shared" ca="1" si="26"/>
        <v>67.083333333333329</v>
      </c>
      <c r="Y77" s="134">
        <f t="shared" ca="1" si="27"/>
        <v>70</v>
      </c>
      <c r="Z77" s="134">
        <f t="shared" ca="1" si="4"/>
        <v>4374.9799999999996</v>
      </c>
      <c r="AA77" s="134">
        <f ca="1">IF(O78=1,Z76*D$5*20/36000+Z77*D$5*10/36000,IF(O78=0,IF(O77=0,0,Z77*D$5*R$48/36000+Z76*D$5*20/36000+Z77*D$5*10/36000)))</f>
        <v>60.561133888888889</v>
      </c>
      <c r="AB77" s="134">
        <f t="shared" ca="1" si="5"/>
        <v>60.561133888888889</v>
      </c>
      <c r="AC77" s="134">
        <f ca="1">IF(S78=0,S77*R48,(S76*20+S77*10))</f>
        <v>90277.299999999974</v>
      </c>
      <c r="AD77" s="134"/>
      <c r="AE77" s="134">
        <f t="shared" ca="1" si="6"/>
        <v>0</v>
      </c>
      <c r="AF77" s="134">
        <f t="shared" ca="1" si="7"/>
        <v>0</v>
      </c>
      <c r="AG77" s="134">
        <f t="shared" ca="1" si="29"/>
        <v>0</v>
      </c>
      <c r="AH77" s="134">
        <f t="shared" ca="1" si="8"/>
        <v>0</v>
      </c>
      <c r="AI77" s="134">
        <f t="shared" ca="1" si="30"/>
        <v>0</v>
      </c>
      <c r="AJ77" s="134">
        <f t="shared" ca="1" si="9"/>
        <v>0</v>
      </c>
      <c r="AK77" s="134">
        <f t="shared" ca="1" si="10"/>
        <v>2916.6499999999992</v>
      </c>
      <c r="AL77" s="134">
        <f ca="1">IF(O78=1,AK76*H48*20/36000+AK77*H48*10/36000,IF(O78=0,IF(O77=0,0,AK77*H48*R48/36000+AK76*H48*20/36000+AK77*H48*10/36000)))</f>
        <v>0</v>
      </c>
      <c r="AM77" s="134">
        <f ca="1">IF(O78=1,AK76*H48*20/36000+AK77*H48*10/36000,IF(O78=0,IF(O77=0,0,AK77*H48*R48/36000+AK76*H48*20/36000+AK77*H48*10/36000)))</f>
        <v>0</v>
      </c>
      <c r="AN77" s="132">
        <f t="shared" ca="1" si="31"/>
        <v>5</v>
      </c>
      <c r="AO77" s="132">
        <f t="shared" ca="1" si="11"/>
        <v>5</v>
      </c>
      <c r="AP77" s="2">
        <f t="shared" ca="1" si="32"/>
        <v>2025</v>
      </c>
      <c r="AQ77" s="2">
        <f t="shared" ca="1" si="12"/>
        <v>2025</v>
      </c>
      <c r="AR77" s="2">
        <f t="shared" ca="1" si="13"/>
        <v>0</v>
      </c>
      <c r="AS77" s="2">
        <f t="shared" ca="1" si="14"/>
        <v>30</v>
      </c>
      <c r="AT77" s="2">
        <f t="shared" si="15"/>
        <v>20</v>
      </c>
      <c r="AU77" s="2">
        <f t="shared" ca="1" si="33"/>
        <v>30</v>
      </c>
      <c r="AV77" s="2"/>
      <c r="AW77" s="2"/>
      <c r="AX77" s="2"/>
      <c r="AY77" s="2"/>
      <c r="AZ77" s="2"/>
      <c r="BA77" s="2">
        <f t="shared" ca="1" si="16"/>
        <v>1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4">
        <f t="shared" si="17"/>
        <v>17</v>
      </c>
      <c r="B78" s="268">
        <f t="shared" ca="1" si="18"/>
        <v>45828</v>
      </c>
      <c r="C78" s="268"/>
      <c r="D78" s="269">
        <f ca="1">IF(O78=0,IF(O77=1,D62+D63+D64+D65+D66+D67+D68+D69+D70+D71+D72+D73+D74+D75+D76+D77," "),IF(O78=0," ",IF(O79=1,D62,IF(O79=0,D4-D62*(N50-1)," "))))</f>
        <v>138.88999999999999</v>
      </c>
      <c r="E78" s="269"/>
      <c r="F78" s="269"/>
      <c r="G78" s="87">
        <f ca="1">IF(O78=0,IF(O77=1,G62+G63+G64+G65+G66+G67+G68+G69+G70+G71+G73+G72+G74+G75+G76+G77," "),IF(N37=1,Q78,IF(N37=2,R78," ")))</f>
        <v>38.510573888888885</v>
      </c>
      <c r="H78" s="87">
        <v>0</v>
      </c>
      <c r="I78" s="87">
        <f t="shared" ca="1" si="19"/>
        <v>177.40057388888886</v>
      </c>
      <c r="J78" s="87">
        <f t="shared" ca="1" si="20"/>
        <v>208.34</v>
      </c>
      <c r="K78" s="87">
        <f t="shared" ca="1" si="0"/>
        <v>57.765905555555563</v>
      </c>
      <c r="L78" s="87">
        <v>0</v>
      </c>
      <c r="M78" s="87">
        <f t="shared" ca="1" si="21"/>
        <v>266.10590555555558</v>
      </c>
      <c r="N78" s="2">
        <f t="shared" si="22"/>
        <v>17</v>
      </c>
      <c r="O78" s="2">
        <f ca="1">IF(N37=1,IF(N50&gt;16,1,0),IF(N37=2,IF(N50&gt;16,1,0),0))</f>
        <v>1</v>
      </c>
      <c r="P78" s="2">
        <f t="shared" ca="1" si="1"/>
        <v>20</v>
      </c>
      <c r="Q78" s="134">
        <f t="shared" ca="1" si="2"/>
        <v>38.510573888888885</v>
      </c>
      <c r="R78" s="134">
        <f t="shared" ca="1" si="3"/>
        <v>38.510573888888885</v>
      </c>
      <c r="S78" s="134">
        <f t="shared" ca="1" si="23"/>
        <v>2777.7599999999993</v>
      </c>
      <c r="T78" s="134">
        <f t="shared" ca="1" si="24"/>
        <v>138.88999999999999</v>
      </c>
      <c r="U78" s="134">
        <f t="shared" ca="1" si="25"/>
        <v>138.88999999999999</v>
      </c>
      <c r="V78" s="134">
        <f ca="1">IF(O79=1,S77*D5*20/36000+S78*D5*10/36000,IF(O79=0,IF(O78=0,0,S78*D5*R48/36000+S77*D5*20/36000+S78*D5*10/36000)))</f>
        <v>38.510573888888885</v>
      </c>
      <c r="W78" s="134">
        <f ca="1">IF(O79=1,S77*D5*20/36000+S78*D5*10/36000,IF(O79=0,IF(O78=0,0,S78*D5*R48/36000+S77*D5*20/36000+S78*D5*10/36000)))</f>
        <v>38.510573888888885</v>
      </c>
      <c r="X78" s="134">
        <f t="shared" ca="1" si="26"/>
        <v>67.083333333333329</v>
      </c>
      <c r="Y78" s="134">
        <f t="shared" ca="1" si="27"/>
        <v>70</v>
      </c>
      <c r="Z78" s="134">
        <f t="shared" ca="1" si="4"/>
        <v>4166.6399999999994</v>
      </c>
      <c r="AA78" s="134">
        <f ca="1">IF(O79=1,Z77*D$5*20/36000+Z78*D$5*10/36000,IF(O79=0,IF(O78=0,0,Z78*D$5*R$48/36000+Z77*D$5*20/36000+Z78*D$5*10/36000)))</f>
        <v>57.765905555555563</v>
      </c>
      <c r="AB78" s="134">
        <f t="shared" ca="1" si="5"/>
        <v>57.765905555555563</v>
      </c>
      <c r="AC78" s="134">
        <f ca="1">IF(S79=0,S78*R48,(S77*20+S78*10))</f>
        <v>86110.599999999977</v>
      </c>
      <c r="AD78" s="134"/>
      <c r="AE78" s="134">
        <f t="shared" ca="1" si="6"/>
        <v>0</v>
      </c>
      <c r="AF78" s="134">
        <f t="shared" ca="1" si="7"/>
        <v>0</v>
      </c>
      <c r="AG78" s="134">
        <f t="shared" ca="1" si="29"/>
        <v>0</v>
      </c>
      <c r="AH78" s="134">
        <f t="shared" ca="1" si="8"/>
        <v>0</v>
      </c>
      <c r="AI78" s="134">
        <f t="shared" ca="1" si="30"/>
        <v>0</v>
      </c>
      <c r="AJ78" s="134">
        <f t="shared" ca="1" si="9"/>
        <v>0</v>
      </c>
      <c r="AK78" s="134">
        <f t="shared" ca="1" si="10"/>
        <v>2777.7599999999993</v>
      </c>
      <c r="AL78" s="134">
        <f ca="1">IF(O79=1,AK77*H48*20/36000+AK78*H48*10/36000,IF(O79=0,IF(O78=0,0,AK78*H48*R48/36000+AK77*H48*20/36000+AK78*H48*10/36000)))</f>
        <v>0</v>
      </c>
      <c r="AM78" s="134">
        <f ca="1">IF(O79=1,AK77*H48*20/36000+AK78*H48*10/36000,IF(O79=0,IF(O78=0,0,AK78*H48*R48/36000+AK77*H48*20/36000+AK78*H48*10/36000)))</f>
        <v>0</v>
      </c>
      <c r="AN78" s="132">
        <f t="shared" ca="1" si="31"/>
        <v>6</v>
      </c>
      <c r="AO78" s="132">
        <f t="shared" ca="1" si="11"/>
        <v>6</v>
      </c>
      <c r="AP78" s="2">
        <f t="shared" ca="1" si="32"/>
        <v>2025</v>
      </c>
      <c r="AQ78" s="2">
        <f t="shared" ca="1" si="12"/>
        <v>2025</v>
      </c>
      <c r="AR78" s="2">
        <f t="shared" ca="1" si="13"/>
        <v>0</v>
      </c>
      <c r="AS78" s="2">
        <f t="shared" ca="1" si="14"/>
        <v>30</v>
      </c>
      <c r="AT78" s="2">
        <f t="shared" si="15"/>
        <v>20</v>
      </c>
      <c r="AU78" s="2">
        <f t="shared" ca="1" si="33"/>
        <v>30</v>
      </c>
      <c r="AV78" s="2"/>
      <c r="AW78" s="2"/>
      <c r="AX78" s="2"/>
      <c r="AY78" s="2"/>
      <c r="AZ78" s="2"/>
      <c r="BA78" s="2">
        <f t="shared" ca="1" si="16"/>
        <v>1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4">
        <f t="shared" si="17"/>
        <v>18</v>
      </c>
      <c r="B79" s="268">
        <f t="shared" ca="1" si="18"/>
        <v>45858</v>
      </c>
      <c r="C79" s="268"/>
      <c r="D79" s="269">
        <f ca="1">IF(O79=0,IF(O78=1,D62+D63+D64+D65+D66+D67+D68+D69+D70+D71+D72+D73+D74+D75+D76+D77+D78," "),IF(O79=0," ",IF(O80=1,D62,IF(O80=0,D4-D62*(N50-1)," "))))</f>
        <v>138.88999999999999</v>
      </c>
      <c r="E79" s="269"/>
      <c r="F79" s="269"/>
      <c r="G79" s="87">
        <f ca="1">IF(O79=0,IF(O78=1,G62+G63+G64+G65+G66+G67+G68+G69+G70+G71+G72+G73+G74+G75+G76+G77+G78," "),IF(N37=1,Q79,IF(N37=2,R79," ")))</f>
        <v>36.64713305555555</v>
      </c>
      <c r="H79" s="87">
        <v>0</v>
      </c>
      <c r="I79" s="87">
        <f t="shared" ca="1" si="19"/>
        <v>175.53713305555553</v>
      </c>
      <c r="J79" s="87">
        <f t="shared" ca="1" si="20"/>
        <v>208.34</v>
      </c>
      <c r="K79" s="87">
        <f t="shared" ca="1" si="0"/>
        <v>54.970677222222221</v>
      </c>
      <c r="L79" s="87">
        <v>0</v>
      </c>
      <c r="M79" s="87">
        <f t="shared" ca="1" si="21"/>
        <v>263.31067722222224</v>
      </c>
      <c r="N79" s="2">
        <f t="shared" si="22"/>
        <v>18</v>
      </c>
      <c r="O79" s="2">
        <f ca="1">IF(N37=1,IF(N50&gt;17,1,0),IF(N37=2,IF(N50&gt;17,1,0),0))</f>
        <v>1</v>
      </c>
      <c r="P79" s="2">
        <f t="shared" ca="1" si="1"/>
        <v>20</v>
      </c>
      <c r="Q79" s="134">
        <f t="shared" ca="1" si="2"/>
        <v>36.64713305555555</v>
      </c>
      <c r="R79" s="134">
        <f t="shared" ca="1" si="3"/>
        <v>36.64713305555555</v>
      </c>
      <c r="S79" s="134">
        <f t="shared" ca="1" si="23"/>
        <v>2638.8699999999994</v>
      </c>
      <c r="T79" s="134">
        <f t="shared" ca="1" si="24"/>
        <v>138.88999999999999</v>
      </c>
      <c r="U79" s="134">
        <f t="shared" ca="1" si="25"/>
        <v>138.88999999999999</v>
      </c>
      <c r="V79" s="134">
        <f ca="1">IF(O80=1,S78*D5*20/36000+S79*D5*10/36000,IF(O80=0,IF(O79=0,0,S79*D5*R48/36000+S78*D5*20/36000+S79*D5*10/36000)))</f>
        <v>36.64713305555555</v>
      </c>
      <c r="W79" s="134">
        <f ca="1">IF(O80=1,S78*D5*20/36000+S79*D5*10/36000,IF(O80=0,IF(O79=0,0,S79*D5*R48/36000+S78*D5*20/36000+S79*D5*10/36000)))</f>
        <v>36.64713305555555</v>
      </c>
      <c r="X79" s="134">
        <f t="shared" ca="1" si="26"/>
        <v>67.083333333333329</v>
      </c>
      <c r="Y79" s="134">
        <f t="shared" ca="1" si="27"/>
        <v>70</v>
      </c>
      <c r="Z79" s="134">
        <f t="shared" ca="1" si="4"/>
        <v>3958.2999999999993</v>
      </c>
      <c r="AA79" s="134">
        <f ca="1">IF(O80=1,Z78*D$5*20/36000+Z79*D$5*10/36000,IF(O80=0,IF(O79=0,0,Z79*D$5*R$48/36000+Z78*D$5*20/36000+Z79*D$5*10/36000)))</f>
        <v>54.970677222222221</v>
      </c>
      <c r="AB79" s="134">
        <f t="shared" ca="1" si="5"/>
        <v>54.970677222222221</v>
      </c>
      <c r="AC79" s="134">
        <f ca="1">IF(S80=0,S79*R48,(S78*20+S79*10))</f>
        <v>81943.89999999998</v>
      </c>
      <c r="AD79" s="134"/>
      <c r="AE79" s="134">
        <f t="shared" ca="1" si="6"/>
        <v>0</v>
      </c>
      <c r="AF79" s="134">
        <f t="shared" ca="1" si="7"/>
        <v>0</v>
      </c>
      <c r="AG79" s="134">
        <f t="shared" ca="1" si="29"/>
        <v>0</v>
      </c>
      <c r="AH79" s="134">
        <f t="shared" ca="1" si="8"/>
        <v>0</v>
      </c>
      <c r="AI79" s="134">
        <f t="shared" ca="1" si="30"/>
        <v>0</v>
      </c>
      <c r="AJ79" s="134">
        <f t="shared" ca="1" si="9"/>
        <v>0</v>
      </c>
      <c r="AK79" s="134">
        <f t="shared" ca="1" si="10"/>
        <v>2638.8699999999994</v>
      </c>
      <c r="AL79" s="134">
        <f ca="1">IF(O80=1,AK78*H48*20/36000+AK79*H48*10/36000,IF(O80=0,IF(O79=0,0,AK79*H48*R48/36000+AK78*H48*20/36000+AK79*H48*10/36000)))</f>
        <v>0</v>
      </c>
      <c r="AM79" s="134">
        <f ca="1">IF(O80=1,AK78*H48*20/36000+AK79*H48*10/36000,IF(O80=0,IF(O79=0,0,AK79*H48*R48/36000+AK78*H48*20/36000+AK79*H48*10/36000)))</f>
        <v>0</v>
      </c>
      <c r="AN79" s="132">
        <f t="shared" ca="1" si="31"/>
        <v>7</v>
      </c>
      <c r="AO79" s="132">
        <f t="shared" ca="1" si="11"/>
        <v>7</v>
      </c>
      <c r="AP79" s="2">
        <f t="shared" ca="1" si="32"/>
        <v>2025</v>
      </c>
      <c r="AQ79" s="2">
        <f t="shared" ca="1" si="12"/>
        <v>2025</v>
      </c>
      <c r="AR79" s="2">
        <f t="shared" ca="1" si="13"/>
        <v>0</v>
      </c>
      <c r="AS79" s="2">
        <f t="shared" ca="1" si="14"/>
        <v>30</v>
      </c>
      <c r="AT79" s="2">
        <f t="shared" si="15"/>
        <v>20</v>
      </c>
      <c r="AU79" s="2">
        <f t="shared" ca="1" si="33"/>
        <v>30</v>
      </c>
      <c r="AV79" s="2"/>
      <c r="AW79" s="2"/>
      <c r="AX79" s="2"/>
      <c r="AY79" s="2"/>
      <c r="AZ79" s="2"/>
      <c r="BA79" s="2">
        <f t="shared" ca="1" si="16"/>
        <v>1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19">
        <f t="shared" si="17"/>
        <v>19</v>
      </c>
      <c r="B80" s="268">
        <f t="shared" ca="1" si="18"/>
        <v>45889</v>
      </c>
      <c r="C80" s="268"/>
      <c r="D80" s="269">
        <f ca="1">IF(O80=0,IF(O79=1,D62+D63+D64+D65+D66+D67+D68+D69+D70+D71+D72+D73+D74+D75+D76+D77+D78+D79," "),IF(O80=0," ",IF(O81=1,D62,IF(O81=0,D4-D62*(N50-1)," "))))</f>
        <v>138.88999999999999</v>
      </c>
      <c r="E80" s="269"/>
      <c r="F80" s="269"/>
      <c r="G80" s="87">
        <f ca="1">IF(O80=0,IF(O79=1,G62+G63+G64+G65+G66+G67+G68+G69+G70+G71+G72+G73+G74+G75+G76+G77+G78+G79," "),IF(N37=1,Q80,IF(N37=2,R80," ")))</f>
        <v>34.783692222222221</v>
      </c>
      <c r="H80" s="87">
        <v>0</v>
      </c>
      <c r="I80" s="87">
        <f t="shared" ca="1" si="19"/>
        <v>173.6736922222222</v>
      </c>
      <c r="J80" s="87">
        <f t="shared" ca="1" si="20"/>
        <v>208.34</v>
      </c>
      <c r="K80" s="87">
        <f t="shared" ca="1" si="0"/>
        <v>52.17544888888888</v>
      </c>
      <c r="L80" s="87">
        <v>0</v>
      </c>
      <c r="M80" s="87">
        <f t="shared" ca="1" si="21"/>
        <v>260.5154488888889</v>
      </c>
      <c r="N80" s="2">
        <f t="shared" si="22"/>
        <v>19</v>
      </c>
      <c r="O80" s="2">
        <f ca="1">IF(N37=1,IF(N50&gt;18,1,0),IF(N37=2,IF(N50&gt;18,1,0),0))</f>
        <v>1</v>
      </c>
      <c r="P80" s="2">
        <f t="shared" ca="1" si="1"/>
        <v>20</v>
      </c>
      <c r="Q80" s="134">
        <f t="shared" ca="1" si="2"/>
        <v>34.783692222222221</v>
      </c>
      <c r="R80" s="134">
        <f t="shared" ca="1" si="3"/>
        <v>34.783692222222221</v>
      </c>
      <c r="S80" s="134">
        <f t="shared" ca="1" si="23"/>
        <v>2499.9799999999996</v>
      </c>
      <c r="T80" s="134">
        <f t="shared" ca="1" si="24"/>
        <v>138.88999999999999</v>
      </c>
      <c r="U80" s="134">
        <f t="shared" ca="1" si="25"/>
        <v>138.88999999999999</v>
      </c>
      <c r="V80" s="134">
        <f ca="1">IF(O81=1,S79*D$5*20/36000+S80*D$5*10/36000,IF(O81=0,IF(O80=0,0,IF(D10&gt;20,S79*D$5*20/36000+S80*D$5*(R$48-20)/36000,S80*D$5*R$48/36000))))</f>
        <v>34.783692222222221</v>
      </c>
      <c r="W80" s="134">
        <f ca="1">IF(O81=1,S79*D$5*20/36000+S80*D$5*10/36000,IF(O81=0,IF(O80=0,0,IF(D10&gt;20,S79*D$5*20/36000+S80*D$5*(R$48-20)/36000,S80*D$5*R$48/36000))))</f>
        <v>34.783692222222221</v>
      </c>
      <c r="X80" s="134">
        <f t="shared" ca="1" si="26"/>
        <v>67.083333333333329</v>
      </c>
      <c r="Y80" s="134">
        <f t="shared" ca="1" si="27"/>
        <v>70</v>
      </c>
      <c r="Z80" s="134">
        <f t="shared" ca="1" si="4"/>
        <v>3749.9599999999991</v>
      </c>
      <c r="AA80" s="134">
        <f ca="1">IF(O81=1,Z79*D$5*20/36000+Z80*D$5*10/36000,IF(O81=0,IF(O80=0,0,IF(D$10&gt;20,Z79*D$5*20/36000+Z80*D$5*(R$48-20)/36000,Z80*D$5*R$48/36000))))</f>
        <v>52.17544888888888</v>
      </c>
      <c r="AB80" s="134">
        <f t="shared" ca="1" si="5"/>
        <v>52.17544888888888</v>
      </c>
      <c r="AC80" s="134">
        <f ca="1">IF(S81=0,S80*R48,(S79*20+S80*10))</f>
        <v>77777.199999999983</v>
      </c>
      <c r="AD80" s="134"/>
      <c r="AE80" s="134">
        <f t="shared" ca="1" si="6"/>
        <v>0</v>
      </c>
      <c r="AF80" s="134">
        <f t="shared" ca="1" si="7"/>
        <v>0</v>
      </c>
      <c r="AG80" s="134">
        <f t="shared" ca="1" si="29"/>
        <v>0</v>
      </c>
      <c r="AH80" s="134">
        <f t="shared" ca="1" si="8"/>
        <v>0</v>
      </c>
      <c r="AI80" s="134">
        <f t="shared" ca="1" si="30"/>
        <v>0</v>
      </c>
      <c r="AJ80" s="134">
        <f t="shared" ca="1" si="9"/>
        <v>0</v>
      </c>
      <c r="AK80" s="134">
        <f t="shared" ca="1" si="10"/>
        <v>2499.9799999999996</v>
      </c>
      <c r="AL80" s="134">
        <f ca="1">IF(O81=1,AK79*H$48*20/36000+AK80*H$48*10/36000,IF(O81=0,IF(O80=0,0,AK80*H$48*R$48/36000)))</f>
        <v>0</v>
      </c>
      <c r="AM80" s="134">
        <f ca="1">IF(O81=1,AK79*H$48*20/36000+AK80*H$48*10/36000,IF(O81=0,IF(O80=0,0,AK80*H$48*R$48/36000)))</f>
        <v>0</v>
      </c>
      <c r="AN80" s="132">
        <f t="shared" ca="1" si="31"/>
        <v>8</v>
      </c>
      <c r="AO80" s="132">
        <f t="shared" ca="1" si="11"/>
        <v>8</v>
      </c>
      <c r="AP80" s="2">
        <f t="shared" ca="1" si="32"/>
        <v>2025</v>
      </c>
      <c r="AQ80" s="2">
        <f t="shared" ca="1" si="12"/>
        <v>2025</v>
      </c>
      <c r="AR80" s="2">
        <f t="shared" ca="1" si="13"/>
        <v>0</v>
      </c>
      <c r="AS80" s="2">
        <f t="shared" ca="1" si="14"/>
        <v>30</v>
      </c>
      <c r="AT80" s="2">
        <f t="shared" si="15"/>
        <v>20</v>
      </c>
      <c r="AU80" s="2">
        <f t="shared" ca="1" si="33"/>
        <v>30</v>
      </c>
      <c r="AV80" s="2"/>
      <c r="AW80" s="2"/>
      <c r="AX80" s="2"/>
      <c r="AY80" s="2"/>
      <c r="AZ80" s="2"/>
      <c r="BA80" s="2">
        <f t="shared" ca="1" si="16"/>
        <v>1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7"/>
        <v>20</v>
      </c>
      <c r="B81" s="268">
        <f t="shared" ca="1" si="18"/>
        <v>45920</v>
      </c>
      <c r="C81" s="268"/>
      <c r="D81" s="269">
        <f ca="1">IF(O81=0,IF(O80=1,D62+D63+D64+D65+D66+D67+D68+D69+D70+D71+D72+D73+D74+D75+D76+D77+D78+D79+D80," "),IF(O81=0," ",IF(O82=1,D62,IF(O82=0,D4-D62*(N50-1)," "))))</f>
        <v>138.88999999999999</v>
      </c>
      <c r="E81" s="269"/>
      <c r="F81" s="269"/>
      <c r="G81" s="87">
        <f ca="1">IF(O81=0,IF(O80=1,G62+G63+G64+G65+G66+G67+G68+G69+G70+G71+G72+G73+G74+G75+G76+G77+G78+G79+G80," "),IF(N37=1,Q81,IF(N37=2,R81," ")))</f>
        <v>32.920251388888893</v>
      </c>
      <c r="H81" s="87">
        <v>0</v>
      </c>
      <c r="I81" s="87">
        <f t="shared" ca="1" si="19"/>
        <v>171.81025138888887</v>
      </c>
      <c r="J81" s="87">
        <f t="shared" ca="1" si="20"/>
        <v>208.34</v>
      </c>
      <c r="K81" s="87">
        <f t="shared" ca="1" si="0"/>
        <v>49.380220555555546</v>
      </c>
      <c r="L81" s="87">
        <v>0</v>
      </c>
      <c r="M81" s="87">
        <f t="shared" ca="1" si="21"/>
        <v>257.72022055555556</v>
      </c>
      <c r="N81" s="2">
        <f t="shared" si="22"/>
        <v>20</v>
      </c>
      <c r="O81" s="2">
        <f ca="1">IF(N37=1,IF(N50&gt;19,1,0),IF(N37=2,IF(N50&gt;19,1,0),0))</f>
        <v>1</v>
      </c>
      <c r="P81" s="2">
        <f t="shared" ca="1" si="1"/>
        <v>20</v>
      </c>
      <c r="Q81" s="134">
        <f t="shared" ca="1" si="2"/>
        <v>32.920251388888893</v>
      </c>
      <c r="R81" s="134">
        <f t="shared" ca="1" si="3"/>
        <v>32.920251388888893</v>
      </c>
      <c r="S81" s="134">
        <f t="shared" ca="1" si="23"/>
        <v>2361.0899999999997</v>
      </c>
      <c r="T81" s="134">
        <f t="shared" ca="1" si="24"/>
        <v>138.88999999999999</v>
      </c>
      <c r="U81" s="134">
        <f t="shared" ca="1" si="25"/>
        <v>138.88999999999999</v>
      </c>
      <c r="V81" s="134">
        <f ca="1">IF(O82=1,S80*D5*20/36000+S81*D5*10/36000,IF(O82=0,IF(O81=0,0,S81*D5*R48/36000+S80*D5*20/36000+S81*D5*10/36000)))</f>
        <v>32.920251388888893</v>
      </c>
      <c r="W81" s="134">
        <f ca="1">IF(O82=1,S80*D5*20/36000+S81*D5*10/36000,IF(O82=0,IF(O81=0,0,S81*D5*R48/36000+S80*D5*20/36000+S81*D5*10/36000)))</f>
        <v>32.920251388888893</v>
      </c>
      <c r="X81" s="134">
        <f t="shared" ca="1" si="26"/>
        <v>67.083333333333329</v>
      </c>
      <c r="Y81" s="134">
        <f t="shared" ca="1" si="27"/>
        <v>70</v>
      </c>
      <c r="Z81" s="134">
        <f t="shared" ca="1" si="4"/>
        <v>3541.619999999999</v>
      </c>
      <c r="AA81" s="134">
        <f ca="1">IF(O82=1,Z80*D$5*20/36000+Z81*D$5*10/36000,IF(O82=0,IF(O81=0,0,Z81*D$5*R$48/36000+Z80*D$5*20/36000+Z81*D$5*10/36000)))</f>
        <v>49.380220555555546</v>
      </c>
      <c r="AB81" s="134">
        <f t="shared" ca="1" si="5"/>
        <v>49.380220555555546</v>
      </c>
      <c r="AC81" s="134">
        <f ca="1">IF(S82=0,S81*R48,(S80*20+S81*10))</f>
        <v>73610.499999999985</v>
      </c>
      <c r="AD81" s="134"/>
      <c r="AE81" s="134">
        <f t="shared" ca="1" si="6"/>
        <v>0</v>
      </c>
      <c r="AF81" s="134">
        <f t="shared" ca="1" si="7"/>
        <v>0</v>
      </c>
      <c r="AG81" s="134">
        <f t="shared" ca="1" si="29"/>
        <v>0</v>
      </c>
      <c r="AH81" s="134">
        <f t="shared" ca="1" si="8"/>
        <v>0</v>
      </c>
      <c r="AI81" s="134">
        <f t="shared" ca="1" si="30"/>
        <v>0</v>
      </c>
      <c r="AJ81" s="134">
        <f t="shared" ca="1" si="9"/>
        <v>0</v>
      </c>
      <c r="AK81" s="134">
        <f t="shared" ca="1" si="10"/>
        <v>2361.0899999999997</v>
      </c>
      <c r="AL81" s="134">
        <f ca="1">IF(O82=1,AK80*H48*20/36000+AK81*H48*10/36000,IF(O82=0,IF(O81=0,0,AK81*H48*R48/36000+AK80*H48*20/36000+AK81*H48*10/36000)))</f>
        <v>0</v>
      </c>
      <c r="AM81" s="134">
        <f ca="1">IF(O82=1,AK80*H48*20/36000+AK81*H48*10/36000,IF(O82=0,IF(O81=0,0,AK81*H48*R48/36000+AK80*H48*20/36000+AK81*H48*10/36000)))</f>
        <v>0</v>
      </c>
      <c r="AN81" s="132">
        <f t="shared" ca="1" si="31"/>
        <v>9</v>
      </c>
      <c r="AO81" s="132">
        <f t="shared" ca="1" si="11"/>
        <v>9</v>
      </c>
      <c r="AP81" s="2">
        <f t="shared" ca="1" si="32"/>
        <v>2025</v>
      </c>
      <c r="AQ81" s="2">
        <f t="shared" ca="1" si="12"/>
        <v>2025</v>
      </c>
      <c r="AR81" s="2">
        <f t="shared" ca="1" si="13"/>
        <v>0</v>
      </c>
      <c r="AS81" s="2">
        <f t="shared" ca="1" si="14"/>
        <v>30</v>
      </c>
      <c r="AT81" s="2">
        <f t="shared" si="15"/>
        <v>20</v>
      </c>
      <c r="AU81" s="2">
        <f t="shared" ca="1" si="33"/>
        <v>30</v>
      </c>
      <c r="AV81" s="2"/>
      <c r="AW81" s="2"/>
      <c r="AX81" s="2"/>
      <c r="AY81" s="2"/>
      <c r="AZ81" s="2"/>
      <c r="BA81" s="2">
        <f t="shared" ca="1" si="16"/>
        <v>1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4">
        <f t="shared" si="17"/>
        <v>21</v>
      </c>
      <c r="B82" s="268">
        <f t="shared" ca="1" si="18"/>
        <v>45950</v>
      </c>
      <c r="C82" s="268"/>
      <c r="D82" s="269">
        <f ca="1">IF(O82=0,IF(O81=1,D62+D63+D64+D65+D66+D67+D68+D69+D70+D71+D72+D73+D74+D75+D76+D77+D78+D79+D80+D81," "),IF(O82=0," ",IF(O83=1,D62,IF(O83=0,D4-D62*(N50-1)," "))))</f>
        <v>138.88999999999999</v>
      </c>
      <c r="E82" s="269"/>
      <c r="F82" s="269"/>
      <c r="G82" s="87">
        <f ca="1">IF(O82=0,IF(O81=1,G62+G63+G64+G65+G66+G67+G68+G69+G70+G71+G72+G73+G74+G75+G76+G77+G78+G79+G80+G81," "),IF(N37=1,Q82,IF(N37=2,R82," ")))</f>
        <v>31.056810555555554</v>
      </c>
      <c r="H82" s="87">
        <v>0</v>
      </c>
      <c r="I82" s="87">
        <f t="shared" ca="1" si="19"/>
        <v>169.94681055555554</v>
      </c>
      <c r="J82" s="87">
        <f t="shared" ca="1" si="20"/>
        <v>208.34</v>
      </c>
      <c r="K82" s="87">
        <f t="shared" ca="1" si="0"/>
        <v>46.584992222222212</v>
      </c>
      <c r="L82" s="87">
        <v>0</v>
      </c>
      <c r="M82" s="87">
        <f t="shared" ca="1" si="21"/>
        <v>254.92499222222222</v>
      </c>
      <c r="N82" s="2">
        <f t="shared" si="22"/>
        <v>21</v>
      </c>
      <c r="O82" s="2">
        <f ca="1">IF(N37=1,IF(N50&gt;20,1,0),IF(N37=2,IF(N50&gt;20,1,0),0))</f>
        <v>1</v>
      </c>
      <c r="P82" s="2">
        <f t="shared" ca="1" si="1"/>
        <v>20</v>
      </c>
      <c r="Q82" s="134">
        <f t="shared" ca="1" si="2"/>
        <v>31.056810555555554</v>
      </c>
      <c r="R82" s="134">
        <f t="shared" ca="1" si="3"/>
        <v>31.056810555555554</v>
      </c>
      <c r="S82" s="134">
        <f t="shared" ca="1" si="23"/>
        <v>2222.1999999999998</v>
      </c>
      <c r="T82" s="134">
        <f t="shared" ca="1" si="24"/>
        <v>138.88999999999999</v>
      </c>
      <c r="U82" s="134">
        <f t="shared" ca="1" si="25"/>
        <v>138.88999999999999</v>
      </c>
      <c r="V82" s="134">
        <f ca="1">IF(O83=1,S81*D5*20/36000+S82*D5*10/36000,IF(O83=0,IF(O82=0,0,S82*D5*R48/36000+S81*D5*20/36000+S82*D5*10/36000)))</f>
        <v>31.056810555555554</v>
      </c>
      <c r="W82" s="134">
        <f ca="1">IF(O83=1,S81*D5*20/36000+S82*D5*10/36000,IF(O83=0,IF(O82=0,0,S82*D5*R48/36000+S81*D5*20/36000+S82*D5*10/36000)))</f>
        <v>31.056810555555554</v>
      </c>
      <c r="X82" s="134">
        <f t="shared" ca="1" si="26"/>
        <v>67.083333333333329</v>
      </c>
      <c r="Y82" s="134">
        <f t="shared" ca="1" si="27"/>
        <v>70</v>
      </c>
      <c r="Z82" s="134">
        <f t="shared" ca="1" si="4"/>
        <v>3333.2799999999988</v>
      </c>
      <c r="AA82" s="134">
        <f ca="1">IF(O83=1,Z81*D$5*20/36000+Z82*D$5*10/36000,IF(O83=0,IF(O82=0,0,Z82*D$5*R$48/36000+Z81*D$5*20/36000+Z82*D$5*10/36000)))</f>
        <v>46.584992222222212</v>
      </c>
      <c r="AB82" s="134">
        <f t="shared" ca="1" si="5"/>
        <v>46.584992222222212</v>
      </c>
      <c r="AC82" s="134">
        <f ca="1">IF(S83=0,S82*R48,(S81*20+S82*10))</f>
        <v>69443.799999999988</v>
      </c>
      <c r="AD82" s="134"/>
      <c r="AE82" s="134">
        <f t="shared" ca="1" si="6"/>
        <v>0</v>
      </c>
      <c r="AF82" s="134">
        <f t="shared" ca="1" si="7"/>
        <v>0</v>
      </c>
      <c r="AG82" s="134">
        <f t="shared" ca="1" si="29"/>
        <v>0</v>
      </c>
      <c r="AH82" s="134">
        <f t="shared" ca="1" si="8"/>
        <v>0</v>
      </c>
      <c r="AI82" s="134">
        <f t="shared" ca="1" si="30"/>
        <v>0</v>
      </c>
      <c r="AJ82" s="134">
        <f t="shared" ca="1" si="9"/>
        <v>0</v>
      </c>
      <c r="AK82" s="134">
        <f t="shared" ca="1" si="10"/>
        <v>2222.1999999999998</v>
      </c>
      <c r="AL82" s="134">
        <f ca="1">IF(O83=1,AK81*H48*20/36000+AK82*H48*10/36000,IF(O83=0,IF(O82=0,0,AK82*H48*R48/36000+AK81*H48*20/36000+AK82*H48*10/36000)))</f>
        <v>0</v>
      </c>
      <c r="AM82" s="134">
        <f ca="1">IF(O83=1,AK81*H48*20/36000+AK82*H48*10/36000,IF(O83=0,IF(O82=0,0,AK82*H48*R48/36000+AK81*H48*20/36000+AK82*H48*10/36000)))</f>
        <v>0</v>
      </c>
      <c r="AN82" s="132">
        <f t="shared" ca="1" si="31"/>
        <v>10</v>
      </c>
      <c r="AO82" s="132">
        <f t="shared" ca="1" si="11"/>
        <v>10</v>
      </c>
      <c r="AP82" s="2">
        <f t="shared" ca="1" si="32"/>
        <v>2025</v>
      </c>
      <c r="AQ82" s="2">
        <f t="shared" ca="1" si="12"/>
        <v>2025</v>
      </c>
      <c r="AR82" s="2">
        <f t="shared" ca="1" si="13"/>
        <v>0</v>
      </c>
      <c r="AS82" s="2">
        <f t="shared" ca="1" si="14"/>
        <v>30</v>
      </c>
      <c r="AT82" s="2">
        <f t="shared" si="15"/>
        <v>20</v>
      </c>
      <c r="AU82" s="2">
        <f t="shared" ca="1" si="33"/>
        <v>30</v>
      </c>
      <c r="AV82" s="2"/>
      <c r="AW82" s="2"/>
      <c r="AX82" s="2"/>
      <c r="AY82" s="2"/>
      <c r="AZ82" s="2"/>
      <c r="BA82" s="2">
        <f t="shared" ca="1" si="16"/>
        <v>1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7"/>
        <v>22</v>
      </c>
      <c r="B83" s="268">
        <f t="shared" ca="1" si="18"/>
        <v>45981</v>
      </c>
      <c r="C83" s="268"/>
      <c r="D83" s="269">
        <f ca="1">IF(O83=0,IF(O82=1,D62+D63+D64+D65+D66+D67+D68+D69+D70+D71+D72+D73+D74+D75+D76+D77+D78+D79+D80+D81+D82," "),IF(O83=0," ",IF(O84=1,D62,IF(O84=0,D4-D62*(N50-1)," "))))</f>
        <v>138.88999999999999</v>
      </c>
      <c r="E83" s="269"/>
      <c r="F83" s="269"/>
      <c r="G83" s="87">
        <f ca="1">IF(O83=0,IF(O82=1,G62+G63+G64+G65+G66+G67+G68+G69+G70+G71+G72+G73+G74+G75+G76+G77+G78+G79+G80+G81+G82," "),IF(N37=1,Q83,IF(N37=2,R83," ")))</f>
        <v>29.193369722222222</v>
      </c>
      <c r="H83" s="87">
        <v>0</v>
      </c>
      <c r="I83" s="87">
        <f t="shared" ca="1" si="19"/>
        <v>168.08336972222222</v>
      </c>
      <c r="J83" s="87">
        <f t="shared" ca="1" si="20"/>
        <v>208.34</v>
      </c>
      <c r="K83" s="87">
        <f t="shared" ca="1" si="0"/>
        <v>43.789763888888878</v>
      </c>
      <c r="L83" s="87">
        <v>0</v>
      </c>
      <c r="M83" s="87">
        <f t="shared" ca="1" si="21"/>
        <v>252.12976388888887</v>
      </c>
      <c r="N83" s="2">
        <f t="shared" si="22"/>
        <v>22</v>
      </c>
      <c r="O83" s="2">
        <f ca="1">IF(N37=1,IF(N50&gt;21,1,0),IF(N37=2,IF(N50&gt;21,1,0),0))</f>
        <v>1</v>
      </c>
      <c r="P83" s="2">
        <f t="shared" ca="1" si="1"/>
        <v>20</v>
      </c>
      <c r="Q83" s="134">
        <f t="shared" ca="1" si="2"/>
        <v>29.193369722222222</v>
      </c>
      <c r="R83" s="134">
        <f t="shared" ca="1" si="3"/>
        <v>29.193369722222222</v>
      </c>
      <c r="S83" s="134">
        <f t="shared" ca="1" si="23"/>
        <v>2083.31</v>
      </c>
      <c r="T83" s="134">
        <f t="shared" ca="1" si="24"/>
        <v>138.88999999999999</v>
      </c>
      <c r="U83" s="134">
        <f t="shared" ca="1" si="25"/>
        <v>138.88999999999999</v>
      </c>
      <c r="V83" s="134">
        <f ca="1">IF(O84=1,S82*D5*20/36000+S83*D5*10/36000,IF(O84=0,IF(O83=0,0,S83*D5*R48/36000+S82*D5*20/36000+S83*D5*10/36000)))</f>
        <v>29.193369722222222</v>
      </c>
      <c r="W83" s="134">
        <f ca="1">IF(O84=1,S82*D5*20/36000+S83*D5*10/36000,IF(O84=0,IF(O83=0,0,S83*D5*R48/36000+S82*D5*20/36000+S83*D5*10/36000)))</f>
        <v>29.193369722222222</v>
      </c>
      <c r="X83" s="134">
        <f t="shared" ca="1" si="26"/>
        <v>67.083333333333329</v>
      </c>
      <c r="Y83" s="134">
        <f t="shared" ca="1" si="27"/>
        <v>70</v>
      </c>
      <c r="Z83" s="134">
        <f t="shared" ca="1" si="4"/>
        <v>3124.9399999999987</v>
      </c>
      <c r="AA83" s="134">
        <f ca="1">IF(O84=1,Z82*D$5*20/36000+Z83*D$5*10/36000,IF(O84=0,IF(O83=0,0,Z83*D$5*R$48/36000+Z82*D$5*20/36000+Z83*D$5*10/36000)))</f>
        <v>43.789763888888878</v>
      </c>
      <c r="AB83" s="134">
        <f t="shared" ca="1" si="5"/>
        <v>43.789763888888878</v>
      </c>
      <c r="AC83" s="134">
        <f ca="1">IF(S84=0,S83*R48,(S82*20+S83*10))</f>
        <v>65277.1</v>
      </c>
      <c r="AD83" s="134"/>
      <c r="AE83" s="134">
        <f t="shared" ca="1" si="6"/>
        <v>0</v>
      </c>
      <c r="AF83" s="134">
        <f t="shared" ca="1" si="7"/>
        <v>0</v>
      </c>
      <c r="AG83" s="134">
        <f t="shared" ca="1" si="29"/>
        <v>0</v>
      </c>
      <c r="AH83" s="134">
        <f t="shared" ca="1" si="8"/>
        <v>0</v>
      </c>
      <c r="AI83" s="134">
        <f t="shared" ca="1" si="30"/>
        <v>0</v>
      </c>
      <c r="AJ83" s="134">
        <f t="shared" ca="1" si="9"/>
        <v>0</v>
      </c>
      <c r="AK83" s="134">
        <f t="shared" ca="1" si="10"/>
        <v>2083.31</v>
      </c>
      <c r="AL83" s="134">
        <f ca="1">IF(O84=1,AK82*H48*20/36000+AK83*H48*10/36000,IF(O84=0,IF(O83=0,0,AK83*H48*R48/36000+AK82*H48*20/36000+AK83*H48*10/36000)))</f>
        <v>0</v>
      </c>
      <c r="AM83" s="134">
        <f ca="1">IF(O84=1,AK82*H48*20/36000+AK83*H48*10/36000,IF(O84=0,IF(O83=0,0,AK83*H48*R48/36000+AK82*H48*20/36000+AK83*H48*10/36000)))</f>
        <v>0</v>
      </c>
      <c r="AN83" s="132">
        <f t="shared" ca="1" si="31"/>
        <v>11</v>
      </c>
      <c r="AO83" s="132">
        <f t="shared" ca="1" si="11"/>
        <v>11</v>
      </c>
      <c r="AP83" s="2">
        <f t="shared" ca="1" si="32"/>
        <v>2025</v>
      </c>
      <c r="AQ83" s="2">
        <f t="shared" ca="1" si="12"/>
        <v>2025</v>
      </c>
      <c r="AR83" s="2">
        <f t="shared" ca="1" si="13"/>
        <v>0</v>
      </c>
      <c r="AS83" s="2">
        <f t="shared" ca="1" si="14"/>
        <v>30</v>
      </c>
      <c r="AT83" s="2">
        <f t="shared" si="15"/>
        <v>20</v>
      </c>
      <c r="AU83" s="2">
        <f t="shared" ca="1" si="33"/>
        <v>30</v>
      </c>
      <c r="AV83" s="2"/>
      <c r="AW83" s="2"/>
      <c r="AX83" s="2"/>
      <c r="AY83" s="2"/>
      <c r="AZ83" s="2"/>
      <c r="BA83" s="2">
        <f t="shared" ca="1" si="16"/>
        <v>1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4">
        <f t="shared" si="17"/>
        <v>23</v>
      </c>
      <c r="B84" s="268">
        <f t="shared" ca="1" si="18"/>
        <v>46011</v>
      </c>
      <c r="C84" s="268"/>
      <c r="D84" s="269">
        <f ca="1">IF(O84=0,IF(O83=1,D62+D63+D64+D65+D66+D67+D68+D69+D70+D71+D72+D73+D74+D75+D76+D77+D78+D79+D80+D81+D82+D83," "),IF(O84=0," ",IF(O85=1,D62,IF(O85=0,D4-D62*(N50-1)," "))))</f>
        <v>138.88999999999999</v>
      </c>
      <c r="E84" s="269"/>
      <c r="F84" s="269"/>
      <c r="G84" s="87">
        <f ca="1">IF(O84=0,IF(O83=1,G62+G63+G64+G65+G66+G67+G68+G69+G70+G71+G72+G73+G74+G75+G76+G77+G78+G79+G80+G81+G82+G83," "),IF(N37=1,Q84,IF(N37=2,R84," ")))</f>
        <v>27.329928888888894</v>
      </c>
      <c r="H84" s="87">
        <v>0</v>
      </c>
      <c r="I84" s="87">
        <f t="shared" ca="1" si="19"/>
        <v>166.21992888888889</v>
      </c>
      <c r="J84" s="87">
        <f t="shared" ca="1" si="20"/>
        <v>208.34</v>
      </c>
      <c r="K84" s="87">
        <f t="shared" ca="1" si="0"/>
        <v>40.994535555555544</v>
      </c>
      <c r="L84" s="87">
        <v>0</v>
      </c>
      <c r="M84" s="87">
        <f t="shared" ca="1" si="21"/>
        <v>249.33453555555553</v>
      </c>
      <c r="N84" s="2">
        <f t="shared" si="22"/>
        <v>23</v>
      </c>
      <c r="O84" s="2">
        <f ca="1">IF(N37=1,IF(N50&gt;22,1,0),IF(N37=2,IF(N50&gt;22,1,0),0))</f>
        <v>1</v>
      </c>
      <c r="P84" s="2">
        <f t="shared" ca="1" si="1"/>
        <v>20</v>
      </c>
      <c r="Q84" s="134">
        <f t="shared" ca="1" si="2"/>
        <v>27.329928888888894</v>
      </c>
      <c r="R84" s="134">
        <f t="shared" ca="1" si="3"/>
        <v>27.329928888888894</v>
      </c>
      <c r="S84" s="134">
        <f t="shared" ca="1" si="23"/>
        <v>1944.42</v>
      </c>
      <c r="T84" s="134">
        <f t="shared" ca="1" si="24"/>
        <v>138.88999999999999</v>
      </c>
      <c r="U84" s="134">
        <f t="shared" ca="1" si="25"/>
        <v>138.88999999999999</v>
      </c>
      <c r="V84" s="134">
        <f ca="1">IF(O85=1,S83*D5*20/36000+S84*D5*10/36000,IF(O85=0,IF(O84=0,0,S84*D5*R48/36000+S83*D5*20/36000+S84*D5*10/36000)))</f>
        <v>27.329928888888894</v>
      </c>
      <c r="W84" s="134">
        <f ca="1">IF(O85=1,S83*D5*20/36000+S84*D5*10/36000,IF(O85=0,IF(O84=0,0,S84*D5*R48/36000+S83*D5*20/36000+S84*D5*10/36000)))</f>
        <v>27.329928888888894</v>
      </c>
      <c r="X84" s="134">
        <f t="shared" ca="1" si="26"/>
        <v>67.083333333333329</v>
      </c>
      <c r="Y84" s="134">
        <f t="shared" ca="1" si="27"/>
        <v>70</v>
      </c>
      <c r="Z84" s="134">
        <f t="shared" ca="1" si="4"/>
        <v>2916.5999999999985</v>
      </c>
      <c r="AA84" s="134">
        <f ca="1">IF(O85=1,Z83*D$5*20/36000+Z84*D$5*10/36000,IF(O85=0,IF(O84=0,0,Z84*D$5*R$48/36000+Z83*D$5*20/36000+Z84*D$5*10/36000)))</f>
        <v>40.994535555555544</v>
      </c>
      <c r="AB84" s="134">
        <f t="shared" ca="1" si="5"/>
        <v>40.994535555555544</v>
      </c>
      <c r="AC84" s="134">
        <f ca="1">IF(S85=0,S84*R48,(S83*20+S84*10))</f>
        <v>61110.399999999994</v>
      </c>
      <c r="AD84" s="134"/>
      <c r="AE84" s="134">
        <f t="shared" ca="1" si="6"/>
        <v>0</v>
      </c>
      <c r="AF84" s="134">
        <f t="shared" ca="1" si="7"/>
        <v>0</v>
      </c>
      <c r="AG84" s="134">
        <f t="shared" ca="1" si="29"/>
        <v>0</v>
      </c>
      <c r="AH84" s="134">
        <f t="shared" ca="1" si="8"/>
        <v>0</v>
      </c>
      <c r="AI84" s="134">
        <f t="shared" ca="1" si="30"/>
        <v>0</v>
      </c>
      <c r="AJ84" s="134">
        <f t="shared" ca="1" si="9"/>
        <v>0</v>
      </c>
      <c r="AK84" s="134">
        <f t="shared" ca="1" si="10"/>
        <v>1944.42</v>
      </c>
      <c r="AL84" s="134">
        <f ca="1">IF(O85=1,AK83*H48*20/36000+AK84*H48*10/36000,IF(O85=0,IF(O84=0,0,AK84*H48*R48/36000+AK83*H48*20/36000+AK84*H48*10/36000)))</f>
        <v>0</v>
      </c>
      <c r="AM84" s="134">
        <f ca="1">IF(O85=1,AK83*H48*20/36000+AK84*H48*10/36000,IF(O85=0,IF(O84=0,0,AK84*H48*R48/36000+AK83*H48*20/36000+AK84*H48*10/36000)))</f>
        <v>0</v>
      </c>
      <c r="AN84" s="132">
        <f t="shared" ca="1" si="31"/>
        <v>12</v>
      </c>
      <c r="AO84" s="132">
        <f t="shared" ca="1" si="11"/>
        <v>12</v>
      </c>
      <c r="AP84" s="2">
        <f t="shared" ca="1" si="32"/>
        <v>2025</v>
      </c>
      <c r="AQ84" s="2">
        <f t="shared" ca="1" si="12"/>
        <v>2025</v>
      </c>
      <c r="AR84" s="2">
        <f t="shared" ca="1" si="13"/>
        <v>0</v>
      </c>
      <c r="AS84" s="2">
        <f t="shared" ca="1" si="14"/>
        <v>30</v>
      </c>
      <c r="AT84" s="2">
        <f t="shared" si="15"/>
        <v>20</v>
      </c>
      <c r="AU84" s="2">
        <f t="shared" ca="1" si="33"/>
        <v>30</v>
      </c>
      <c r="AV84" s="2"/>
      <c r="AW84" s="2"/>
      <c r="AX84" s="2"/>
      <c r="AY84" s="2"/>
      <c r="AZ84" s="2"/>
      <c r="BA84" s="2">
        <f t="shared" ca="1" si="16"/>
        <v>1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4" customFormat="1" ht="15" customHeight="1">
      <c r="A85" s="4">
        <f t="shared" si="17"/>
        <v>24</v>
      </c>
      <c r="B85" s="268">
        <f t="shared" ca="1" si="18"/>
        <v>46042</v>
      </c>
      <c r="C85" s="268"/>
      <c r="D85" s="269">
        <f ca="1">IF(O85=0,IF(O84=1,SUM(D$62:F84)," "),IF(O85=0," ",IF(O86=1,D$62,IF(O86=0,D$4-D$62*(N$50-1)," "))))</f>
        <v>138.88999999999999</v>
      </c>
      <c r="E85" s="269"/>
      <c r="F85" s="269"/>
      <c r="G85" s="87">
        <f ca="1">IF(O85=0,IF(O84=1,SUM(G$62:G84)," "),IF(N$37=1,Q85,IF(N$37=2,R85," ")))</f>
        <v>25.466488055555558</v>
      </c>
      <c r="H85" s="87">
        <v>0</v>
      </c>
      <c r="I85" s="87">
        <f t="shared" ca="1" si="19"/>
        <v>164.35648805555553</v>
      </c>
      <c r="J85" s="87">
        <f t="shared" ca="1" si="20"/>
        <v>208.34</v>
      </c>
      <c r="K85" s="87">
        <f t="shared" ca="1" si="0"/>
        <v>38.199307222222203</v>
      </c>
      <c r="L85" s="87">
        <v>0</v>
      </c>
      <c r="M85" s="87">
        <f t="shared" ca="1" si="21"/>
        <v>246.53930722222219</v>
      </c>
      <c r="N85" s="2">
        <f t="shared" si="22"/>
        <v>24</v>
      </c>
      <c r="O85" s="2">
        <f t="shared" ref="O85:O122" ca="1" si="34">IF(N$37=1,IF(N$50&gt;N84,1,0),IF(N$37=2,IF(N$50&gt;N84,1,0),0))</f>
        <v>1</v>
      </c>
      <c r="P85" s="2">
        <f t="shared" ca="1" si="1"/>
        <v>20</v>
      </c>
      <c r="Q85" s="134">
        <f t="shared" ca="1" si="2"/>
        <v>25.466488055555558</v>
      </c>
      <c r="R85" s="134">
        <f t="shared" ca="1" si="3"/>
        <v>25.466488055555558</v>
      </c>
      <c r="S85" s="134">
        <f t="shared" ca="1" si="23"/>
        <v>1805.5300000000002</v>
      </c>
      <c r="T85" s="134">
        <f t="shared" ca="1" si="24"/>
        <v>138.88999999999999</v>
      </c>
      <c r="U85" s="134">
        <f t="shared" ca="1" si="25"/>
        <v>138.88999999999999</v>
      </c>
      <c r="V85" s="134">
        <f ca="1">IF(O86=1,S84*D$5*20/36000+S85*D$5*10/36000,IF(O86=0,IF(O85=0,0,S85*D$5*R$48/36000+S84*D$5*20/36000+S85*D$5*10/36000)))</f>
        <v>25.466488055555558</v>
      </c>
      <c r="W85" s="134">
        <f ca="1">IF(O86=1,S84*D$5*20/36000+S85*D$5*10/36000,IF(O86=0,IF(O85=0,0,S85*D$5*R$48/36000+S84*D$5*20/36000+S85*D$5*10/36000)))</f>
        <v>25.466488055555558</v>
      </c>
      <c r="X85" s="134">
        <f t="shared" ca="1" si="26"/>
        <v>67.083333333333329</v>
      </c>
      <c r="Y85" s="134">
        <f t="shared" ca="1" si="27"/>
        <v>70</v>
      </c>
      <c r="Z85" s="134">
        <f t="shared" ca="1" si="4"/>
        <v>2708.2599999999984</v>
      </c>
      <c r="AA85" s="134">
        <f ca="1">IF(O86=1,Z84*D$5*20/36000+Z85*D$5*10/36000,IF(O86=0,IF(O85=0,0,Z85*D$5*R$48/36000+Z84*D$5*20/36000+Z85*D$5*10/36000)))</f>
        <v>38.199307222222203</v>
      </c>
      <c r="AB85" s="134">
        <f t="shared" ca="1" si="5"/>
        <v>38.199307222222203</v>
      </c>
      <c r="AC85" s="134">
        <f t="shared" ref="AC85:AC121" ca="1" si="35">IF(S86=0,S85*R$48,(S84*20+S85*10))</f>
        <v>56943.700000000004</v>
      </c>
      <c r="AD85" s="134"/>
      <c r="AE85" s="134">
        <f t="shared" ca="1" si="6"/>
        <v>0</v>
      </c>
      <c r="AF85" s="134">
        <f t="shared" ca="1" si="7"/>
        <v>0</v>
      </c>
      <c r="AG85" s="134">
        <f t="shared" ca="1" si="29"/>
        <v>0</v>
      </c>
      <c r="AH85" s="134">
        <f t="shared" ca="1" si="8"/>
        <v>0</v>
      </c>
      <c r="AI85" s="134">
        <f t="shared" ca="1" si="30"/>
        <v>0</v>
      </c>
      <c r="AJ85" s="134">
        <f t="shared" ca="1" si="9"/>
        <v>0</v>
      </c>
      <c r="AK85" s="134">
        <f t="shared" ca="1" si="10"/>
        <v>1805.5300000000002</v>
      </c>
      <c r="AL85" s="134">
        <f ca="1">IF(O86=1,AK84*H$48*20/36000+AK85*H$48*10/36000,IF(O86=0,IF(O85=0,0,AK85*H$48*R$48/36000+AK84*H$48*20/36000+AK85*H$48*10/36000)))</f>
        <v>0</v>
      </c>
      <c r="AM85" s="134">
        <f ca="1">IF(O86=1,AK84*H$48*20/36000+AK85*H$48*10/36000,IF(O86=0,IF(O85=0,0,AK85*H$48*R$48/36000+AK84*H$48*20/36000+AK85*H$48*10/36000)))</f>
        <v>0</v>
      </c>
      <c r="AN85" s="132">
        <f t="shared" ca="1" si="31"/>
        <v>13</v>
      </c>
      <c r="AO85" s="132">
        <f t="shared" ca="1" si="11"/>
        <v>1</v>
      </c>
      <c r="AP85" s="2">
        <f t="shared" ca="1" si="32"/>
        <v>2025</v>
      </c>
      <c r="AQ85" s="2">
        <f t="shared" ca="1" si="12"/>
        <v>2026</v>
      </c>
      <c r="AR85" s="2">
        <f t="shared" ca="1" si="13"/>
        <v>0</v>
      </c>
      <c r="AS85" s="2">
        <f t="shared" ca="1" si="14"/>
        <v>30</v>
      </c>
      <c r="AT85" s="2">
        <f t="shared" si="15"/>
        <v>20</v>
      </c>
      <c r="AU85" s="2">
        <f t="shared" ca="1" si="33"/>
        <v>30</v>
      </c>
      <c r="AV85" s="2"/>
      <c r="AW85" s="2"/>
      <c r="AX85" s="2"/>
      <c r="AY85" s="2"/>
      <c r="AZ85" s="2"/>
      <c r="BA85" s="2">
        <f t="shared" ca="1" si="16"/>
        <v>1</v>
      </c>
      <c r="BB85" s="2"/>
      <c r="BC85" s="2"/>
      <c r="BD85" s="2"/>
      <c r="BE85" s="2"/>
      <c r="BF85" s="2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</row>
    <row r="86" spans="1:143" s="25" customFormat="1" ht="15" customHeight="1">
      <c r="A86" s="4">
        <v>25</v>
      </c>
      <c r="B86" s="268">
        <f t="shared" ca="1" si="18"/>
        <v>46073</v>
      </c>
      <c r="C86" s="268"/>
      <c r="D86" s="269">
        <f ca="1">IF(O86=0,IF(O85=1,SUM(D$62:F85)," "),IF(O86=0," ",IF(O87=1,D$62,IF(O87=0,D$4-D$62*(N$50-1)," "))))</f>
        <v>138.88999999999999</v>
      </c>
      <c r="E86" s="269"/>
      <c r="F86" s="269"/>
      <c r="G86" s="87">
        <f ca="1">IF(O86=0,IF(O85=1,SUM(G$62:G85)," "),IF(N$37=1,Q86,IF(N$37=2,R86," ")))</f>
        <v>23.603047222222227</v>
      </c>
      <c r="H86" s="87">
        <v>0</v>
      </c>
      <c r="I86" s="87">
        <f t="shared" ca="1" si="19"/>
        <v>162.4930472222222</v>
      </c>
      <c r="J86" s="87">
        <f t="shared" ca="1" si="20"/>
        <v>208.34</v>
      </c>
      <c r="K86" s="87">
        <f t="shared" ca="1" si="0"/>
        <v>35.404078888888868</v>
      </c>
      <c r="L86" s="87">
        <v>0</v>
      </c>
      <c r="M86" s="87">
        <f t="shared" ca="1" si="21"/>
        <v>243.74407888888888</v>
      </c>
      <c r="N86" s="2">
        <v>25</v>
      </c>
      <c r="O86" s="2">
        <f t="shared" ca="1" si="34"/>
        <v>1</v>
      </c>
      <c r="P86" s="2">
        <f t="shared" ca="1" si="1"/>
        <v>20</v>
      </c>
      <c r="Q86" s="134">
        <f t="shared" ca="1" si="2"/>
        <v>23.603047222222227</v>
      </c>
      <c r="R86" s="134">
        <f t="shared" ca="1" si="3"/>
        <v>23.603047222222227</v>
      </c>
      <c r="S86" s="134">
        <f t="shared" ca="1" si="23"/>
        <v>1666.6400000000003</v>
      </c>
      <c r="T86" s="134">
        <f t="shared" ca="1" si="24"/>
        <v>138.88999999999999</v>
      </c>
      <c r="U86" s="134">
        <f t="shared" ca="1" si="25"/>
        <v>138.88999999999999</v>
      </c>
      <c r="V86" s="134">
        <f ca="1">IF(O87=1,S85*D$5*20/36000+S86*D$5*10/36000,IF(O87=0,IF(O86=0,0,IF(D$10&gt;20,S85*D$5*20/36000+S86*D$5*(R$48-20)/36000,S86*D$5*R$48/36000))))</f>
        <v>23.603047222222227</v>
      </c>
      <c r="W86" s="134">
        <f ca="1">IF(O87=1,S85*D$5*20/36000+S86*D$5*10/36000,IF(O87=0,IF(O86=0,0,IF(D$10&gt;20,S85*D$5*20/36000+S86*D$5*(R$48-20)/36000,S86*D$5*R$48/36000))))</f>
        <v>23.603047222222227</v>
      </c>
      <c r="X86" s="134">
        <f t="shared" ca="1" si="26"/>
        <v>67.083333333333329</v>
      </c>
      <c r="Y86" s="134">
        <f t="shared" ca="1" si="27"/>
        <v>70</v>
      </c>
      <c r="Z86" s="134">
        <f t="shared" ca="1" si="4"/>
        <v>2499.9199999999983</v>
      </c>
      <c r="AA86" s="134">
        <f ca="1">IF(O87=1,Z85*D$5*20/36000+Z86*D$5*10/36000,IF(O87=0,IF(O86=0,0,IF(D$10&gt;20,Z85*D$5*20/36000+Z86*D$5*(R$48-20)/36000,Z86*D$5*R$48/36000))))</f>
        <v>35.404078888888868</v>
      </c>
      <c r="AB86" s="134">
        <f t="shared" ca="1" si="5"/>
        <v>35.404078888888868</v>
      </c>
      <c r="AC86" s="134">
        <f t="shared" ca="1" si="35"/>
        <v>52777.000000000007</v>
      </c>
      <c r="AD86" s="134"/>
      <c r="AE86" s="134">
        <f t="shared" ca="1" si="6"/>
        <v>0</v>
      </c>
      <c r="AF86" s="134">
        <f t="shared" ca="1" si="7"/>
        <v>0</v>
      </c>
      <c r="AG86" s="134">
        <f t="shared" ca="1" si="29"/>
        <v>0</v>
      </c>
      <c r="AH86" s="134">
        <f t="shared" ca="1" si="8"/>
        <v>0</v>
      </c>
      <c r="AI86" s="134">
        <f t="shared" ca="1" si="30"/>
        <v>0</v>
      </c>
      <c r="AJ86" s="134">
        <f t="shared" ca="1" si="9"/>
        <v>0</v>
      </c>
      <c r="AK86" s="134">
        <f t="shared" ca="1" si="10"/>
        <v>1666.6400000000003</v>
      </c>
      <c r="AL86" s="134">
        <f ca="1">IF(O87=1,AK85*H$48*20/36000+AK86*H$48*10/36000,IF(O87=0,IF(O86=0,0,AK86*H$48*R$48/36000)))</f>
        <v>0</v>
      </c>
      <c r="AM86" s="134">
        <f ca="1">IF(O87=1,AK85*H$48*20/36000+AK86*H$48*10/36000,IF(O87=0,IF(O86=0,0,AK86*H$48*R$48/36000)))</f>
        <v>0</v>
      </c>
      <c r="AN86" s="132">
        <f t="shared" ca="1" si="31"/>
        <v>2</v>
      </c>
      <c r="AO86" s="132">
        <f t="shared" ca="1" si="11"/>
        <v>2</v>
      </c>
      <c r="AP86" s="2">
        <f t="shared" ca="1" si="32"/>
        <v>2026</v>
      </c>
      <c r="AQ86" s="2">
        <f t="shared" ca="1" si="12"/>
        <v>2026</v>
      </c>
      <c r="AR86" s="2">
        <f t="shared" ca="1" si="13"/>
        <v>0</v>
      </c>
      <c r="AS86" s="2">
        <f t="shared" ca="1" si="14"/>
        <v>28</v>
      </c>
      <c r="AT86" s="2">
        <f t="shared" si="15"/>
        <v>20</v>
      </c>
      <c r="AU86" s="2">
        <f t="shared" ca="1" si="33"/>
        <v>30</v>
      </c>
      <c r="AV86" s="2"/>
      <c r="AW86" s="2"/>
      <c r="AX86" s="2"/>
      <c r="AY86" s="2"/>
      <c r="AZ86" s="2"/>
      <c r="BA86" s="2">
        <f t="shared" ca="1" si="16"/>
        <v>1</v>
      </c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</row>
    <row r="87" spans="1:143" s="24" customFormat="1" ht="15" customHeight="1">
      <c r="A87" s="4">
        <v>26</v>
      </c>
      <c r="B87" s="268">
        <f t="shared" ca="1" si="18"/>
        <v>46101</v>
      </c>
      <c r="C87" s="268"/>
      <c r="D87" s="269">
        <f ca="1">IF(O87=0,IF(O86=1,SUM(D$62:F86)," "),IF(O87=0," ",IF(O88=1,D$62,IF(O88=0,D$4-D$62*(N$50-1)," "))))</f>
        <v>138.88999999999999</v>
      </c>
      <c r="E87" s="269"/>
      <c r="F87" s="269"/>
      <c r="G87" s="87">
        <f ca="1">IF(O87=0,IF(O86=1,SUM(G$62:G86)," "),IF(N$37=1,Q87,IF(N$37=2,R87," ")))</f>
        <v>21.739606388888895</v>
      </c>
      <c r="H87" s="87">
        <v>0</v>
      </c>
      <c r="I87" s="87">
        <f t="shared" ca="1" si="19"/>
        <v>160.62960638888887</v>
      </c>
      <c r="J87" s="87">
        <f t="shared" ca="1" si="20"/>
        <v>208.34</v>
      </c>
      <c r="K87" s="87">
        <f t="shared" ca="1" si="0"/>
        <v>32.608850555555534</v>
      </c>
      <c r="L87" s="87">
        <v>0</v>
      </c>
      <c r="M87" s="87">
        <f t="shared" ca="1" si="21"/>
        <v>240.94885055555554</v>
      </c>
      <c r="N87" s="2">
        <v>26</v>
      </c>
      <c r="O87" s="2">
        <f t="shared" ca="1" si="34"/>
        <v>1</v>
      </c>
      <c r="P87" s="2">
        <f t="shared" ca="1" si="1"/>
        <v>20</v>
      </c>
      <c r="Q87" s="134">
        <f t="shared" ca="1" si="2"/>
        <v>21.739606388888895</v>
      </c>
      <c r="R87" s="134">
        <f t="shared" ca="1" si="3"/>
        <v>21.739606388888895</v>
      </c>
      <c r="S87" s="134">
        <f t="shared" ca="1" si="23"/>
        <v>1527.7500000000005</v>
      </c>
      <c r="T87" s="134">
        <f t="shared" ca="1" si="24"/>
        <v>138.88999999999999</v>
      </c>
      <c r="U87" s="134">
        <f t="shared" ca="1" si="25"/>
        <v>138.88999999999999</v>
      </c>
      <c r="V87" s="134">
        <f t="shared" ref="V87:V97" ca="1" si="36">IF(O88=1,S86*D$5*20/36000+S87*D$5*10/36000,IF(O88=0,IF(O87=0,0,S87*D$5*R$48/36000+S86*D$5*20/36000+S87*D$5*10/36000)))</f>
        <v>21.739606388888895</v>
      </c>
      <c r="W87" s="134">
        <f t="shared" ref="W87:W97" ca="1" si="37">IF(O88=1,S86*D$5*20/36000+S87*D$5*10/36000,IF(O88=0,IF(O87=0,0,S87*D$5*R$48/36000+S86*D$5*20/36000+S87*D$5*10/36000)))</f>
        <v>21.739606388888895</v>
      </c>
      <c r="X87" s="134">
        <f t="shared" ca="1" si="26"/>
        <v>67.083333333333329</v>
      </c>
      <c r="Y87" s="134">
        <f t="shared" ca="1" si="27"/>
        <v>70</v>
      </c>
      <c r="Z87" s="134">
        <f t="shared" ca="1" si="4"/>
        <v>2291.5799999999981</v>
      </c>
      <c r="AA87" s="134">
        <f t="shared" ref="AA87:AA97" ca="1" si="38">IF(O88=1,Z86*D$5*20/36000+Z87*D$5*10/36000,IF(O88=0,IF(O87=0,0,Z87*D$5*R$48/36000+Z86*D$5*20/36000+Z87*D$5*10/36000)))</f>
        <v>32.608850555555534</v>
      </c>
      <c r="AB87" s="134">
        <f t="shared" ca="1" si="5"/>
        <v>32.608850555555534</v>
      </c>
      <c r="AC87" s="134">
        <f t="shared" ca="1" si="35"/>
        <v>48610.3</v>
      </c>
      <c r="AD87" s="134"/>
      <c r="AE87" s="134">
        <f t="shared" ca="1" si="6"/>
        <v>0</v>
      </c>
      <c r="AF87" s="134">
        <f t="shared" ca="1" si="7"/>
        <v>0</v>
      </c>
      <c r="AG87" s="134">
        <f t="shared" ca="1" si="29"/>
        <v>0</v>
      </c>
      <c r="AH87" s="134">
        <f t="shared" ca="1" si="8"/>
        <v>0</v>
      </c>
      <c r="AI87" s="134">
        <f t="shared" ca="1" si="30"/>
        <v>0</v>
      </c>
      <c r="AJ87" s="134">
        <f t="shared" ca="1" si="9"/>
        <v>0</v>
      </c>
      <c r="AK87" s="134">
        <f t="shared" ca="1" si="10"/>
        <v>1527.7500000000005</v>
      </c>
      <c r="AL87" s="134">
        <f t="shared" ref="AL87:AL97" ca="1" si="39">IF(O88=1,AK86*H$48*20/36000+AK87*H$48*10/36000,IF(O88=0,IF(O87=0,0,AK87*H$48*R$48/36000+AK86*H$48*20/36000+AK87*H$48*10/36000)))</f>
        <v>0</v>
      </c>
      <c r="AM87" s="134">
        <f t="shared" ref="AM87:AM97" ca="1" si="40">IF(O88=1,AK86*H$48*20/36000+AK87*H$48*10/36000,IF(O88=0,IF(O87=0,0,AK87*H$48*R$48/36000+AK86*H$48*20/36000+AK87*H$48*10/36000)))</f>
        <v>0</v>
      </c>
      <c r="AN87" s="132">
        <f t="shared" ca="1" si="31"/>
        <v>3</v>
      </c>
      <c r="AO87" s="132">
        <f t="shared" ca="1" si="11"/>
        <v>3</v>
      </c>
      <c r="AP87" s="2">
        <f t="shared" ca="1" si="32"/>
        <v>2026</v>
      </c>
      <c r="AQ87" s="2">
        <f t="shared" ca="1" si="12"/>
        <v>2026</v>
      </c>
      <c r="AR87" s="2">
        <f t="shared" ca="1" si="13"/>
        <v>0</v>
      </c>
      <c r="AS87" s="2">
        <f t="shared" ca="1" si="14"/>
        <v>30</v>
      </c>
      <c r="AT87" s="2">
        <f t="shared" si="15"/>
        <v>20</v>
      </c>
      <c r="AU87" s="2">
        <f t="shared" ca="1" si="33"/>
        <v>28</v>
      </c>
      <c r="AV87" s="2"/>
      <c r="AW87" s="2"/>
      <c r="AX87" s="2"/>
      <c r="AY87" s="2"/>
      <c r="AZ87" s="2"/>
      <c r="BA87" s="2">
        <f t="shared" ca="1" si="16"/>
        <v>1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4">
        <v>27</v>
      </c>
      <c r="B88" s="268">
        <f t="shared" ca="1" si="18"/>
        <v>46132</v>
      </c>
      <c r="C88" s="268"/>
      <c r="D88" s="269">
        <f ca="1">IF(O88=0,IF(O87=1,SUM(D$62:F87)," "),IF(O88=0," ",IF(O89=1,D$62,IF(O89=0,D$4-D$62*(N$50-1)," "))))</f>
        <v>138.88999999999999</v>
      </c>
      <c r="E88" s="269"/>
      <c r="F88" s="269"/>
      <c r="G88" s="87">
        <f ca="1">IF(O88=0,IF(O87=1,SUM(G$62:G87)," "),IF(N$37=1,Q88,IF(N$37=2,R88," ")))</f>
        <v>19.876165555555566</v>
      </c>
      <c r="H88" s="87">
        <v>0</v>
      </c>
      <c r="I88" s="87">
        <f t="shared" ca="1" si="19"/>
        <v>158.76616555555555</v>
      </c>
      <c r="J88" s="87">
        <f t="shared" ca="1" si="20"/>
        <v>208.34</v>
      </c>
      <c r="K88" s="87">
        <f t="shared" ca="1" si="0"/>
        <v>29.8136222222222</v>
      </c>
      <c r="L88" s="87">
        <v>0</v>
      </c>
      <c r="M88" s="87">
        <f t="shared" ca="1" si="21"/>
        <v>238.1536222222222</v>
      </c>
      <c r="N88" s="2">
        <v>27</v>
      </c>
      <c r="O88" s="2">
        <f t="shared" ca="1" si="34"/>
        <v>1</v>
      </c>
      <c r="P88" s="2">
        <f t="shared" ca="1" si="1"/>
        <v>20</v>
      </c>
      <c r="Q88" s="134">
        <f t="shared" ca="1" si="2"/>
        <v>19.876165555555566</v>
      </c>
      <c r="R88" s="134">
        <f t="shared" ca="1" si="3"/>
        <v>19.876165555555566</v>
      </c>
      <c r="S88" s="134">
        <f t="shared" ca="1" si="23"/>
        <v>1388.8600000000006</v>
      </c>
      <c r="T88" s="134">
        <f t="shared" ca="1" si="24"/>
        <v>138.88999999999999</v>
      </c>
      <c r="U88" s="134">
        <f t="shared" ca="1" si="25"/>
        <v>138.88999999999999</v>
      </c>
      <c r="V88" s="134">
        <f t="shared" ca="1" si="36"/>
        <v>19.876165555555566</v>
      </c>
      <c r="W88" s="134">
        <f t="shared" ca="1" si="37"/>
        <v>19.876165555555566</v>
      </c>
      <c r="X88" s="134">
        <f t="shared" ca="1" si="26"/>
        <v>67.083333333333329</v>
      </c>
      <c r="Y88" s="134">
        <f t="shared" ca="1" si="27"/>
        <v>70</v>
      </c>
      <c r="Z88" s="134">
        <f t="shared" ca="1" si="4"/>
        <v>2083.239999999998</v>
      </c>
      <c r="AA88" s="134">
        <f t="shared" ca="1" si="38"/>
        <v>29.8136222222222</v>
      </c>
      <c r="AB88" s="134">
        <f t="shared" ca="1" si="5"/>
        <v>29.8136222222222</v>
      </c>
      <c r="AC88" s="134">
        <f t="shared" ca="1" si="35"/>
        <v>44443.600000000013</v>
      </c>
      <c r="AD88" s="134"/>
      <c r="AE88" s="134">
        <f t="shared" ca="1" si="6"/>
        <v>0</v>
      </c>
      <c r="AF88" s="134">
        <f t="shared" ca="1" si="7"/>
        <v>0</v>
      </c>
      <c r="AG88" s="134">
        <f t="shared" ca="1" si="29"/>
        <v>0</v>
      </c>
      <c r="AH88" s="134">
        <f t="shared" ca="1" si="8"/>
        <v>0</v>
      </c>
      <c r="AI88" s="134">
        <f t="shared" ca="1" si="30"/>
        <v>0</v>
      </c>
      <c r="AJ88" s="134">
        <f t="shared" ca="1" si="9"/>
        <v>0</v>
      </c>
      <c r="AK88" s="134">
        <f t="shared" ca="1" si="10"/>
        <v>1388.8600000000006</v>
      </c>
      <c r="AL88" s="134">
        <f t="shared" ca="1" si="39"/>
        <v>0</v>
      </c>
      <c r="AM88" s="134">
        <f t="shared" ca="1" si="40"/>
        <v>0</v>
      </c>
      <c r="AN88" s="132">
        <f t="shared" ca="1" si="31"/>
        <v>4</v>
      </c>
      <c r="AO88" s="132">
        <f t="shared" ca="1" si="11"/>
        <v>4</v>
      </c>
      <c r="AP88" s="2">
        <f t="shared" ca="1" si="32"/>
        <v>2026</v>
      </c>
      <c r="AQ88" s="2">
        <f t="shared" ca="1" si="12"/>
        <v>2026</v>
      </c>
      <c r="AR88" s="2">
        <f t="shared" ca="1" si="13"/>
        <v>0</v>
      </c>
      <c r="AS88" s="2">
        <f t="shared" ca="1" si="14"/>
        <v>30</v>
      </c>
      <c r="AT88" s="2">
        <f t="shared" si="15"/>
        <v>20</v>
      </c>
      <c r="AU88" s="2">
        <f t="shared" ca="1" si="33"/>
        <v>30</v>
      </c>
      <c r="AV88" s="2"/>
      <c r="AW88" s="2"/>
      <c r="AX88" s="2"/>
      <c r="AY88" s="2"/>
      <c r="AZ88" s="2"/>
      <c r="BA88" s="2">
        <f t="shared" ca="1" si="16"/>
        <v>1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v>28</v>
      </c>
      <c r="B89" s="268">
        <f t="shared" ca="1" si="18"/>
        <v>46162</v>
      </c>
      <c r="C89" s="268"/>
      <c r="D89" s="269">
        <f ca="1">IF(O89=0,IF(O88=1,SUM(D$62:F88)," "),IF(O89=0," ",IF(O90=1,D$62,IF(O90=0,D$4-D$62*(N$50-1)," "))))</f>
        <v>138.88999999999999</v>
      </c>
      <c r="E89" s="269"/>
      <c r="F89" s="269"/>
      <c r="G89" s="87">
        <f ca="1">IF(O89=0,IF(O88=1,SUM(G$62:G88)," "),IF(N$37=1,Q89,IF(N$37=2,R89," ")))</f>
        <v>18.012724722222234</v>
      </c>
      <c r="H89" s="87">
        <v>0</v>
      </c>
      <c r="I89" s="87">
        <f t="shared" ca="1" si="19"/>
        <v>156.90272472222222</v>
      </c>
      <c r="J89" s="87">
        <f t="shared" ca="1" si="20"/>
        <v>208.34</v>
      </c>
      <c r="K89" s="87">
        <f t="shared" ca="1" si="0"/>
        <v>27.018393888888859</v>
      </c>
      <c r="L89" s="87">
        <v>0</v>
      </c>
      <c r="M89" s="87">
        <f t="shared" ca="1" si="21"/>
        <v>235.35839388888886</v>
      </c>
      <c r="N89" s="2">
        <v>28</v>
      </c>
      <c r="O89" s="2">
        <f t="shared" ca="1" si="34"/>
        <v>1</v>
      </c>
      <c r="P89" s="2">
        <f t="shared" ca="1" si="1"/>
        <v>20</v>
      </c>
      <c r="Q89" s="134">
        <f t="shared" ca="1" si="2"/>
        <v>18.012724722222234</v>
      </c>
      <c r="R89" s="134">
        <f t="shared" ca="1" si="3"/>
        <v>18.012724722222234</v>
      </c>
      <c r="S89" s="134">
        <f t="shared" ca="1" si="23"/>
        <v>1249.9700000000007</v>
      </c>
      <c r="T89" s="134">
        <f t="shared" ca="1" si="24"/>
        <v>138.88999999999999</v>
      </c>
      <c r="U89" s="134">
        <f t="shared" ca="1" si="25"/>
        <v>138.88999999999999</v>
      </c>
      <c r="V89" s="134">
        <f t="shared" ca="1" si="36"/>
        <v>18.012724722222234</v>
      </c>
      <c r="W89" s="134">
        <f t="shared" ca="1" si="37"/>
        <v>18.012724722222234</v>
      </c>
      <c r="X89" s="134">
        <f t="shared" ca="1" si="26"/>
        <v>67.083333333333329</v>
      </c>
      <c r="Y89" s="134">
        <f t="shared" ca="1" si="27"/>
        <v>70</v>
      </c>
      <c r="Z89" s="134">
        <f t="shared" ca="1" si="4"/>
        <v>1874.899999999998</v>
      </c>
      <c r="AA89" s="134">
        <f t="shared" ca="1" si="38"/>
        <v>27.018393888888859</v>
      </c>
      <c r="AB89" s="134">
        <f t="shared" ca="1" si="5"/>
        <v>27.018393888888859</v>
      </c>
      <c r="AC89" s="134">
        <f t="shared" ca="1" si="35"/>
        <v>40276.900000000023</v>
      </c>
      <c r="AD89" s="134"/>
      <c r="AE89" s="134">
        <f t="shared" ca="1" si="6"/>
        <v>0</v>
      </c>
      <c r="AF89" s="134">
        <f t="shared" ca="1" si="7"/>
        <v>0</v>
      </c>
      <c r="AG89" s="134">
        <f t="shared" ca="1" si="29"/>
        <v>0</v>
      </c>
      <c r="AH89" s="134">
        <f t="shared" ca="1" si="8"/>
        <v>0</v>
      </c>
      <c r="AI89" s="134">
        <f t="shared" ca="1" si="30"/>
        <v>0</v>
      </c>
      <c r="AJ89" s="134">
        <f t="shared" ca="1" si="9"/>
        <v>0</v>
      </c>
      <c r="AK89" s="134">
        <f t="shared" ca="1" si="10"/>
        <v>1249.9700000000007</v>
      </c>
      <c r="AL89" s="134">
        <f t="shared" ca="1" si="39"/>
        <v>0</v>
      </c>
      <c r="AM89" s="134">
        <f t="shared" ca="1" si="40"/>
        <v>0</v>
      </c>
      <c r="AN89" s="132">
        <f t="shared" ca="1" si="31"/>
        <v>5</v>
      </c>
      <c r="AO89" s="132">
        <f t="shared" ca="1" si="11"/>
        <v>5</v>
      </c>
      <c r="AP89" s="2">
        <f t="shared" ca="1" si="32"/>
        <v>2026</v>
      </c>
      <c r="AQ89" s="2">
        <f t="shared" ca="1" si="12"/>
        <v>2026</v>
      </c>
      <c r="AR89" s="2">
        <f t="shared" ca="1" si="13"/>
        <v>0</v>
      </c>
      <c r="AS89" s="2">
        <f t="shared" ca="1" si="14"/>
        <v>30</v>
      </c>
      <c r="AT89" s="2">
        <f t="shared" si="15"/>
        <v>20</v>
      </c>
      <c r="AU89" s="2">
        <f t="shared" ca="1" si="33"/>
        <v>30</v>
      </c>
      <c r="AV89" s="2"/>
      <c r="AW89" s="2"/>
      <c r="AX89" s="2"/>
      <c r="AY89" s="2"/>
      <c r="AZ89" s="2"/>
      <c r="BA89" s="2">
        <f t="shared" ca="1" si="16"/>
        <v>1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4">
        <v>29</v>
      </c>
      <c r="B90" s="268">
        <f t="shared" ca="1" si="18"/>
        <v>46193</v>
      </c>
      <c r="C90" s="268"/>
      <c r="D90" s="269">
        <f ca="1">IF(O90=0,IF(O89=1,SUM(D$62:F89)," "),IF(O90=0," ",IF(O91=1,D$62,IF(O91=0,D$4-D$62*(N$50-1)," "))))</f>
        <v>138.88999999999999</v>
      </c>
      <c r="E90" s="269"/>
      <c r="F90" s="269"/>
      <c r="G90" s="87">
        <f ca="1">IF(O90=0,IF(O89=1,SUM(G$62:G89)," "),IF(N$37=1,Q90,IF(N$37=2,R90," ")))</f>
        <v>16.149283888888903</v>
      </c>
      <c r="H90" s="87">
        <v>0</v>
      </c>
      <c r="I90" s="87">
        <f t="shared" ca="1" si="19"/>
        <v>155.03928388888889</v>
      </c>
      <c r="J90" s="87">
        <f t="shared" ca="1" si="20"/>
        <v>208.34</v>
      </c>
      <c r="K90" s="87">
        <f t="shared" ca="1" si="0"/>
        <v>24.223165555555529</v>
      </c>
      <c r="L90" s="87">
        <v>0</v>
      </c>
      <c r="M90" s="87">
        <f t="shared" ca="1" si="21"/>
        <v>232.56316555555554</v>
      </c>
      <c r="N90" s="2">
        <v>29</v>
      </c>
      <c r="O90" s="2">
        <f t="shared" ca="1" si="34"/>
        <v>1</v>
      </c>
      <c r="P90" s="2">
        <f t="shared" ca="1" si="1"/>
        <v>20</v>
      </c>
      <c r="Q90" s="134">
        <f t="shared" ca="1" si="2"/>
        <v>16.149283888888903</v>
      </c>
      <c r="R90" s="134">
        <f t="shared" ca="1" si="3"/>
        <v>16.149283888888903</v>
      </c>
      <c r="S90" s="134">
        <f t="shared" ca="1" si="23"/>
        <v>1111.0800000000008</v>
      </c>
      <c r="T90" s="134">
        <f t="shared" ca="1" si="24"/>
        <v>138.88999999999999</v>
      </c>
      <c r="U90" s="134">
        <f t="shared" ca="1" si="25"/>
        <v>138.88999999999999</v>
      </c>
      <c r="V90" s="134">
        <f t="shared" ca="1" si="36"/>
        <v>16.149283888888903</v>
      </c>
      <c r="W90" s="134">
        <f t="shared" ca="1" si="37"/>
        <v>16.149283888888903</v>
      </c>
      <c r="X90" s="134">
        <f t="shared" ca="1" si="26"/>
        <v>67.083333333333329</v>
      </c>
      <c r="Y90" s="134">
        <f t="shared" ca="1" si="27"/>
        <v>70</v>
      </c>
      <c r="Z90" s="134">
        <f t="shared" ca="1" si="4"/>
        <v>1666.5599999999981</v>
      </c>
      <c r="AA90" s="134">
        <f t="shared" ca="1" si="38"/>
        <v>24.223165555555529</v>
      </c>
      <c r="AB90" s="134">
        <f t="shared" ca="1" si="5"/>
        <v>24.223165555555529</v>
      </c>
      <c r="AC90" s="134">
        <f t="shared" ca="1" si="35"/>
        <v>36110.200000000026</v>
      </c>
      <c r="AD90" s="134"/>
      <c r="AE90" s="134">
        <f t="shared" ca="1" si="6"/>
        <v>0</v>
      </c>
      <c r="AF90" s="134">
        <f t="shared" ca="1" si="7"/>
        <v>0</v>
      </c>
      <c r="AG90" s="134">
        <f t="shared" ca="1" si="29"/>
        <v>0</v>
      </c>
      <c r="AH90" s="134">
        <f t="shared" ca="1" si="8"/>
        <v>0</v>
      </c>
      <c r="AI90" s="134">
        <f t="shared" ca="1" si="30"/>
        <v>0</v>
      </c>
      <c r="AJ90" s="134">
        <f t="shared" ca="1" si="9"/>
        <v>0</v>
      </c>
      <c r="AK90" s="134">
        <f t="shared" ca="1" si="10"/>
        <v>1111.0800000000008</v>
      </c>
      <c r="AL90" s="134">
        <f t="shared" ca="1" si="39"/>
        <v>0</v>
      </c>
      <c r="AM90" s="134">
        <f t="shared" ca="1" si="40"/>
        <v>0</v>
      </c>
      <c r="AN90" s="132">
        <f t="shared" ca="1" si="31"/>
        <v>6</v>
      </c>
      <c r="AO90" s="132">
        <f t="shared" ca="1" si="11"/>
        <v>6</v>
      </c>
      <c r="AP90" s="2">
        <f t="shared" ca="1" si="32"/>
        <v>2026</v>
      </c>
      <c r="AQ90" s="2">
        <f t="shared" ca="1" si="12"/>
        <v>2026</v>
      </c>
      <c r="AR90" s="2">
        <f t="shared" ca="1" si="13"/>
        <v>0</v>
      </c>
      <c r="AS90" s="2">
        <f t="shared" ca="1" si="14"/>
        <v>30</v>
      </c>
      <c r="AT90" s="2">
        <f t="shared" si="15"/>
        <v>20</v>
      </c>
      <c r="AU90" s="2">
        <f t="shared" ca="1" si="33"/>
        <v>30</v>
      </c>
      <c r="AV90" s="2"/>
      <c r="AW90" s="2"/>
      <c r="AX90" s="2"/>
      <c r="AY90" s="2"/>
      <c r="AZ90" s="2"/>
      <c r="BA90" s="2">
        <f t="shared" ca="1" si="16"/>
        <v>1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v>30</v>
      </c>
      <c r="B91" s="268">
        <f t="shared" ca="1" si="18"/>
        <v>46223</v>
      </c>
      <c r="C91" s="268"/>
      <c r="D91" s="269">
        <f ca="1">IF(O91=0,IF(O90=1,SUM(D$62:F90)," "),IF(O91=0," ",IF(O92=1,D$62,IF(O92=0,D$4-D$62*(N$50-1)," "))))</f>
        <v>138.88999999999999</v>
      </c>
      <c r="E91" s="269"/>
      <c r="F91" s="269"/>
      <c r="G91" s="87">
        <f ca="1">IF(O91=0,IF(O90=1,SUM(G$62:G90)," "),IF(N$37=1,Q91,IF(N$37=2,R91," ")))</f>
        <v>14.285843055555567</v>
      </c>
      <c r="H91" s="87">
        <v>0</v>
      </c>
      <c r="I91" s="87">
        <f t="shared" ca="1" si="19"/>
        <v>153.17584305555556</v>
      </c>
      <c r="J91" s="87">
        <f t="shared" ca="1" si="20"/>
        <v>208.34</v>
      </c>
      <c r="K91" s="87">
        <f t="shared" ca="1" si="0"/>
        <v>21.427937222222202</v>
      </c>
      <c r="L91" s="87">
        <v>0</v>
      </c>
      <c r="M91" s="87">
        <f t="shared" ca="1" si="21"/>
        <v>229.7679372222222</v>
      </c>
      <c r="N91" s="2">
        <v>30</v>
      </c>
      <c r="O91" s="2">
        <f t="shared" ca="1" si="34"/>
        <v>1</v>
      </c>
      <c r="P91" s="2">
        <f t="shared" ca="1" si="1"/>
        <v>20</v>
      </c>
      <c r="Q91" s="134">
        <f t="shared" ca="1" si="2"/>
        <v>14.285843055555567</v>
      </c>
      <c r="R91" s="134">
        <f t="shared" ca="1" si="3"/>
        <v>14.285843055555567</v>
      </c>
      <c r="S91" s="134">
        <f t="shared" ca="1" si="23"/>
        <v>972.19000000000085</v>
      </c>
      <c r="T91" s="134">
        <f t="shared" ca="1" si="24"/>
        <v>138.88999999999999</v>
      </c>
      <c r="U91" s="134">
        <f t="shared" ca="1" si="25"/>
        <v>138.88999999999999</v>
      </c>
      <c r="V91" s="134">
        <f t="shared" ca="1" si="36"/>
        <v>14.285843055555567</v>
      </c>
      <c r="W91" s="134">
        <f t="shared" ca="1" si="37"/>
        <v>14.285843055555567</v>
      </c>
      <c r="X91" s="134">
        <f t="shared" ca="1" si="26"/>
        <v>67.083333333333329</v>
      </c>
      <c r="Y91" s="134">
        <f t="shared" ca="1" si="27"/>
        <v>70</v>
      </c>
      <c r="Z91" s="134">
        <f t="shared" ca="1" si="4"/>
        <v>1458.2199999999982</v>
      </c>
      <c r="AA91" s="134">
        <f t="shared" ca="1" si="38"/>
        <v>21.427937222222202</v>
      </c>
      <c r="AB91" s="134">
        <f t="shared" ca="1" si="5"/>
        <v>21.427937222222202</v>
      </c>
      <c r="AC91" s="134">
        <f t="shared" ca="1" si="35"/>
        <v>31943.500000000025</v>
      </c>
      <c r="AD91" s="134"/>
      <c r="AE91" s="134">
        <f t="shared" ca="1" si="6"/>
        <v>0</v>
      </c>
      <c r="AF91" s="134">
        <f t="shared" ca="1" si="7"/>
        <v>0</v>
      </c>
      <c r="AG91" s="134">
        <f t="shared" ca="1" si="29"/>
        <v>0</v>
      </c>
      <c r="AH91" s="134">
        <f t="shared" ca="1" si="8"/>
        <v>0</v>
      </c>
      <c r="AI91" s="134">
        <f t="shared" ca="1" si="30"/>
        <v>0</v>
      </c>
      <c r="AJ91" s="134">
        <f t="shared" ca="1" si="9"/>
        <v>0</v>
      </c>
      <c r="AK91" s="134">
        <f t="shared" ca="1" si="10"/>
        <v>972.19000000000085</v>
      </c>
      <c r="AL91" s="134">
        <f t="shared" ca="1" si="39"/>
        <v>0</v>
      </c>
      <c r="AM91" s="134">
        <f t="shared" ca="1" si="40"/>
        <v>0</v>
      </c>
      <c r="AN91" s="132">
        <f t="shared" ca="1" si="31"/>
        <v>7</v>
      </c>
      <c r="AO91" s="132">
        <f t="shared" ca="1" si="11"/>
        <v>7</v>
      </c>
      <c r="AP91" s="2">
        <f t="shared" ca="1" si="32"/>
        <v>2026</v>
      </c>
      <c r="AQ91" s="2">
        <f t="shared" ca="1" si="12"/>
        <v>2026</v>
      </c>
      <c r="AR91" s="2">
        <f t="shared" ca="1" si="13"/>
        <v>0</v>
      </c>
      <c r="AS91" s="2">
        <f t="shared" ca="1" si="14"/>
        <v>30</v>
      </c>
      <c r="AT91" s="2">
        <f t="shared" si="15"/>
        <v>20</v>
      </c>
      <c r="AU91" s="2">
        <f t="shared" ca="1" si="33"/>
        <v>30</v>
      </c>
      <c r="AV91" s="2"/>
      <c r="AW91" s="2"/>
      <c r="AX91" s="2"/>
      <c r="AY91" s="2"/>
      <c r="AZ91" s="2"/>
      <c r="BA91" s="2">
        <f t="shared" ca="1" si="16"/>
        <v>1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v>31</v>
      </c>
      <c r="B92" s="268">
        <f t="shared" ca="1" si="18"/>
        <v>46254</v>
      </c>
      <c r="C92" s="268"/>
      <c r="D92" s="269">
        <f ca="1">IF(O92=0,IF(O91=1,SUM(D$62:F91)," "),IF(O92=0," ",IF(O93=1,D$62,IF(O93=0,D$4-D$62*(N$50-1)," "))))</f>
        <v>138.88999999999999</v>
      </c>
      <c r="E92" s="269"/>
      <c r="F92" s="269"/>
      <c r="G92" s="87">
        <f ca="1">IF(O92=0,IF(O91=1,SUM(G$62:G91)," "),IF(N$37=1,Q92,IF(N$37=2,R92," ")))</f>
        <v>12.422402222222235</v>
      </c>
      <c r="H92" s="87">
        <v>0</v>
      </c>
      <c r="I92" s="87">
        <f t="shared" ca="1" si="19"/>
        <v>151.31240222222223</v>
      </c>
      <c r="J92" s="87">
        <f t="shared" ca="1" si="20"/>
        <v>208.34</v>
      </c>
      <c r="K92" s="87">
        <f t="shared" ca="1" si="0"/>
        <v>18.632708888888867</v>
      </c>
      <c r="L92" s="87">
        <v>0</v>
      </c>
      <c r="M92" s="87">
        <f t="shared" ca="1" si="21"/>
        <v>226.97270888888886</v>
      </c>
      <c r="N92" s="2">
        <v>31</v>
      </c>
      <c r="O92" s="2">
        <f t="shared" ca="1" si="34"/>
        <v>1</v>
      </c>
      <c r="P92" s="2">
        <f t="shared" ca="1" si="1"/>
        <v>20</v>
      </c>
      <c r="Q92" s="134">
        <f t="shared" ca="1" si="2"/>
        <v>12.422402222222235</v>
      </c>
      <c r="R92" s="134">
        <f t="shared" ca="1" si="3"/>
        <v>12.422402222222235</v>
      </c>
      <c r="S92" s="134">
        <f t="shared" ca="1" si="23"/>
        <v>833.30000000000086</v>
      </c>
      <c r="T92" s="134">
        <f t="shared" ca="1" si="24"/>
        <v>138.88999999999999</v>
      </c>
      <c r="U92" s="134">
        <f t="shared" ca="1" si="25"/>
        <v>138.88999999999999</v>
      </c>
      <c r="V92" s="134">
        <f t="shared" ca="1" si="36"/>
        <v>12.422402222222235</v>
      </c>
      <c r="W92" s="134">
        <f t="shared" ca="1" si="37"/>
        <v>12.422402222222235</v>
      </c>
      <c r="X92" s="134">
        <f t="shared" ca="1" si="26"/>
        <v>67.083333333333329</v>
      </c>
      <c r="Y92" s="134">
        <f t="shared" ca="1" si="27"/>
        <v>70</v>
      </c>
      <c r="Z92" s="134">
        <f t="shared" ca="1" si="4"/>
        <v>1249.8799999999983</v>
      </c>
      <c r="AA92" s="134">
        <f t="shared" ca="1" si="38"/>
        <v>18.632708888888867</v>
      </c>
      <c r="AB92" s="134">
        <f t="shared" ca="1" si="5"/>
        <v>18.632708888888867</v>
      </c>
      <c r="AC92" s="134">
        <f t="shared" ca="1" si="35"/>
        <v>27776.800000000025</v>
      </c>
      <c r="AD92" s="134"/>
      <c r="AE92" s="134">
        <f t="shared" ca="1" si="6"/>
        <v>0</v>
      </c>
      <c r="AF92" s="134">
        <f t="shared" ca="1" si="7"/>
        <v>0</v>
      </c>
      <c r="AG92" s="134">
        <f t="shared" ca="1" si="29"/>
        <v>0</v>
      </c>
      <c r="AH92" s="134">
        <f t="shared" ca="1" si="8"/>
        <v>0</v>
      </c>
      <c r="AI92" s="134">
        <f t="shared" ca="1" si="30"/>
        <v>0</v>
      </c>
      <c r="AJ92" s="134">
        <f t="shared" ca="1" si="9"/>
        <v>0</v>
      </c>
      <c r="AK92" s="134">
        <f t="shared" ca="1" si="10"/>
        <v>833.30000000000086</v>
      </c>
      <c r="AL92" s="134">
        <f t="shared" ca="1" si="39"/>
        <v>0</v>
      </c>
      <c r="AM92" s="134">
        <f t="shared" ca="1" si="40"/>
        <v>0</v>
      </c>
      <c r="AN92" s="132">
        <f t="shared" ca="1" si="31"/>
        <v>8</v>
      </c>
      <c r="AO92" s="132">
        <f t="shared" ca="1" si="11"/>
        <v>8</v>
      </c>
      <c r="AP92" s="2">
        <f t="shared" ca="1" si="32"/>
        <v>2026</v>
      </c>
      <c r="AQ92" s="2">
        <f t="shared" ca="1" si="12"/>
        <v>2026</v>
      </c>
      <c r="AR92" s="2">
        <f t="shared" ca="1" si="13"/>
        <v>0</v>
      </c>
      <c r="AS92" s="2">
        <f t="shared" ca="1" si="14"/>
        <v>30</v>
      </c>
      <c r="AT92" s="2">
        <f t="shared" si="15"/>
        <v>20</v>
      </c>
      <c r="AU92" s="2">
        <f t="shared" ca="1" si="33"/>
        <v>30</v>
      </c>
      <c r="AV92" s="2"/>
      <c r="AW92" s="2"/>
      <c r="AX92" s="2"/>
      <c r="AY92" s="2"/>
      <c r="AZ92" s="2"/>
      <c r="BA92" s="2">
        <f t="shared" ca="1" si="16"/>
        <v>1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v>32</v>
      </c>
      <c r="B93" s="268">
        <f t="shared" ca="1" si="18"/>
        <v>46285</v>
      </c>
      <c r="C93" s="268"/>
      <c r="D93" s="269">
        <f ca="1">IF(O93=0,IF(O92=1,SUM(D$62:F92)," "),IF(O93=0," ",IF(O94=1,D$62,IF(O94=0,D$4-D$62*(N$50-1)," "))))</f>
        <v>138.88999999999999</v>
      </c>
      <c r="E93" s="269"/>
      <c r="F93" s="269"/>
      <c r="G93" s="87">
        <f ca="1">IF(O93=0,IF(O92=1,SUM(G$62:G92)," "),IF(N$37=1,Q93,IF(N$37=2,R93," ")))</f>
        <v>10.558961388888902</v>
      </c>
      <c r="H93" s="87">
        <v>0</v>
      </c>
      <c r="I93" s="87">
        <f t="shared" ca="1" si="19"/>
        <v>149.44896138888888</v>
      </c>
      <c r="J93" s="87">
        <f t="shared" ca="1" si="20"/>
        <v>208.34</v>
      </c>
      <c r="K93" s="87">
        <f t="shared" ca="1" si="0"/>
        <v>15.837480555555533</v>
      </c>
      <c r="L93" s="87">
        <v>0</v>
      </c>
      <c r="M93" s="87">
        <f t="shared" ca="1" si="21"/>
        <v>224.17748055555555</v>
      </c>
      <c r="N93" s="2">
        <v>32</v>
      </c>
      <c r="O93" s="2">
        <f t="shared" ca="1" si="34"/>
        <v>1</v>
      </c>
      <c r="P93" s="2">
        <f t="shared" ca="1" si="1"/>
        <v>20</v>
      </c>
      <c r="Q93" s="134">
        <f t="shared" ca="1" si="2"/>
        <v>10.558961388888902</v>
      </c>
      <c r="R93" s="134">
        <f t="shared" ca="1" si="3"/>
        <v>10.558961388888902</v>
      </c>
      <c r="S93" s="134">
        <f t="shared" ca="1" si="23"/>
        <v>694.41000000000088</v>
      </c>
      <c r="T93" s="134">
        <f t="shared" ca="1" si="24"/>
        <v>138.88999999999999</v>
      </c>
      <c r="U93" s="134">
        <f t="shared" ca="1" si="25"/>
        <v>138.88999999999999</v>
      </c>
      <c r="V93" s="134">
        <f t="shared" ca="1" si="36"/>
        <v>10.558961388888902</v>
      </c>
      <c r="W93" s="134">
        <f t="shared" ca="1" si="37"/>
        <v>10.558961388888902</v>
      </c>
      <c r="X93" s="134">
        <f t="shared" ca="1" si="26"/>
        <v>67.083333333333329</v>
      </c>
      <c r="Y93" s="134">
        <f t="shared" ca="1" si="27"/>
        <v>70</v>
      </c>
      <c r="Z93" s="134">
        <f t="shared" ca="1" si="4"/>
        <v>1041.5399999999984</v>
      </c>
      <c r="AA93" s="134">
        <f t="shared" ca="1" si="38"/>
        <v>15.837480555555533</v>
      </c>
      <c r="AB93" s="134">
        <f t="shared" ca="1" si="5"/>
        <v>15.837480555555533</v>
      </c>
      <c r="AC93" s="134">
        <f t="shared" ca="1" si="35"/>
        <v>23610.100000000028</v>
      </c>
      <c r="AD93" s="134"/>
      <c r="AE93" s="134">
        <f t="shared" ca="1" si="6"/>
        <v>0</v>
      </c>
      <c r="AF93" s="134">
        <f t="shared" ca="1" si="7"/>
        <v>0</v>
      </c>
      <c r="AG93" s="134">
        <f t="shared" ca="1" si="29"/>
        <v>0</v>
      </c>
      <c r="AH93" s="134">
        <f t="shared" ca="1" si="8"/>
        <v>0</v>
      </c>
      <c r="AI93" s="134">
        <f t="shared" ca="1" si="30"/>
        <v>0</v>
      </c>
      <c r="AJ93" s="134">
        <f t="shared" ca="1" si="9"/>
        <v>0</v>
      </c>
      <c r="AK93" s="134">
        <f t="shared" ca="1" si="10"/>
        <v>694.41000000000088</v>
      </c>
      <c r="AL93" s="134">
        <f t="shared" ca="1" si="39"/>
        <v>0</v>
      </c>
      <c r="AM93" s="134">
        <f t="shared" ca="1" si="40"/>
        <v>0</v>
      </c>
      <c r="AN93" s="132">
        <f t="shared" ca="1" si="31"/>
        <v>9</v>
      </c>
      <c r="AO93" s="132">
        <f t="shared" ca="1" si="11"/>
        <v>9</v>
      </c>
      <c r="AP93" s="2">
        <f t="shared" ca="1" si="32"/>
        <v>2026</v>
      </c>
      <c r="AQ93" s="2">
        <f t="shared" ca="1" si="12"/>
        <v>2026</v>
      </c>
      <c r="AR93" s="2">
        <f t="shared" ca="1" si="13"/>
        <v>0</v>
      </c>
      <c r="AS93" s="2">
        <f t="shared" ca="1" si="14"/>
        <v>30</v>
      </c>
      <c r="AT93" s="2">
        <f t="shared" si="15"/>
        <v>20</v>
      </c>
      <c r="AU93" s="2">
        <f t="shared" ca="1" si="33"/>
        <v>30</v>
      </c>
      <c r="AV93" s="2"/>
      <c r="AW93" s="2"/>
      <c r="AX93" s="2"/>
      <c r="AY93" s="2"/>
      <c r="AZ93" s="2"/>
      <c r="BA93" s="2">
        <f t="shared" ca="1" si="16"/>
        <v>1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4" customFormat="1" ht="15" customHeight="1">
      <c r="A94" s="4">
        <v>33</v>
      </c>
      <c r="B94" s="268">
        <f t="shared" ca="1" si="18"/>
        <v>46315</v>
      </c>
      <c r="C94" s="268"/>
      <c r="D94" s="269">
        <f ca="1">IF(O94=0,IF(O93=1,SUM(D$62:F93)," "),IF(O94=0," ",IF(O95=1,D$62,IF(O95=0,D$4-D$62*(N$50-1)," "))))</f>
        <v>138.88999999999999</v>
      </c>
      <c r="E94" s="269"/>
      <c r="F94" s="269"/>
      <c r="G94" s="87">
        <f ca="1">IF(O94=0,IF(O93=1,SUM(G$62:G93)," "),IF(N$37=1,Q94,IF(N$37=2,R94," ")))</f>
        <v>8.6955205555555679</v>
      </c>
      <c r="H94" s="87">
        <v>0</v>
      </c>
      <c r="I94" s="87">
        <f t="shared" ca="1" si="19"/>
        <v>147.58552055555555</v>
      </c>
      <c r="J94" s="87">
        <f t="shared" ca="1" si="20"/>
        <v>208.34</v>
      </c>
      <c r="K94" s="87">
        <f t="shared" ref="K94:K122" ca="1" si="41">AB94</f>
        <v>13.042252222222203</v>
      </c>
      <c r="L94" s="87">
        <v>0</v>
      </c>
      <c r="M94" s="87">
        <f t="shared" ca="1" si="21"/>
        <v>221.38225222222221</v>
      </c>
      <c r="N94" s="2">
        <v>33</v>
      </c>
      <c r="O94" s="2">
        <f t="shared" ca="1" si="34"/>
        <v>1</v>
      </c>
      <c r="P94" s="2">
        <f t="shared" ref="P94:P122" ca="1" si="42">IF(D$8+1=A$50,IF(N94=A$50,IF(DATE(YEAR(0),MONTH(0),DAY(D$10)-1)&gt;AT94,DATE(YEAR(0),MONTH(0),DAY(D$10)-1),AT94),AT94),IF(N94=A$50,IF(DATE(YEAR(0),MONTH(0),DAY(D$10)-1)&lt;AT94,DATE(YEAR(0),MONTH(0),DAY(D$10)-1),AT94),AT94))</f>
        <v>20</v>
      </c>
      <c r="Q94" s="134">
        <f t="shared" ref="Q94:Q122" ca="1" si="43">V94</f>
        <v>8.6955205555555679</v>
      </c>
      <c r="R94" s="134">
        <f t="shared" ref="R94:R122" ca="1" si="44">W94</f>
        <v>8.6955205555555679</v>
      </c>
      <c r="S94" s="134">
        <f t="shared" ca="1" si="23"/>
        <v>555.52000000000089</v>
      </c>
      <c r="T94" s="134">
        <f t="shared" ca="1" si="24"/>
        <v>138.88999999999999</v>
      </c>
      <c r="U94" s="134">
        <f t="shared" ca="1" si="25"/>
        <v>138.88999999999999</v>
      </c>
      <c r="V94" s="134">
        <f t="shared" ca="1" si="36"/>
        <v>8.6955205555555679</v>
      </c>
      <c r="W94" s="134">
        <f t="shared" ca="1" si="37"/>
        <v>8.6955205555555679</v>
      </c>
      <c r="X94" s="134">
        <f t="shared" ca="1" si="26"/>
        <v>67.083333333333329</v>
      </c>
      <c r="Y94" s="134">
        <f t="shared" ca="1" si="27"/>
        <v>70</v>
      </c>
      <c r="Z94" s="134">
        <f t="shared" ref="Z94:Z122" ca="1" si="45">IF(N94&lt;=(D$9+1),D$4,Z93-J93)</f>
        <v>833.19999999999834</v>
      </c>
      <c r="AA94" s="134">
        <f t="shared" ca="1" si="38"/>
        <v>13.042252222222203</v>
      </c>
      <c r="AB94" s="134">
        <f t="shared" ref="AB94:AB122" ca="1" si="46">AA94</f>
        <v>13.042252222222203</v>
      </c>
      <c r="AC94" s="134">
        <f t="shared" ca="1" si="35"/>
        <v>19443.400000000027</v>
      </c>
      <c r="AD94" s="134"/>
      <c r="AE94" s="134">
        <f t="shared" ref="AE94:AE122" ca="1" si="47">IF(AL94&lt;&gt;0,IF(VALUE(RIGHT(ROUND(AL94,0)))&lt;=5,ROUND(AL94,0)-VALUE(RIGHT(ROUND(AL94,0))),ROUND(AL94,0)+10-VALUE(RIGHT(ROUND(AL94,0)))),0)</f>
        <v>0</v>
      </c>
      <c r="AF94" s="134">
        <f t="shared" ref="AF94:AF122" ca="1" si="48">IF(AM94&lt;&gt;0,IF(VALUE(RIGHT(ROUND(AM94,0)))&lt;=5,ROUND(AM94,0)-VALUE(RIGHT(ROUND(AM94,0))),ROUND(AM94,0)+10-VALUE(RIGHT(ROUND(AM94,0)))),0)</f>
        <v>0</v>
      </c>
      <c r="AG94" s="134">
        <f t="shared" ca="1" si="29"/>
        <v>0</v>
      </c>
      <c r="AH94" s="134">
        <f t="shared" ref="AH94:AH122" ca="1" si="49">IF(AG94&lt;&gt;0,IF(VALUE(RIGHT(ROUND(AG94,0)))&lt;=5,ROUND(AG94,0)-VALUE(RIGHT(ROUND(AG94,0))),ROUND(AG94,0)+10-VALUE(RIGHT(ROUND(AG94,0)))),0)</f>
        <v>0</v>
      </c>
      <c r="AI94" s="134">
        <f t="shared" ca="1" si="30"/>
        <v>0</v>
      </c>
      <c r="AJ94" s="134">
        <f t="shared" ref="AJ94:AJ122" ca="1" si="50">IF(AI94&lt;&gt;0,IF(VALUE(RIGHT(ROUND(AI94,0)))&lt;=5,ROUND(AI94,0)-VALUE(RIGHT(ROUND(AI94,0))),ROUND(AI94,0)+10-VALUE(RIGHT(ROUND(AI94,0)))),0)</f>
        <v>0</v>
      </c>
      <c r="AK94" s="134">
        <f t="shared" ref="AK94:AK122" ca="1" si="51">S94</f>
        <v>555.52000000000089</v>
      </c>
      <c r="AL94" s="134">
        <f t="shared" ca="1" si="39"/>
        <v>0</v>
      </c>
      <c r="AM94" s="134">
        <f t="shared" ca="1" si="40"/>
        <v>0</v>
      </c>
      <c r="AN94" s="132">
        <f t="shared" ca="1" si="31"/>
        <v>10</v>
      </c>
      <c r="AO94" s="132">
        <f t="shared" ref="AO94:AO122" ca="1" si="52">IF(AN94=13,1,AN94)</f>
        <v>10</v>
      </c>
      <c r="AP94" s="2">
        <f t="shared" ca="1" si="32"/>
        <v>2026</v>
      </c>
      <c r="AQ94" s="2">
        <f t="shared" ref="AQ94:AQ122" ca="1" si="53">IF(AO94=1,AP94+1,AP94)</f>
        <v>2026</v>
      </c>
      <c r="AR94" s="2">
        <f t="shared" ref="AR94:AR122" ca="1" si="54">IF((AP94/2012)=1,1,IF((AP94/2016)=1,1,IF((AP94/2020)=1,1,IF((AP94/2024)=1,1,IF((AP94/2028)=1,1,IF((AP94/2032)=1,1,0))))))</f>
        <v>0</v>
      </c>
      <c r="AS94" s="2">
        <f t="shared" ref="AS94:AS122" ca="1" si="55">IF(AO94=2,IF(AR94=1,29,28),30)</f>
        <v>30</v>
      </c>
      <c r="AT94" s="2">
        <f t="shared" ref="AT94:AT122" si="56">IF(C$61=30,AS94,20)</f>
        <v>20</v>
      </c>
      <c r="AU94" s="2">
        <f t="shared" ca="1" si="33"/>
        <v>30</v>
      </c>
      <c r="AV94" s="2"/>
      <c r="AW94" s="2"/>
      <c r="AX94" s="2"/>
      <c r="AY94" s="2"/>
      <c r="AZ94" s="2"/>
      <c r="BA94" s="2">
        <f t="shared" ref="BA94:BA122" ca="1" si="57">IF(D$9=0,0,IF(O94=1,1,0))</f>
        <v>1</v>
      </c>
      <c r="BB94" s="2"/>
      <c r="BC94" s="2"/>
      <c r="BD94" s="2"/>
      <c r="BE94" s="2"/>
      <c r="BF94" s="2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</row>
    <row r="95" spans="1:143" s="24" customFormat="1" ht="15" customHeight="1">
      <c r="A95" s="4">
        <v>34</v>
      </c>
      <c r="B95" s="268">
        <f t="shared" ref="B95:B122" ca="1" si="58">IF(O95=0,IF(O94=1,"ИТОГО"," "),IF(A$50=D$8+1,IF(N95=A$50,IF(MONTH(B94)=2,IF(DAY(D$10)&gt;29,DATE(YEAR(B94),MONTH(B94),AU95),DATE(YEAR(B94),MONTH(B94),P95)),DATE(YEAR(B94),MONTH(B94),P95)),DATE(YEAR(B94),MONTH(B94)+1,P95)),DATE(YEAR(B94),MONTH(B94)+1,P95)))</f>
        <v>46346</v>
      </c>
      <c r="C95" s="268"/>
      <c r="D95" s="269">
        <f ca="1">IF(O95=0,IF(O94=1,SUM(D$62:F94)," "),IF(O95=0," ",IF(O96=1,D$62,IF(O96=0,D$4-D$62*(N$50-1)," "))))</f>
        <v>138.88999999999999</v>
      </c>
      <c r="E95" s="269"/>
      <c r="F95" s="269"/>
      <c r="G95" s="87">
        <f ca="1">IF(O95=0,IF(O94=1,SUM(G$62:G94)," "),IF(N$37=1,Q95,IF(N$37=2,R95," ")))</f>
        <v>6.8320797222222351</v>
      </c>
      <c r="H95" s="87">
        <v>0</v>
      </c>
      <c r="I95" s="87">
        <f t="shared" ref="I95:I122" ca="1" si="59">IF(SUM(D95:H95)=0," ",SUM(D95:H95))</f>
        <v>145.72207972222222</v>
      </c>
      <c r="J95" s="87">
        <f t="shared" ref="J95:J122" ca="1" si="60">IF(O95=1,IF(O96=1,IF(N95&lt;=D$9,U95,AX$63),D$4-AX$63*N$52+AX$63),0)</f>
        <v>208.34</v>
      </c>
      <c r="K95" s="87">
        <f t="shared" ca="1" si="41"/>
        <v>10.247023888888869</v>
      </c>
      <c r="L95" s="87">
        <v>0</v>
      </c>
      <c r="M95" s="87">
        <f t="shared" ref="M95:M122" ca="1" si="61">IF(SUM(J95:L95)=0," ",SUM(J95:L95))</f>
        <v>218.58702388888887</v>
      </c>
      <c r="N95" s="2">
        <v>34</v>
      </c>
      <c r="O95" s="2">
        <f t="shared" ca="1" si="34"/>
        <v>1</v>
      </c>
      <c r="P95" s="2">
        <f t="shared" ca="1" si="42"/>
        <v>20</v>
      </c>
      <c r="Q95" s="134">
        <f t="shared" ca="1" si="43"/>
        <v>6.8320797222222351</v>
      </c>
      <c r="R95" s="134">
        <f t="shared" ca="1" si="44"/>
        <v>6.8320797222222351</v>
      </c>
      <c r="S95" s="134">
        <f t="shared" ref="S95:S122" ca="1" si="62">IF(O95=0,0,S94-D94)</f>
        <v>416.6300000000009</v>
      </c>
      <c r="T95" s="134">
        <f t="shared" ref="T95:T122" ca="1" si="63">IF(N95&lt;=D$9,D$4/(D$8-N94),D95)</f>
        <v>138.88999999999999</v>
      </c>
      <c r="U95" s="134">
        <f t="shared" ref="U95:U122" ca="1" si="64">T95</f>
        <v>138.88999999999999</v>
      </c>
      <c r="V95" s="134">
        <f t="shared" ca="1" si="36"/>
        <v>6.8320797222222351</v>
      </c>
      <c r="W95" s="134">
        <f t="shared" ca="1" si="37"/>
        <v>6.8320797222222351</v>
      </c>
      <c r="X95" s="134">
        <f t="shared" ref="X95:X121" ca="1" si="65">IF(O96=1,$D$4*$D$5*20/36000+$D$4*$D$5*10/36000,IF(O96=0,IF(O95=0,0,$D$4*$D$5*$R$48/36000+$D$4*$D$5*20/36000+$D$4*$D$5*10/36000)))</f>
        <v>67.083333333333329</v>
      </c>
      <c r="Y95" s="134">
        <f t="shared" ref="Y95:Y122" ca="1" si="66">IF(X95&lt;&gt;0,IF(VALUE(RIGHT(ROUND(X95,0)))&lt;=5,ROUND(X95,0)-VALUE(RIGHT(ROUND(X95,0))),ROUND(X95,0)+10-VALUE(RIGHT(ROUND(X95,0)))),0)</f>
        <v>70</v>
      </c>
      <c r="Z95" s="134">
        <f t="shared" ca="1" si="45"/>
        <v>624.85999999999831</v>
      </c>
      <c r="AA95" s="134">
        <f t="shared" ca="1" si="38"/>
        <v>10.247023888888869</v>
      </c>
      <c r="AB95" s="134">
        <f t="shared" ca="1" si="46"/>
        <v>10.247023888888869</v>
      </c>
      <c r="AC95" s="134">
        <f t="shared" ca="1" si="35"/>
        <v>15276.700000000026</v>
      </c>
      <c r="AD95" s="134"/>
      <c r="AE95" s="134">
        <f t="shared" ca="1" si="47"/>
        <v>0</v>
      </c>
      <c r="AF95" s="134">
        <f t="shared" ca="1" si="48"/>
        <v>0</v>
      </c>
      <c r="AG95" s="134">
        <f t="shared" ref="AG95:AG121" ca="1" si="67">IF(O96=1,D$4*H$48*20/36000+D$4*H$48*10/36000,IF(O96=0,IF(O95=0,0,D$4*H$48*R$48/36000+D$4*H$48*20/36000+D$4*H$48*10/36000)))</f>
        <v>0</v>
      </c>
      <c r="AH95" s="134">
        <f t="shared" ca="1" si="49"/>
        <v>0</v>
      </c>
      <c r="AI95" s="134">
        <f t="shared" ref="AI95:AI121" ca="1" si="68">IF(O96=1,Z94*H$48*20/36000+Z95*H$48*10/36000,IF(O96=0,IF(O95=0,0,Z95*H$48*R$48/36000+Z94*H$48*20/36000+Z95*H$48*10/36000)))</f>
        <v>0</v>
      </c>
      <c r="AJ95" s="134">
        <f t="shared" ca="1" si="50"/>
        <v>0</v>
      </c>
      <c r="AK95" s="134">
        <f t="shared" ca="1" si="51"/>
        <v>416.6300000000009</v>
      </c>
      <c r="AL95" s="134">
        <f t="shared" ca="1" si="39"/>
        <v>0</v>
      </c>
      <c r="AM95" s="134">
        <f t="shared" ca="1" si="40"/>
        <v>0</v>
      </c>
      <c r="AN95" s="132">
        <f t="shared" ref="AN95:AN122" ca="1" si="69">IF(O95=0,0,MONTH(B94)+1)</f>
        <v>11</v>
      </c>
      <c r="AO95" s="132">
        <f t="shared" ca="1" si="52"/>
        <v>11</v>
      </c>
      <c r="AP95" s="2">
        <f t="shared" ref="AP95:AP122" ca="1" si="70">IF(O95=0,0,YEAR(B94))</f>
        <v>2026</v>
      </c>
      <c r="AQ95" s="2">
        <f t="shared" ca="1" si="53"/>
        <v>2026</v>
      </c>
      <c r="AR95" s="2">
        <f t="shared" ca="1" si="54"/>
        <v>0</v>
      </c>
      <c r="AS95" s="2">
        <f t="shared" ca="1" si="55"/>
        <v>30</v>
      </c>
      <c r="AT95" s="2">
        <f t="shared" si="56"/>
        <v>20</v>
      </c>
      <c r="AU95" s="2">
        <f t="shared" ref="AU95:AU122" ca="1" si="71">AS94</f>
        <v>30</v>
      </c>
      <c r="AV95" s="2"/>
      <c r="AW95" s="2"/>
      <c r="AX95" s="2"/>
      <c r="AY95" s="2"/>
      <c r="AZ95" s="2"/>
      <c r="BA95" s="2">
        <f t="shared" ca="1" si="57"/>
        <v>1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4" customFormat="1" ht="15" customHeight="1">
      <c r="A96" s="4">
        <v>35</v>
      </c>
      <c r="B96" s="268">
        <f t="shared" ca="1" si="58"/>
        <v>46376</v>
      </c>
      <c r="C96" s="268"/>
      <c r="D96" s="269">
        <f ca="1">IF(O96=0,IF(O95=1,SUM(D$62:F95)," "),IF(O96=0," ",IF(O97=1,D$62,IF(O97=0,D$4-D$62*(N$50-1)," "))))</f>
        <v>138.88999999999999</v>
      </c>
      <c r="E96" s="269"/>
      <c r="F96" s="269"/>
      <c r="G96" s="87">
        <f ca="1">IF(O96=0,IF(O95=1,SUM(G$62:G95)," "),IF(N$37=1,Q96,IF(N$37=2,R96," ")))</f>
        <v>4.9686388888889015</v>
      </c>
      <c r="H96" s="87">
        <v>0</v>
      </c>
      <c r="I96" s="87">
        <f t="shared" ca="1" si="59"/>
        <v>143.85863888888889</v>
      </c>
      <c r="J96" s="87">
        <f t="shared" ca="1" si="60"/>
        <v>208.34</v>
      </c>
      <c r="K96" s="87">
        <f t="shared" ca="1" si="41"/>
        <v>7.4517955555555329</v>
      </c>
      <c r="L96" s="87">
        <v>0</v>
      </c>
      <c r="M96" s="87">
        <f t="shared" ca="1" si="61"/>
        <v>215.79179555555552</v>
      </c>
      <c r="N96" s="2">
        <v>35</v>
      </c>
      <c r="O96" s="2">
        <f t="shared" ca="1" si="34"/>
        <v>1</v>
      </c>
      <c r="P96" s="2">
        <f t="shared" ca="1" si="42"/>
        <v>20</v>
      </c>
      <c r="Q96" s="134">
        <f t="shared" ca="1" si="43"/>
        <v>4.9686388888889015</v>
      </c>
      <c r="R96" s="134">
        <f t="shared" ca="1" si="44"/>
        <v>4.9686388888889015</v>
      </c>
      <c r="S96" s="134">
        <f t="shared" ca="1" si="62"/>
        <v>277.74000000000092</v>
      </c>
      <c r="T96" s="134">
        <f t="shared" ca="1" si="63"/>
        <v>138.88999999999999</v>
      </c>
      <c r="U96" s="134">
        <f t="shared" ca="1" si="64"/>
        <v>138.88999999999999</v>
      </c>
      <c r="V96" s="134">
        <f t="shared" ca="1" si="36"/>
        <v>4.9686388888889015</v>
      </c>
      <c r="W96" s="134">
        <f t="shared" ca="1" si="37"/>
        <v>4.9686388888889015</v>
      </c>
      <c r="X96" s="134">
        <f t="shared" ca="1" si="65"/>
        <v>67.083333333333329</v>
      </c>
      <c r="Y96" s="134">
        <f t="shared" ca="1" si="66"/>
        <v>70</v>
      </c>
      <c r="Z96" s="134">
        <f t="shared" ca="1" si="45"/>
        <v>416.51999999999828</v>
      </c>
      <c r="AA96" s="134">
        <f t="shared" ca="1" si="38"/>
        <v>7.4517955555555329</v>
      </c>
      <c r="AB96" s="134">
        <f t="shared" ca="1" si="46"/>
        <v>7.4517955555555329</v>
      </c>
      <c r="AC96" s="134">
        <f t="shared" ca="1" si="35"/>
        <v>11110.000000000027</v>
      </c>
      <c r="AD96" s="134"/>
      <c r="AE96" s="134">
        <f t="shared" ca="1" si="47"/>
        <v>0</v>
      </c>
      <c r="AF96" s="134">
        <f t="shared" ca="1" si="48"/>
        <v>0</v>
      </c>
      <c r="AG96" s="134">
        <f t="shared" ca="1" si="67"/>
        <v>0</v>
      </c>
      <c r="AH96" s="134">
        <f t="shared" ca="1" si="49"/>
        <v>0</v>
      </c>
      <c r="AI96" s="134">
        <f t="shared" ca="1" si="68"/>
        <v>0</v>
      </c>
      <c r="AJ96" s="134">
        <f t="shared" ca="1" si="50"/>
        <v>0</v>
      </c>
      <c r="AK96" s="134">
        <f t="shared" ca="1" si="51"/>
        <v>277.74000000000092</v>
      </c>
      <c r="AL96" s="134">
        <f t="shared" ca="1" si="39"/>
        <v>0</v>
      </c>
      <c r="AM96" s="134">
        <f t="shared" ca="1" si="40"/>
        <v>0</v>
      </c>
      <c r="AN96" s="132">
        <f t="shared" ca="1" si="69"/>
        <v>12</v>
      </c>
      <c r="AO96" s="132">
        <f t="shared" ca="1" si="52"/>
        <v>12</v>
      </c>
      <c r="AP96" s="2">
        <f t="shared" ca="1" si="70"/>
        <v>2026</v>
      </c>
      <c r="AQ96" s="2">
        <f t="shared" ca="1" si="53"/>
        <v>2026</v>
      </c>
      <c r="AR96" s="2">
        <f t="shared" ca="1" si="54"/>
        <v>0</v>
      </c>
      <c r="AS96" s="2">
        <f t="shared" ca="1" si="55"/>
        <v>30</v>
      </c>
      <c r="AT96" s="2">
        <f t="shared" si="56"/>
        <v>20</v>
      </c>
      <c r="AU96" s="2">
        <f t="shared" ca="1" si="71"/>
        <v>30</v>
      </c>
      <c r="AV96" s="2"/>
      <c r="AW96" s="2"/>
      <c r="AX96" s="2"/>
      <c r="AY96" s="2"/>
      <c r="AZ96" s="2"/>
      <c r="BA96" s="2">
        <f t="shared" ca="1" si="57"/>
        <v>1</v>
      </c>
      <c r="BB96" s="2"/>
      <c r="BC96" s="2"/>
      <c r="BD96" s="2"/>
      <c r="BE96" s="2"/>
      <c r="BF96" s="2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</row>
    <row r="97" spans="1:143" s="24" customFormat="1" ht="15" customHeight="1">
      <c r="A97" s="4">
        <v>36</v>
      </c>
      <c r="B97" s="268">
        <f t="shared" ca="1" si="58"/>
        <v>46389</v>
      </c>
      <c r="C97" s="268"/>
      <c r="D97" s="269">
        <f ca="1">IF(O97=0,IF(O96=1,SUM(D$62:F96)," "),IF(O97=0," ",IF(O98=1,D$62,IF(O98=0,D$4-D$62*(N$50-1)," "))))</f>
        <v>138.85000000000036</v>
      </c>
      <c r="E97" s="269"/>
      <c r="F97" s="269"/>
      <c r="G97" s="87">
        <f ca="1">IF(O97=0,IF(O96=1,SUM(G$62:G96)," "),IF(N$37=1,Q97,IF(N$37=2,R97," ")))</f>
        <v>3.2293916666666802</v>
      </c>
      <c r="H97" s="87">
        <v>0</v>
      </c>
      <c r="I97" s="87">
        <f t="shared" ca="1" si="59"/>
        <v>142.07939166666705</v>
      </c>
      <c r="J97" s="87">
        <f t="shared" ca="1" si="60"/>
        <v>208.18000000000015</v>
      </c>
      <c r="K97" s="87">
        <f t="shared" ca="1" si="41"/>
        <v>4.842772666666642</v>
      </c>
      <c r="L97" s="87">
        <v>0</v>
      </c>
      <c r="M97" s="87">
        <f t="shared" ca="1" si="61"/>
        <v>213.02277266666678</v>
      </c>
      <c r="N97" s="2">
        <v>36</v>
      </c>
      <c r="O97" s="2">
        <f t="shared" ca="1" si="34"/>
        <v>1</v>
      </c>
      <c r="P97" s="2">
        <f t="shared" ca="1" si="42"/>
        <v>2</v>
      </c>
      <c r="Q97" s="134">
        <f t="shared" ca="1" si="43"/>
        <v>3.2293916666666802</v>
      </c>
      <c r="R97" s="134">
        <f t="shared" ca="1" si="44"/>
        <v>3.2293916666666802</v>
      </c>
      <c r="S97" s="134">
        <f t="shared" ca="1" si="62"/>
        <v>138.85000000000093</v>
      </c>
      <c r="T97" s="134">
        <f t="shared" ca="1" si="63"/>
        <v>138.85000000000036</v>
      </c>
      <c r="U97" s="134">
        <f t="shared" ca="1" si="64"/>
        <v>138.85000000000036</v>
      </c>
      <c r="V97" s="134">
        <f t="shared" ca="1" si="36"/>
        <v>3.2293916666666802</v>
      </c>
      <c r="W97" s="134">
        <f t="shared" ca="1" si="37"/>
        <v>3.2293916666666802</v>
      </c>
      <c r="X97" s="134">
        <f t="shared" ca="1" si="65"/>
        <v>71.555555555555557</v>
      </c>
      <c r="Y97" s="134">
        <f t="shared" ca="1" si="66"/>
        <v>70</v>
      </c>
      <c r="Z97" s="134">
        <f t="shared" ca="1" si="45"/>
        <v>208.17999999999827</v>
      </c>
      <c r="AA97" s="134">
        <f t="shared" ca="1" si="38"/>
        <v>4.842772666666642</v>
      </c>
      <c r="AB97" s="134">
        <f t="shared" ca="1" si="46"/>
        <v>4.842772666666642</v>
      </c>
      <c r="AC97" s="134">
        <f t="shared" ca="1" si="35"/>
        <v>277.70000000000186</v>
      </c>
      <c r="AD97" s="134"/>
      <c r="AE97" s="134">
        <f t="shared" ca="1" si="47"/>
        <v>0</v>
      </c>
      <c r="AF97" s="134">
        <f t="shared" ca="1" si="48"/>
        <v>0</v>
      </c>
      <c r="AG97" s="134">
        <f t="shared" ca="1" si="67"/>
        <v>0</v>
      </c>
      <c r="AH97" s="134">
        <f t="shared" ca="1" si="49"/>
        <v>0</v>
      </c>
      <c r="AI97" s="134">
        <f t="shared" ca="1" si="68"/>
        <v>0</v>
      </c>
      <c r="AJ97" s="134">
        <f t="shared" ca="1" si="50"/>
        <v>0</v>
      </c>
      <c r="AK97" s="134">
        <f t="shared" ca="1" si="51"/>
        <v>138.85000000000093</v>
      </c>
      <c r="AL97" s="134">
        <f t="shared" ca="1" si="39"/>
        <v>0</v>
      </c>
      <c r="AM97" s="134">
        <f t="shared" ca="1" si="40"/>
        <v>0</v>
      </c>
      <c r="AN97" s="132">
        <f t="shared" ca="1" si="69"/>
        <v>13</v>
      </c>
      <c r="AO97" s="132">
        <f t="shared" ca="1" si="52"/>
        <v>1</v>
      </c>
      <c r="AP97" s="2">
        <f t="shared" ca="1" si="70"/>
        <v>2026</v>
      </c>
      <c r="AQ97" s="2">
        <f t="shared" ca="1" si="53"/>
        <v>2027</v>
      </c>
      <c r="AR97" s="2">
        <f t="shared" ca="1" si="54"/>
        <v>0</v>
      </c>
      <c r="AS97" s="2">
        <f t="shared" ca="1" si="55"/>
        <v>30</v>
      </c>
      <c r="AT97" s="2">
        <f t="shared" si="56"/>
        <v>20</v>
      </c>
      <c r="AU97" s="2">
        <f t="shared" ca="1" si="71"/>
        <v>30</v>
      </c>
      <c r="AV97" s="2"/>
      <c r="AW97" s="2"/>
      <c r="AX97" s="2"/>
      <c r="AY97" s="2"/>
      <c r="AZ97" s="2"/>
      <c r="BA97" s="2">
        <f t="shared" ca="1" si="57"/>
        <v>1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37</v>
      </c>
      <c r="B98" s="268" t="str">
        <f t="shared" ca="1" si="58"/>
        <v>ИТОГО</v>
      </c>
      <c r="C98" s="268"/>
      <c r="D98" s="269">
        <f ca="1">IF(O98=0,IF(O97=1,SUM(D$62:F97)," "),IF(O98=0," ",IF(O99=1,D$62,IF(O99=0,D$4-D$62*(N$50-1)," "))))</f>
        <v>4999.9999999999991</v>
      </c>
      <c r="E98" s="269"/>
      <c r="F98" s="269"/>
      <c r="G98" s="87">
        <f ca="1">IF(O98=0,IF(O97=1,SUM(G$62:G97)," "),IF(N$37=1,Q98,IF(N$37=2,R98," ")))</f>
        <v>1277.9284213888886</v>
      </c>
      <c r="H98" s="87">
        <v>0</v>
      </c>
      <c r="I98" s="87">
        <f t="shared" ca="1" si="59"/>
        <v>6277.9284213888877</v>
      </c>
      <c r="J98" s="87">
        <f t="shared" ca="1" si="60"/>
        <v>0</v>
      </c>
      <c r="K98" s="87">
        <f t="shared" ca="1" si="41"/>
        <v>0</v>
      </c>
      <c r="L98" s="87">
        <v>0</v>
      </c>
      <c r="M98" s="87" t="str">
        <f t="shared" ca="1" si="61"/>
        <v xml:space="preserve"> </v>
      </c>
      <c r="N98" s="2">
        <v>37</v>
      </c>
      <c r="O98" s="2">
        <f t="shared" ca="1" si="34"/>
        <v>0</v>
      </c>
      <c r="P98" s="2">
        <f t="shared" ca="1" si="42"/>
        <v>20</v>
      </c>
      <c r="Q98" s="134">
        <f t="shared" ca="1" si="43"/>
        <v>0</v>
      </c>
      <c r="R98" s="134">
        <f t="shared" ca="1" si="44"/>
        <v>0</v>
      </c>
      <c r="S98" s="134">
        <f t="shared" ca="1" si="62"/>
        <v>0</v>
      </c>
      <c r="T98" s="134">
        <f t="shared" ca="1" si="63"/>
        <v>4999.9999999999991</v>
      </c>
      <c r="U98" s="134">
        <f t="shared" ca="1" si="64"/>
        <v>4999.9999999999991</v>
      </c>
      <c r="V98" s="134">
        <f ca="1">IF(O99=1,S97*D$5*20/36000+S98*D$5*10/36000,IF(O99=0,IF(O98=0,0,IF(D$10&gt;20,S97*D$5*20/36000+S98*D$5*(R$48-20)/36000,S98*D$5*R$48/36000))))</f>
        <v>0</v>
      </c>
      <c r="W98" s="134">
        <f ca="1">IF(O99=1,S97*D$5*20/36000+S98*D$5*10/36000,IF(O99=0,IF(O98=0,0,IF(D$10&gt;20,S97*D$5*20/36000+S98*D$5*(R$48-20)/36000,S98*D$5*R$48/36000))))</f>
        <v>0</v>
      </c>
      <c r="X98" s="134">
        <f t="shared" ca="1" si="65"/>
        <v>0</v>
      </c>
      <c r="Y98" s="134">
        <f t="shared" ca="1" si="66"/>
        <v>0</v>
      </c>
      <c r="Z98" s="134">
        <f t="shared" ca="1" si="45"/>
        <v>-1.8758328224066645E-12</v>
      </c>
      <c r="AA98" s="134">
        <f ca="1">IF(O99=1,Z97*D$5*20/36000+Z98*D$5*10/36000,IF(O99=0,IF(O98=0,0,IF(D$10&gt;20,Z97*D$5*20/36000+Z98*D$5*(R$48-20)/36000,Z98*D$5*R$48/36000))))</f>
        <v>0</v>
      </c>
      <c r="AB98" s="134">
        <f t="shared" ca="1" si="46"/>
        <v>0</v>
      </c>
      <c r="AC98" s="134">
        <f t="shared" ca="1" si="35"/>
        <v>0</v>
      </c>
      <c r="AD98" s="134"/>
      <c r="AE98" s="134">
        <f t="shared" ca="1" si="47"/>
        <v>0</v>
      </c>
      <c r="AF98" s="134">
        <f t="shared" ca="1" si="48"/>
        <v>0</v>
      </c>
      <c r="AG98" s="134">
        <f t="shared" ca="1" si="67"/>
        <v>0</v>
      </c>
      <c r="AH98" s="134">
        <f t="shared" ca="1" si="49"/>
        <v>0</v>
      </c>
      <c r="AI98" s="134">
        <f t="shared" ca="1" si="68"/>
        <v>0</v>
      </c>
      <c r="AJ98" s="134">
        <f t="shared" ca="1" si="50"/>
        <v>0</v>
      </c>
      <c r="AK98" s="134">
        <f t="shared" ca="1" si="51"/>
        <v>0</v>
      </c>
      <c r="AL98" s="134">
        <f ca="1">IF(O99=1,AK97*H$48*20/36000+AK98*H$48*10/36000,IF(O99=0,IF(O98=0,0,AK98*H$48*R$48/36000)))</f>
        <v>0</v>
      </c>
      <c r="AM98" s="134">
        <f ca="1">IF(O99=1,AK97*H$48*20/36000+AK98*H$48*10/36000,IF(O99=0,IF(O98=0,0,AK98*H$48*R$48/36000)))</f>
        <v>0</v>
      </c>
      <c r="AN98" s="132">
        <f t="shared" ca="1" si="69"/>
        <v>0</v>
      </c>
      <c r="AO98" s="132">
        <f t="shared" ca="1" si="52"/>
        <v>0</v>
      </c>
      <c r="AP98" s="2">
        <f t="shared" ca="1" si="70"/>
        <v>0</v>
      </c>
      <c r="AQ98" s="2">
        <f t="shared" ca="1" si="53"/>
        <v>0</v>
      </c>
      <c r="AR98" s="2">
        <f t="shared" ca="1" si="54"/>
        <v>0</v>
      </c>
      <c r="AS98" s="2">
        <f t="shared" ca="1" si="55"/>
        <v>30</v>
      </c>
      <c r="AT98" s="2">
        <f t="shared" si="56"/>
        <v>20</v>
      </c>
      <c r="AU98" s="2">
        <f t="shared" ca="1" si="71"/>
        <v>30</v>
      </c>
      <c r="AV98" s="2"/>
      <c r="AW98" s="2"/>
      <c r="AX98" s="2"/>
      <c r="AY98" s="2"/>
      <c r="AZ98" s="2"/>
      <c r="BA98" s="2">
        <f t="shared" ca="1" si="57"/>
        <v>0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38</v>
      </c>
      <c r="B99" s="268" t="str">
        <f t="shared" ca="1" si="58"/>
        <v xml:space="preserve"> </v>
      </c>
      <c r="C99" s="268"/>
      <c r="D99" s="269" t="str">
        <f ca="1">IF(O99=0,IF(O98=1,SUM(D$62:F98)," "),IF(O99=0," ",IF(O100=1,D$62,IF(O100=0,D$4-D$62*(N$50-1)," "))))</f>
        <v xml:space="preserve"> </v>
      </c>
      <c r="E99" s="269"/>
      <c r="F99" s="269"/>
      <c r="G99" s="87" t="str">
        <f ca="1">IF(O99=0,IF(O98=1,SUM(G$62:G98)," "),IF(N$37=1,Q99,IF(N$37=2,R99," ")))</f>
        <v xml:space="preserve"> </v>
      </c>
      <c r="H99" s="87">
        <v>0</v>
      </c>
      <c r="I99" s="87" t="str">
        <f t="shared" ca="1" si="59"/>
        <v xml:space="preserve"> </v>
      </c>
      <c r="J99" s="87">
        <f t="shared" ca="1" si="60"/>
        <v>0</v>
      </c>
      <c r="K99" s="87">
        <f t="shared" ca="1" si="41"/>
        <v>0</v>
      </c>
      <c r="L99" s="87">
        <v>0</v>
      </c>
      <c r="M99" s="87" t="str">
        <f t="shared" ca="1" si="61"/>
        <v xml:space="preserve"> </v>
      </c>
      <c r="N99" s="2">
        <v>38</v>
      </c>
      <c r="O99" s="2">
        <f t="shared" ca="1" si="34"/>
        <v>0</v>
      </c>
      <c r="P99" s="2">
        <f t="shared" ca="1" si="42"/>
        <v>20</v>
      </c>
      <c r="Q99" s="134">
        <f t="shared" ca="1" si="43"/>
        <v>0</v>
      </c>
      <c r="R99" s="134">
        <f t="shared" ca="1" si="44"/>
        <v>0</v>
      </c>
      <c r="S99" s="134">
        <f t="shared" ca="1" si="62"/>
        <v>0</v>
      </c>
      <c r="T99" s="134" t="str">
        <f t="shared" ca="1" si="63"/>
        <v xml:space="preserve"> </v>
      </c>
      <c r="U99" s="134" t="str">
        <f t="shared" ca="1" si="64"/>
        <v xml:space="preserve"> </v>
      </c>
      <c r="V99" s="134">
        <f t="shared" ref="V99:V109" ca="1" si="72">IF(O100=1,S98*D$5*20/36000+S99*D$5*10/36000,IF(O100=0,IF(O99=0,0,S99*D$5*R$48/36000+S98*D$5*20/36000+S99*D$5*10/36000)))</f>
        <v>0</v>
      </c>
      <c r="W99" s="134">
        <f t="shared" ref="W99:W109" ca="1" si="73">IF(O100=1,S98*D$5*20/36000+S99*D$5*10/36000,IF(O100=0,IF(O99=0,0,S99*D$5*R$48/36000+S98*D$5*20/36000+S99*D$5*10/36000)))</f>
        <v>0</v>
      </c>
      <c r="X99" s="134">
        <f t="shared" ca="1" si="65"/>
        <v>0</v>
      </c>
      <c r="Y99" s="134">
        <f t="shared" ca="1" si="66"/>
        <v>0</v>
      </c>
      <c r="Z99" s="134">
        <f t="shared" ca="1" si="45"/>
        <v>-1.8758328224066645E-12</v>
      </c>
      <c r="AA99" s="134">
        <f t="shared" ref="AA99:AA109" ca="1" si="74">IF(O100=1,Z98*D$5*20/36000+Z99*D$5*10/36000,IF(O100=0,IF(O99=0,0,Z99*D$5*R$48/36000+Z98*D$5*20/36000+Z99*D$5*10/36000)))</f>
        <v>0</v>
      </c>
      <c r="AB99" s="134">
        <f t="shared" ca="1" si="46"/>
        <v>0</v>
      </c>
      <c r="AC99" s="134">
        <f t="shared" ca="1" si="35"/>
        <v>0</v>
      </c>
      <c r="AD99" s="134"/>
      <c r="AE99" s="134">
        <f t="shared" ca="1" si="47"/>
        <v>0</v>
      </c>
      <c r="AF99" s="134">
        <f t="shared" ca="1" si="48"/>
        <v>0</v>
      </c>
      <c r="AG99" s="134">
        <f t="shared" ca="1" si="67"/>
        <v>0</v>
      </c>
      <c r="AH99" s="134">
        <f t="shared" ca="1" si="49"/>
        <v>0</v>
      </c>
      <c r="AI99" s="134">
        <f t="shared" ca="1" si="68"/>
        <v>0</v>
      </c>
      <c r="AJ99" s="134">
        <f t="shared" ca="1" si="50"/>
        <v>0</v>
      </c>
      <c r="AK99" s="134">
        <f t="shared" ca="1" si="51"/>
        <v>0</v>
      </c>
      <c r="AL99" s="134">
        <f t="shared" ref="AL99:AL109" ca="1" si="75">IF(O100=1,AK98*H$48*20/36000+AK99*H$48*10/36000,IF(O100=0,IF(O99=0,0,AK99*H$48*R$48/36000+AK98*H$48*20/36000+AK99*H$48*10/36000)))</f>
        <v>0</v>
      </c>
      <c r="AM99" s="134">
        <f t="shared" ref="AM99:AM109" ca="1" si="76">IF(O100=1,AK98*H$48*20/36000+AK99*H$48*10/36000,IF(O100=0,IF(O99=0,0,AK99*H$48*R$48/36000+AK98*H$48*20/36000+AK99*H$48*10/36000)))</f>
        <v>0</v>
      </c>
      <c r="AN99" s="132">
        <f t="shared" ca="1" si="69"/>
        <v>0</v>
      </c>
      <c r="AO99" s="132">
        <f t="shared" ca="1" si="52"/>
        <v>0</v>
      </c>
      <c r="AP99" s="2">
        <f t="shared" ca="1" si="70"/>
        <v>0</v>
      </c>
      <c r="AQ99" s="2">
        <f t="shared" ca="1" si="53"/>
        <v>0</v>
      </c>
      <c r="AR99" s="2">
        <f t="shared" ca="1" si="54"/>
        <v>0</v>
      </c>
      <c r="AS99" s="2">
        <f t="shared" ca="1" si="55"/>
        <v>30</v>
      </c>
      <c r="AT99" s="2">
        <f t="shared" si="56"/>
        <v>20</v>
      </c>
      <c r="AU99" s="2">
        <f t="shared" ca="1" si="71"/>
        <v>30</v>
      </c>
      <c r="AV99" s="2"/>
      <c r="AW99" s="2"/>
      <c r="AX99" s="2"/>
      <c r="AY99" s="2"/>
      <c r="AZ99" s="2"/>
      <c r="BA99" s="2">
        <f t="shared" ca="1" si="57"/>
        <v>0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39</v>
      </c>
      <c r="B100" s="268" t="str">
        <f t="shared" ca="1" si="58"/>
        <v xml:space="preserve"> </v>
      </c>
      <c r="C100" s="268"/>
      <c r="D100" s="269" t="str">
        <f ca="1">IF(O100=0,IF(O99=1,SUM(D$62:F99)," "),IF(O100=0," ",IF(O101=1,D$62,IF(O101=0,D$4-D$62*(N$50-1)," "))))</f>
        <v xml:space="preserve"> </v>
      </c>
      <c r="E100" s="269"/>
      <c r="F100" s="269"/>
      <c r="G100" s="87" t="str">
        <f ca="1">IF(O100=0,IF(O99=1,SUM(G$62:G99)," "),IF(N$37=1,Q100,IF(N$37=2,R100," ")))</f>
        <v xml:space="preserve"> </v>
      </c>
      <c r="H100" s="87">
        <v>0</v>
      </c>
      <c r="I100" s="87" t="str">
        <f t="shared" ca="1" si="59"/>
        <v xml:space="preserve"> </v>
      </c>
      <c r="J100" s="87">
        <f t="shared" ca="1" si="60"/>
        <v>0</v>
      </c>
      <c r="K100" s="87">
        <f t="shared" ca="1" si="41"/>
        <v>0</v>
      </c>
      <c r="L100" s="87">
        <v>0</v>
      </c>
      <c r="M100" s="87" t="str">
        <f t="shared" ca="1" si="61"/>
        <v xml:space="preserve"> </v>
      </c>
      <c r="N100" s="2">
        <v>39</v>
      </c>
      <c r="O100" s="2">
        <f t="shared" ca="1" si="34"/>
        <v>0</v>
      </c>
      <c r="P100" s="2">
        <f t="shared" ca="1" si="42"/>
        <v>20</v>
      </c>
      <c r="Q100" s="134">
        <f t="shared" ca="1" si="43"/>
        <v>0</v>
      </c>
      <c r="R100" s="134">
        <f t="shared" ca="1" si="44"/>
        <v>0</v>
      </c>
      <c r="S100" s="134">
        <f t="shared" ca="1" si="62"/>
        <v>0</v>
      </c>
      <c r="T100" s="134" t="str">
        <f t="shared" ca="1" si="63"/>
        <v xml:space="preserve"> </v>
      </c>
      <c r="U100" s="134" t="str">
        <f t="shared" ca="1" si="64"/>
        <v xml:space="preserve"> </v>
      </c>
      <c r="V100" s="134">
        <f t="shared" ca="1" si="72"/>
        <v>0</v>
      </c>
      <c r="W100" s="134">
        <f t="shared" ca="1" si="73"/>
        <v>0</v>
      </c>
      <c r="X100" s="134">
        <f t="shared" ca="1" si="65"/>
        <v>0</v>
      </c>
      <c r="Y100" s="134">
        <f t="shared" ca="1" si="66"/>
        <v>0</v>
      </c>
      <c r="Z100" s="134">
        <f t="shared" ca="1" si="45"/>
        <v>-1.8758328224066645E-12</v>
      </c>
      <c r="AA100" s="134">
        <f t="shared" ca="1" si="74"/>
        <v>0</v>
      </c>
      <c r="AB100" s="134">
        <f t="shared" ca="1" si="46"/>
        <v>0</v>
      </c>
      <c r="AC100" s="134">
        <f t="shared" ca="1" si="35"/>
        <v>0</v>
      </c>
      <c r="AD100" s="134"/>
      <c r="AE100" s="134">
        <f t="shared" ca="1" si="47"/>
        <v>0</v>
      </c>
      <c r="AF100" s="134">
        <f t="shared" ca="1" si="48"/>
        <v>0</v>
      </c>
      <c r="AG100" s="134">
        <f t="shared" ca="1" si="67"/>
        <v>0</v>
      </c>
      <c r="AH100" s="134">
        <f t="shared" ca="1" si="49"/>
        <v>0</v>
      </c>
      <c r="AI100" s="134">
        <f t="shared" ca="1" si="68"/>
        <v>0</v>
      </c>
      <c r="AJ100" s="134">
        <f t="shared" ca="1" si="50"/>
        <v>0</v>
      </c>
      <c r="AK100" s="134">
        <f t="shared" ca="1" si="51"/>
        <v>0</v>
      </c>
      <c r="AL100" s="134">
        <f t="shared" ca="1" si="75"/>
        <v>0</v>
      </c>
      <c r="AM100" s="134">
        <f t="shared" ca="1" si="76"/>
        <v>0</v>
      </c>
      <c r="AN100" s="132">
        <f t="shared" ca="1" si="69"/>
        <v>0</v>
      </c>
      <c r="AO100" s="132">
        <f t="shared" ca="1" si="52"/>
        <v>0</v>
      </c>
      <c r="AP100" s="2">
        <f t="shared" ca="1" si="70"/>
        <v>0</v>
      </c>
      <c r="AQ100" s="2">
        <f t="shared" ca="1" si="53"/>
        <v>0</v>
      </c>
      <c r="AR100" s="2">
        <f t="shared" ca="1" si="54"/>
        <v>0</v>
      </c>
      <c r="AS100" s="2">
        <f t="shared" ca="1" si="55"/>
        <v>30</v>
      </c>
      <c r="AT100" s="2">
        <f t="shared" si="56"/>
        <v>20</v>
      </c>
      <c r="AU100" s="2">
        <f t="shared" ca="1" si="71"/>
        <v>30</v>
      </c>
      <c r="AV100" s="2"/>
      <c r="AW100" s="2"/>
      <c r="AX100" s="2"/>
      <c r="AY100" s="2"/>
      <c r="AZ100" s="2"/>
      <c r="BA100" s="2">
        <f t="shared" ca="1" si="57"/>
        <v>0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40</v>
      </c>
      <c r="B101" s="268" t="str">
        <f t="shared" ca="1" si="58"/>
        <v xml:space="preserve"> </v>
      </c>
      <c r="C101" s="268"/>
      <c r="D101" s="269" t="str">
        <f ca="1">IF(O101=0,IF(O100=1,SUM(D$62:F100)," "),IF(O101=0," ",IF(O102=1,D$62,IF(O102=0,D$4-D$62*(N$50-1)," "))))</f>
        <v xml:space="preserve"> </v>
      </c>
      <c r="E101" s="269"/>
      <c r="F101" s="269"/>
      <c r="G101" s="87" t="str">
        <f ca="1">IF(O101=0,IF(O100=1,SUM(G$62:G100)," "),IF(N$37=1,Q101,IF(N$37=2,R101," ")))</f>
        <v xml:space="preserve"> </v>
      </c>
      <c r="H101" s="87">
        <v>0</v>
      </c>
      <c r="I101" s="87" t="str">
        <f t="shared" ca="1" si="59"/>
        <v xml:space="preserve"> </v>
      </c>
      <c r="J101" s="87">
        <f t="shared" ca="1" si="60"/>
        <v>0</v>
      </c>
      <c r="K101" s="87">
        <f t="shared" ca="1" si="41"/>
        <v>0</v>
      </c>
      <c r="L101" s="87">
        <v>0</v>
      </c>
      <c r="M101" s="87" t="str">
        <f t="shared" ca="1" si="61"/>
        <v xml:space="preserve"> </v>
      </c>
      <c r="N101" s="2">
        <v>40</v>
      </c>
      <c r="O101" s="2">
        <f t="shared" ca="1" si="34"/>
        <v>0</v>
      </c>
      <c r="P101" s="2">
        <f t="shared" ca="1" si="42"/>
        <v>20</v>
      </c>
      <c r="Q101" s="134">
        <f t="shared" ca="1" si="43"/>
        <v>0</v>
      </c>
      <c r="R101" s="134">
        <f t="shared" ca="1" si="44"/>
        <v>0</v>
      </c>
      <c r="S101" s="134">
        <f t="shared" ca="1" si="62"/>
        <v>0</v>
      </c>
      <c r="T101" s="134" t="str">
        <f t="shared" ca="1" si="63"/>
        <v xml:space="preserve"> </v>
      </c>
      <c r="U101" s="134" t="str">
        <f t="shared" ca="1" si="64"/>
        <v xml:space="preserve"> </v>
      </c>
      <c r="V101" s="134">
        <f t="shared" ca="1" si="72"/>
        <v>0</v>
      </c>
      <c r="W101" s="134">
        <f t="shared" ca="1" si="73"/>
        <v>0</v>
      </c>
      <c r="X101" s="134">
        <f t="shared" ca="1" si="65"/>
        <v>0</v>
      </c>
      <c r="Y101" s="134">
        <f t="shared" ca="1" si="66"/>
        <v>0</v>
      </c>
      <c r="Z101" s="134">
        <f t="shared" ca="1" si="45"/>
        <v>-1.8758328224066645E-12</v>
      </c>
      <c r="AA101" s="134">
        <f t="shared" ca="1" si="74"/>
        <v>0</v>
      </c>
      <c r="AB101" s="134">
        <f t="shared" ca="1" si="46"/>
        <v>0</v>
      </c>
      <c r="AC101" s="134">
        <f t="shared" ca="1" si="35"/>
        <v>0</v>
      </c>
      <c r="AD101" s="134"/>
      <c r="AE101" s="134">
        <f t="shared" ca="1" si="47"/>
        <v>0</v>
      </c>
      <c r="AF101" s="134">
        <f t="shared" ca="1" si="48"/>
        <v>0</v>
      </c>
      <c r="AG101" s="134">
        <f t="shared" ca="1" si="67"/>
        <v>0</v>
      </c>
      <c r="AH101" s="134">
        <f t="shared" ca="1" si="49"/>
        <v>0</v>
      </c>
      <c r="AI101" s="134">
        <f t="shared" ca="1" si="68"/>
        <v>0</v>
      </c>
      <c r="AJ101" s="134">
        <f t="shared" ca="1" si="50"/>
        <v>0</v>
      </c>
      <c r="AK101" s="134">
        <f t="shared" ca="1" si="51"/>
        <v>0</v>
      </c>
      <c r="AL101" s="134">
        <f t="shared" ca="1" si="75"/>
        <v>0</v>
      </c>
      <c r="AM101" s="134">
        <f t="shared" ca="1" si="76"/>
        <v>0</v>
      </c>
      <c r="AN101" s="132">
        <f t="shared" ca="1" si="69"/>
        <v>0</v>
      </c>
      <c r="AO101" s="132">
        <f t="shared" ca="1" si="52"/>
        <v>0</v>
      </c>
      <c r="AP101" s="2">
        <f t="shared" ca="1" si="70"/>
        <v>0</v>
      </c>
      <c r="AQ101" s="2">
        <f t="shared" ca="1" si="53"/>
        <v>0</v>
      </c>
      <c r="AR101" s="2">
        <f t="shared" ca="1" si="54"/>
        <v>0</v>
      </c>
      <c r="AS101" s="2">
        <f t="shared" ca="1" si="55"/>
        <v>30</v>
      </c>
      <c r="AT101" s="2">
        <f t="shared" si="56"/>
        <v>20</v>
      </c>
      <c r="AU101" s="2">
        <f t="shared" ca="1" si="71"/>
        <v>30</v>
      </c>
      <c r="AV101" s="2"/>
      <c r="AW101" s="2"/>
      <c r="AX101" s="2"/>
      <c r="AY101" s="2"/>
      <c r="AZ101" s="2"/>
      <c r="BA101" s="2">
        <f t="shared" ca="1" si="57"/>
        <v>0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41</v>
      </c>
      <c r="B102" s="268" t="str">
        <f t="shared" ca="1" si="58"/>
        <v xml:space="preserve"> </v>
      </c>
      <c r="C102" s="268"/>
      <c r="D102" s="269" t="str">
        <f ca="1">IF(O102=0,IF(O101=1,SUM(D$62:F101)," "),IF(O102=0," ",IF(O103=1,D$62,IF(O103=0,D$4-D$62*(N$50-1)," "))))</f>
        <v xml:space="preserve"> </v>
      </c>
      <c r="E102" s="269"/>
      <c r="F102" s="269"/>
      <c r="G102" s="87" t="str">
        <f ca="1">IF(O102=0,IF(O101=1,SUM(G$62:G101)," "),IF(N$37=1,Q102,IF(N$37=2,R102," ")))</f>
        <v xml:space="preserve"> </v>
      </c>
      <c r="H102" s="87">
        <v>0</v>
      </c>
      <c r="I102" s="87" t="str">
        <f t="shared" ca="1" si="59"/>
        <v xml:space="preserve"> </v>
      </c>
      <c r="J102" s="87">
        <f t="shared" ca="1" si="60"/>
        <v>0</v>
      </c>
      <c r="K102" s="87">
        <f t="shared" ca="1" si="41"/>
        <v>0</v>
      </c>
      <c r="L102" s="87">
        <v>0</v>
      </c>
      <c r="M102" s="87" t="str">
        <f t="shared" ca="1" si="61"/>
        <v xml:space="preserve"> </v>
      </c>
      <c r="N102" s="2">
        <v>41</v>
      </c>
      <c r="O102" s="2">
        <f t="shared" ca="1" si="34"/>
        <v>0</v>
      </c>
      <c r="P102" s="2">
        <f t="shared" ca="1" si="42"/>
        <v>20</v>
      </c>
      <c r="Q102" s="134">
        <f t="shared" ca="1" si="43"/>
        <v>0</v>
      </c>
      <c r="R102" s="134">
        <f t="shared" ca="1" si="44"/>
        <v>0</v>
      </c>
      <c r="S102" s="134">
        <f t="shared" ca="1" si="62"/>
        <v>0</v>
      </c>
      <c r="T102" s="134" t="str">
        <f t="shared" ca="1" si="63"/>
        <v xml:space="preserve"> </v>
      </c>
      <c r="U102" s="134" t="str">
        <f t="shared" ca="1" si="64"/>
        <v xml:space="preserve"> </v>
      </c>
      <c r="V102" s="134">
        <f t="shared" ca="1" si="72"/>
        <v>0</v>
      </c>
      <c r="W102" s="134">
        <f t="shared" ca="1" si="73"/>
        <v>0</v>
      </c>
      <c r="X102" s="134">
        <f t="shared" ca="1" si="65"/>
        <v>0</v>
      </c>
      <c r="Y102" s="134">
        <f t="shared" ca="1" si="66"/>
        <v>0</v>
      </c>
      <c r="Z102" s="134">
        <f t="shared" ca="1" si="45"/>
        <v>-1.8758328224066645E-12</v>
      </c>
      <c r="AA102" s="134">
        <f t="shared" ca="1" si="74"/>
        <v>0</v>
      </c>
      <c r="AB102" s="134">
        <f t="shared" ca="1" si="46"/>
        <v>0</v>
      </c>
      <c r="AC102" s="134">
        <f t="shared" ca="1" si="35"/>
        <v>0</v>
      </c>
      <c r="AD102" s="134"/>
      <c r="AE102" s="134">
        <f t="shared" ca="1" si="47"/>
        <v>0</v>
      </c>
      <c r="AF102" s="134">
        <f t="shared" ca="1" si="48"/>
        <v>0</v>
      </c>
      <c r="AG102" s="134">
        <f t="shared" ca="1" si="67"/>
        <v>0</v>
      </c>
      <c r="AH102" s="134">
        <f t="shared" ca="1" si="49"/>
        <v>0</v>
      </c>
      <c r="AI102" s="134">
        <f t="shared" ca="1" si="68"/>
        <v>0</v>
      </c>
      <c r="AJ102" s="134">
        <f t="shared" ca="1" si="50"/>
        <v>0</v>
      </c>
      <c r="AK102" s="134">
        <f t="shared" ca="1" si="51"/>
        <v>0</v>
      </c>
      <c r="AL102" s="134">
        <f t="shared" ca="1" si="75"/>
        <v>0</v>
      </c>
      <c r="AM102" s="134">
        <f t="shared" ca="1" si="76"/>
        <v>0</v>
      </c>
      <c r="AN102" s="132">
        <f t="shared" ca="1" si="69"/>
        <v>0</v>
      </c>
      <c r="AO102" s="132">
        <f t="shared" ca="1" si="52"/>
        <v>0</v>
      </c>
      <c r="AP102" s="2">
        <f t="shared" ca="1" si="70"/>
        <v>0</v>
      </c>
      <c r="AQ102" s="2">
        <f t="shared" ca="1" si="53"/>
        <v>0</v>
      </c>
      <c r="AR102" s="2">
        <f t="shared" ca="1" si="54"/>
        <v>0</v>
      </c>
      <c r="AS102" s="2">
        <f t="shared" ca="1" si="55"/>
        <v>30</v>
      </c>
      <c r="AT102" s="2">
        <f t="shared" si="56"/>
        <v>20</v>
      </c>
      <c r="AU102" s="2">
        <f t="shared" ca="1" si="71"/>
        <v>30</v>
      </c>
      <c r="AV102" s="2"/>
      <c r="AW102" s="2"/>
      <c r="AX102" s="2"/>
      <c r="AY102" s="2"/>
      <c r="AZ102" s="2"/>
      <c r="BA102" s="2">
        <f t="shared" ca="1" si="57"/>
        <v>0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42</v>
      </c>
      <c r="B103" s="268" t="str">
        <f t="shared" ca="1" si="58"/>
        <v xml:space="preserve"> </v>
      </c>
      <c r="C103" s="268"/>
      <c r="D103" s="269" t="str">
        <f ca="1">IF(O103=0,IF(O102=1,SUM(D$62:F102)," "),IF(O103=0," ",IF(O104=1,D$62,IF(O104=0,D$4-D$62*(N$50-1)," "))))</f>
        <v xml:space="preserve"> </v>
      </c>
      <c r="E103" s="269"/>
      <c r="F103" s="269"/>
      <c r="G103" s="87" t="str">
        <f ca="1">IF(O103=0,IF(O102=1,SUM(G$62:G102)," "),IF(N$37=1,Q103,IF(N$37=2,R103," ")))</f>
        <v xml:space="preserve"> </v>
      </c>
      <c r="H103" s="87">
        <v>0</v>
      </c>
      <c r="I103" s="87" t="str">
        <f t="shared" ca="1" si="59"/>
        <v xml:space="preserve"> </v>
      </c>
      <c r="J103" s="87">
        <f t="shared" ca="1" si="60"/>
        <v>0</v>
      </c>
      <c r="K103" s="87">
        <f t="shared" ca="1" si="41"/>
        <v>0</v>
      </c>
      <c r="L103" s="87">
        <v>0</v>
      </c>
      <c r="M103" s="87" t="str">
        <f t="shared" ca="1" si="61"/>
        <v xml:space="preserve"> </v>
      </c>
      <c r="N103" s="2">
        <v>42</v>
      </c>
      <c r="O103" s="2">
        <f t="shared" ca="1" si="34"/>
        <v>0</v>
      </c>
      <c r="P103" s="2">
        <f t="shared" ca="1" si="42"/>
        <v>20</v>
      </c>
      <c r="Q103" s="134">
        <f t="shared" ca="1" si="43"/>
        <v>0</v>
      </c>
      <c r="R103" s="134">
        <f t="shared" ca="1" si="44"/>
        <v>0</v>
      </c>
      <c r="S103" s="134">
        <f t="shared" ca="1" si="62"/>
        <v>0</v>
      </c>
      <c r="T103" s="134" t="str">
        <f t="shared" ca="1" si="63"/>
        <v xml:space="preserve"> </v>
      </c>
      <c r="U103" s="134" t="str">
        <f t="shared" ca="1" si="64"/>
        <v xml:space="preserve"> </v>
      </c>
      <c r="V103" s="134">
        <f t="shared" ca="1" si="72"/>
        <v>0</v>
      </c>
      <c r="W103" s="134">
        <f t="shared" ca="1" si="73"/>
        <v>0</v>
      </c>
      <c r="X103" s="134">
        <f t="shared" ca="1" si="65"/>
        <v>0</v>
      </c>
      <c r="Y103" s="134">
        <f t="shared" ca="1" si="66"/>
        <v>0</v>
      </c>
      <c r="Z103" s="134">
        <f t="shared" ca="1" si="45"/>
        <v>-1.8758328224066645E-12</v>
      </c>
      <c r="AA103" s="134">
        <f t="shared" ca="1" si="74"/>
        <v>0</v>
      </c>
      <c r="AB103" s="134">
        <f t="shared" ca="1" si="46"/>
        <v>0</v>
      </c>
      <c r="AC103" s="134">
        <f t="shared" ca="1" si="35"/>
        <v>0</v>
      </c>
      <c r="AD103" s="134"/>
      <c r="AE103" s="134">
        <f t="shared" ca="1" si="47"/>
        <v>0</v>
      </c>
      <c r="AF103" s="134">
        <f t="shared" ca="1" si="48"/>
        <v>0</v>
      </c>
      <c r="AG103" s="134">
        <f t="shared" ca="1" si="67"/>
        <v>0</v>
      </c>
      <c r="AH103" s="134">
        <f t="shared" ca="1" si="49"/>
        <v>0</v>
      </c>
      <c r="AI103" s="134">
        <f t="shared" ca="1" si="68"/>
        <v>0</v>
      </c>
      <c r="AJ103" s="134">
        <f t="shared" ca="1" si="50"/>
        <v>0</v>
      </c>
      <c r="AK103" s="134">
        <f t="shared" ca="1" si="51"/>
        <v>0</v>
      </c>
      <c r="AL103" s="134">
        <f t="shared" ca="1" si="75"/>
        <v>0</v>
      </c>
      <c r="AM103" s="134">
        <f t="shared" ca="1" si="76"/>
        <v>0</v>
      </c>
      <c r="AN103" s="132">
        <f t="shared" ca="1" si="69"/>
        <v>0</v>
      </c>
      <c r="AO103" s="132">
        <f t="shared" ca="1" si="52"/>
        <v>0</v>
      </c>
      <c r="AP103" s="2">
        <f t="shared" ca="1" si="70"/>
        <v>0</v>
      </c>
      <c r="AQ103" s="2">
        <f t="shared" ca="1" si="53"/>
        <v>0</v>
      </c>
      <c r="AR103" s="2">
        <f t="shared" ca="1" si="54"/>
        <v>0</v>
      </c>
      <c r="AS103" s="2">
        <f t="shared" ca="1" si="55"/>
        <v>30</v>
      </c>
      <c r="AT103" s="2">
        <f t="shared" si="56"/>
        <v>20</v>
      </c>
      <c r="AU103" s="2">
        <f t="shared" ca="1" si="71"/>
        <v>30</v>
      </c>
      <c r="AV103" s="2"/>
      <c r="AW103" s="2"/>
      <c r="AX103" s="2"/>
      <c r="AY103" s="2"/>
      <c r="AZ103" s="2"/>
      <c r="BA103" s="2">
        <f t="shared" ca="1" si="57"/>
        <v>0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43</v>
      </c>
      <c r="B104" s="268" t="str">
        <f t="shared" ca="1" si="58"/>
        <v xml:space="preserve"> </v>
      </c>
      <c r="C104" s="268"/>
      <c r="D104" s="269" t="str">
        <f ca="1">IF(O104=0,IF(O103=1,SUM(D$62:F103)," "),IF(O104=0," ",IF(O105=1,D$62,IF(O105=0,D$4-D$62*(N$50-1)," "))))</f>
        <v xml:space="preserve"> </v>
      </c>
      <c r="E104" s="269"/>
      <c r="F104" s="269"/>
      <c r="G104" s="87" t="str">
        <f ca="1">IF(O104=0,IF(O103=1,SUM(G$62:G103)," "),IF(N$37=1,Q104,IF(N$37=2,R104," ")))</f>
        <v xml:space="preserve"> </v>
      </c>
      <c r="H104" s="87">
        <v>0</v>
      </c>
      <c r="I104" s="87" t="str">
        <f t="shared" ca="1" si="59"/>
        <v xml:space="preserve"> </v>
      </c>
      <c r="J104" s="87">
        <f t="shared" ca="1" si="60"/>
        <v>0</v>
      </c>
      <c r="K104" s="87">
        <f t="shared" ca="1" si="41"/>
        <v>0</v>
      </c>
      <c r="L104" s="87">
        <v>0</v>
      </c>
      <c r="M104" s="87" t="str">
        <f t="shared" ca="1" si="61"/>
        <v xml:space="preserve"> </v>
      </c>
      <c r="N104" s="2">
        <v>43</v>
      </c>
      <c r="O104" s="2">
        <f t="shared" ca="1" si="34"/>
        <v>0</v>
      </c>
      <c r="P104" s="2">
        <f t="shared" ca="1" si="42"/>
        <v>20</v>
      </c>
      <c r="Q104" s="134">
        <f t="shared" ca="1" si="43"/>
        <v>0</v>
      </c>
      <c r="R104" s="134">
        <f t="shared" ca="1" si="44"/>
        <v>0</v>
      </c>
      <c r="S104" s="134">
        <f t="shared" ca="1" si="62"/>
        <v>0</v>
      </c>
      <c r="T104" s="134" t="str">
        <f t="shared" ca="1" si="63"/>
        <v xml:space="preserve"> </v>
      </c>
      <c r="U104" s="134" t="str">
        <f t="shared" ca="1" si="64"/>
        <v xml:space="preserve"> </v>
      </c>
      <c r="V104" s="134">
        <f t="shared" ca="1" si="72"/>
        <v>0</v>
      </c>
      <c r="W104" s="134">
        <f t="shared" ca="1" si="73"/>
        <v>0</v>
      </c>
      <c r="X104" s="134">
        <f t="shared" ca="1" si="65"/>
        <v>0</v>
      </c>
      <c r="Y104" s="134">
        <f t="shared" ca="1" si="66"/>
        <v>0</v>
      </c>
      <c r="Z104" s="134">
        <f t="shared" ca="1" si="45"/>
        <v>-1.8758328224066645E-12</v>
      </c>
      <c r="AA104" s="134">
        <f t="shared" ca="1" si="74"/>
        <v>0</v>
      </c>
      <c r="AB104" s="134">
        <f t="shared" ca="1" si="46"/>
        <v>0</v>
      </c>
      <c r="AC104" s="134">
        <f t="shared" ca="1" si="35"/>
        <v>0</v>
      </c>
      <c r="AD104" s="134"/>
      <c r="AE104" s="134">
        <f t="shared" ca="1" si="47"/>
        <v>0</v>
      </c>
      <c r="AF104" s="134">
        <f t="shared" ca="1" si="48"/>
        <v>0</v>
      </c>
      <c r="AG104" s="134">
        <f t="shared" ca="1" si="67"/>
        <v>0</v>
      </c>
      <c r="AH104" s="134">
        <f t="shared" ca="1" si="49"/>
        <v>0</v>
      </c>
      <c r="AI104" s="134">
        <f t="shared" ca="1" si="68"/>
        <v>0</v>
      </c>
      <c r="AJ104" s="134">
        <f t="shared" ca="1" si="50"/>
        <v>0</v>
      </c>
      <c r="AK104" s="134">
        <f t="shared" ca="1" si="51"/>
        <v>0</v>
      </c>
      <c r="AL104" s="134">
        <f t="shared" ca="1" si="75"/>
        <v>0</v>
      </c>
      <c r="AM104" s="134">
        <f t="shared" ca="1" si="76"/>
        <v>0</v>
      </c>
      <c r="AN104" s="132">
        <f t="shared" ca="1" si="69"/>
        <v>0</v>
      </c>
      <c r="AO104" s="132">
        <f t="shared" ca="1" si="52"/>
        <v>0</v>
      </c>
      <c r="AP104" s="2">
        <f t="shared" ca="1" si="70"/>
        <v>0</v>
      </c>
      <c r="AQ104" s="2">
        <f t="shared" ca="1" si="53"/>
        <v>0</v>
      </c>
      <c r="AR104" s="2">
        <f t="shared" ca="1" si="54"/>
        <v>0</v>
      </c>
      <c r="AS104" s="2">
        <f t="shared" ca="1" si="55"/>
        <v>30</v>
      </c>
      <c r="AT104" s="2">
        <f t="shared" si="56"/>
        <v>20</v>
      </c>
      <c r="AU104" s="2">
        <f t="shared" ca="1" si="71"/>
        <v>30</v>
      </c>
      <c r="AV104" s="2"/>
      <c r="AW104" s="2"/>
      <c r="AX104" s="2"/>
      <c r="AY104" s="2"/>
      <c r="AZ104" s="2"/>
      <c r="BA104" s="2">
        <f t="shared" ca="1" si="57"/>
        <v>0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44</v>
      </c>
      <c r="B105" s="268" t="str">
        <f t="shared" ca="1" si="58"/>
        <v xml:space="preserve"> </v>
      </c>
      <c r="C105" s="268"/>
      <c r="D105" s="269" t="str">
        <f ca="1">IF(O105=0,IF(O104=1,SUM(D$62:F104)," "),IF(O105=0," ",IF(O106=1,D$62,IF(O106=0,D$4-D$62*(N$50-1)," "))))</f>
        <v xml:space="preserve"> </v>
      </c>
      <c r="E105" s="269"/>
      <c r="F105" s="269"/>
      <c r="G105" s="87" t="str">
        <f ca="1">IF(O105=0,IF(O104=1,SUM(G$62:G104)," "),IF(N$37=1,Q105,IF(N$37=2,R105," ")))</f>
        <v xml:space="preserve"> </v>
      </c>
      <c r="H105" s="87">
        <v>0</v>
      </c>
      <c r="I105" s="87" t="str">
        <f t="shared" ca="1" si="59"/>
        <v xml:space="preserve"> </v>
      </c>
      <c r="J105" s="87">
        <f t="shared" ca="1" si="60"/>
        <v>0</v>
      </c>
      <c r="K105" s="87">
        <f t="shared" ca="1" si="41"/>
        <v>0</v>
      </c>
      <c r="L105" s="87">
        <v>0</v>
      </c>
      <c r="M105" s="87" t="str">
        <f t="shared" ca="1" si="61"/>
        <v xml:space="preserve"> </v>
      </c>
      <c r="N105" s="2">
        <v>44</v>
      </c>
      <c r="O105" s="2">
        <f t="shared" ca="1" si="34"/>
        <v>0</v>
      </c>
      <c r="P105" s="2">
        <f t="shared" ca="1" si="42"/>
        <v>20</v>
      </c>
      <c r="Q105" s="134">
        <f t="shared" ca="1" si="43"/>
        <v>0</v>
      </c>
      <c r="R105" s="134">
        <f t="shared" ca="1" si="44"/>
        <v>0</v>
      </c>
      <c r="S105" s="134">
        <f t="shared" ca="1" si="62"/>
        <v>0</v>
      </c>
      <c r="T105" s="134" t="str">
        <f t="shared" ca="1" si="63"/>
        <v xml:space="preserve"> </v>
      </c>
      <c r="U105" s="134" t="str">
        <f t="shared" ca="1" si="64"/>
        <v xml:space="preserve"> </v>
      </c>
      <c r="V105" s="134">
        <f t="shared" ca="1" si="72"/>
        <v>0</v>
      </c>
      <c r="W105" s="134">
        <f t="shared" ca="1" si="73"/>
        <v>0</v>
      </c>
      <c r="X105" s="134">
        <f t="shared" ca="1" si="65"/>
        <v>0</v>
      </c>
      <c r="Y105" s="134">
        <f t="shared" ca="1" si="66"/>
        <v>0</v>
      </c>
      <c r="Z105" s="134">
        <f t="shared" ca="1" si="45"/>
        <v>-1.8758328224066645E-12</v>
      </c>
      <c r="AA105" s="134">
        <f t="shared" ca="1" si="74"/>
        <v>0</v>
      </c>
      <c r="AB105" s="134">
        <f t="shared" ca="1" si="46"/>
        <v>0</v>
      </c>
      <c r="AC105" s="134">
        <f t="shared" ca="1" si="35"/>
        <v>0</v>
      </c>
      <c r="AD105" s="134"/>
      <c r="AE105" s="134">
        <f t="shared" ca="1" si="47"/>
        <v>0</v>
      </c>
      <c r="AF105" s="134">
        <f t="shared" ca="1" si="48"/>
        <v>0</v>
      </c>
      <c r="AG105" s="134">
        <f t="shared" ca="1" si="67"/>
        <v>0</v>
      </c>
      <c r="AH105" s="134">
        <f t="shared" ca="1" si="49"/>
        <v>0</v>
      </c>
      <c r="AI105" s="134">
        <f t="shared" ca="1" si="68"/>
        <v>0</v>
      </c>
      <c r="AJ105" s="134">
        <f t="shared" ca="1" si="50"/>
        <v>0</v>
      </c>
      <c r="AK105" s="134">
        <f t="shared" ca="1" si="51"/>
        <v>0</v>
      </c>
      <c r="AL105" s="134">
        <f t="shared" ca="1" si="75"/>
        <v>0</v>
      </c>
      <c r="AM105" s="134">
        <f t="shared" ca="1" si="76"/>
        <v>0</v>
      </c>
      <c r="AN105" s="132">
        <f t="shared" ca="1" si="69"/>
        <v>0</v>
      </c>
      <c r="AO105" s="132">
        <f t="shared" ca="1" si="52"/>
        <v>0</v>
      </c>
      <c r="AP105" s="2">
        <f t="shared" ca="1" si="70"/>
        <v>0</v>
      </c>
      <c r="AQ105" s="2">
        <f t="shared" ca="1" si="53"/>
        <v>0</v>
      </c>
      <c r="AR105" s="2">
        <f t="shared" ca="1" si="54"/>
        <v>0</v>
      </c>
      <c r="AS105" s="2">
        <f t="shared" ca="1" si="55"/>
        <v>30</v>
      </c>
      <c r="AT105" s="2">
        <f t="shared" si="56"/>
        <v>20</v>
      </c>
      <c r="AU105" s="2">
        <f t="shared" ca="1" si="71"/>
        <v>30</v>
      </c>
      <c r="AV105" s="2"/>
      <c r="AW105" s="2"/>
      <c r="AX105" s="2"/>
      <c r="AY105" s="2"/>
      <c r="AZ105" s="2"/>
      <c r="BA105" s="2">
        <f t="shared" ca="1" si="57"/>
        <v>0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45</v>
      </c>
      <c r="B106" s="268" t="str">
        <f t="shared" ca="1" si="58"/>
        <v xml:space="preserve"> </v>
      </c>
      <c r="C106" s="268"/>
      <c r="D106" s="269" t="str">
        <f ca="1">IF(O106=0,IF(O105=1,SUM(D$62:F105)," "),IF(O106=0," ",IF(O107=1,D$62,IF(O107=0,D$4-D$62*(N$50-1)," "))))</f>
        <v xml:space="preserve"> </v>
      </c>
      <c r="E106" s="269"/>
      <c r="F106" s="269"/>
      <c r="G106" s="87" t="str">
        <f ca="1">IF(O106=0,IF(O105=1,SUM(G$62:G105)," "),IF(N$37=1,Q106,IF(N$37=2,R106," ")))</f>
        <v xml:space="preserve"> </v>
      </c>
      <c r="H106" s="87">
        <v>0</v>
      </c>
      <c r="I106" s="87" t="str">
        <f t="shared" ca="1" si="59"/>
        <v xml:space="preserve"> </v>
      </c>
      <c r="J106" s="87">
        <f t="shared" ca="1" si="60"/>
        <v>0</v>
      </c>
      <c r="K106" s="87">
        <f t="shared" ca="1" si="41"/>
        <v>0</v>
      </c>
      <c r="L106" s="87">
        <v>0</v>
      </c>
      <c r="M106" s="87" t="str">
        <f t="shared" ca="1" si="61"/>
        <v xml:space="preserve"> </v>
      </c>
      <c r="N106" s="2">
        <v>45</v>
      </c>
      <c r="O106" s="2">
        <f t="shared" ca="1" si="34"/>
        <v>0</v>
      </c>
      <c r="P106" s="2">
        <f t="shared" ca="1" si="42"/>
        <v>20</v>
      </c>
      <c r="Q106" s="134">
        <f t="shared" ca="1" si="43"/>
        <v>0</v>
      </c>
      <c r="R106" s="134">
        <f t="shared" ca="1" si="44"/>
        <v>0</v>
      </c>
      <c r="S106" s="134">
        <f t="shared" ca="1" si="62"/>
        <v>0</v>
      </c>
      <c r="T106" s="134" t="str">
        <f t="shared" ca="1" si="63"/>
        <v xml:space="preserve"> </v>
      </c>
      <c r="U106" s="134" t="str">
        <f t="shared" ca="1" si="64"/>
        <v xml:space="preserve"> </v>
      </c>
      <c r="V106" s="134">
        <f t="shared" ca="1" si="72"/>
        <v>0</v>
      </c>
      <c r="W106" s="134">
        <f t="shared" ca="1" si="73"/>
        <v>0</v>
      </c>
      <c r="X106" s="134">
        <f t="shared" ca="1" si="65"/>
        <v>0</v>
      </c>
      <c r="Y106" s="134">
        <f t="shared" ca="1" si="66"/>
        <v>0</v>
      </c>
      <c r="Z106" s="134">
        <f t="shared" ca="1" si="45"/>
        <v>-1.8758328224066645E-12</v>
      </c>
      <c r="AA106" s="134">
        <f t="shared" ca="1" si="74"/>
        <v>0</v>
      </c>
      <c r="AB106" s="134">
        <f t="shared" ca="1" si="46"/>
        <v>0</v>
      </c>
      <c r="AC106" s="134">
        <f t="shared" ca="1" si="35"/>
        <v>0</v>
      </c>
      <c r="AD106" s="134"/>
      <c r="AE106" s="134">
        <f t="shared" ca="1" si="47"/>
        <v>0</v>
      </c>
      <c r="AF106" s="134">
        <f t="shared" ca="1" si="48"/>
        <v>0</v>
      </c>
      <c r="AG106" s="134">
        <f t="shared" ca="1" si="67"/>
        <v>0</v>
      </c>
      <c r="AH106" s="134">
        <f t="shared" ca="1" si="49"/>
        <v>0</v>
      </c>
      <c r="AI106" s="134">
        <f t="shared" ca="1" si="68"/>
        <v>0</v>
      </c>
      <c r="AJ106" s="134">
        <f t="shared" ca="1" si="50"/>
        <v>0</v>
      </c>
      <c r="AK106" s="134">
        <f t="shared" ca="1" si="51"/>
        <v>0</v>
      </c>
      <c r="AL106" s="134">
        <f t="shared" ca="1" si="75"/>
        <v>0</v>
      </c>
      <c r="AM106" s="134">
        <f t="shared" ca="1" si="76"/>
        <v>0</v>
      </c>
      <c r="AN106" s="132">
        <f t="shared" ca="1" si="69"/>
        <v>0</v>
      </c>
      <c r="AO106" s="132">
        <f t="shared" ca="1" si="52"/>
        <v>0</v>
      </c>
      <c r="AP106" s="2">
        <f t="shared" ca="1" si="70"/>
        <v>0</v>
      </c>
      <c r="AQ106" s="2">
        <f t="shared" ca="1" si="53"/>
        <v>0</v>
      </c>
      <c r="AR106" s="2">
        <f t="shared" ca="1" si="54"/>
        <v>0</v>
      </c>
      <c r="AS106" s="2">
        <f t="shared" ca="1" si="55"/>
        <v>30</v>
      </c>
      <c r="AT106" s="2">
        <f t="shared" si="56"/>
        <v>20</v>
      </c>
      <c r="AU106" s="2">
        <f t="shared" ca="1" si="71"/>
        <v>30</v>
      </c>
      <c r="AV106" s="2"/>
      <c r="AW106" s="2"/>
      <c r="AX106" s="2"/>
      <c r="AY106" s="2"/>
      <c r="AZ106" s="2"/>
      <c r="BA106" s="2">
        <f t="shared" ca="1" si="57"/>
        <v>0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46</v>
      </c>
      <c r="B107" s="268" t="str">
        <f t="shared" ca="1" si="58"/>
        <v xml:space="preserve"> </v>
      </c>
      <c r="C107" s="268"/>
      <c r="D107" s="269" t="str">
        <f ca="1">IF(O107=0,IF(O106=1,SUM(D$62:F106)," "),IF(O107=0," ",IF(O108=1,D$62,IF(O108=0,D$4-D$62*(N$50-1)," "))))</f>
        <v xml:space="preserve"> </v>
      </c>
      <c r="E107" s="269"/>
      <c r="F107" s="269"/>
      <c r="G107" s="87" t="str">
        <f ca="1">IF(O107=0,IF(O106=1,SUM(G$62:G106)," "),IF(N$37=1,Q107,IF(N$37=2,R107," ")))</f>
        <v xml:space="preserve"> </v>
      </c>
      <c r="H107" s="87">
        <v>0</v>
      </c>
      <c r="I107" s="87" t="str">
        <f t="shared" ca="1" si="59"/>
        <v xml:space="preserve"> </v>
      </c>
      <c r="J107" s="87">
        <f t="shared" ca="1" si="60"/>
        <v>0</v>
      </c>
      <c r="K107" s="87">
        <f t="shared" ca="1" si="41"/>
        <v>0</v>
      </c>
      <c r="L107" s="87">
        <v>0</v>
      </c>
      <c r="M107" s="87" t="str">
        <f t="shared" ca="1" si="61"/>
        <v xml:space="preserve"> </v>
      </c>
      <c r="N107" s="2">
        <v>46</v>
      </c>
      <c r="O107" s="2">
        <f t="shared" ca="1" si="34"/>
        <v>0</v>
      </c>
      <c r="P107" s="2">
        <f t="shared" ca="1" si="42"/>
        <v>20</v>
      </c>
      <c r="Q107" s="134">
        <f t="shared" ca="1" si="43"/>
        <v>0</v>
      </c>
      <c r="R107" s="134">
        <f t="shared" ca="1" si="44"/>
        <v>0</v>
      </c>
      <c r="S107" s="134">
        <f t="shared" ca="1" si="62"/>
        <v>0</v>
      </c>
      <c r="T107" s="134" t="str">
        <f t="shared" ca="1" si="63"/>
        <v xml:space="preserve"> </v>
      </c>
      <c r="U107" s="134" t="str">
        <f t="shared" ca="1" si="64"/>
        <v xml:space="preserve"> </v>
      </c>
      <c r="V107" s="134">
        <f t="shared" ca="1" si="72"/>
        <v>0</v>
      </c>
      <c r="W107" s="134">
        <f t="shared" ca="1" si="73"/>
        <v>0</v>
      </c>
      <c r="X107" s="134">
        <f t="shared" ca="1" si="65"/>
        <v>0</v>
      </c>
      <c r="Y107" s="134">
        <f t="shared" ca="1" si="66"/>
        <v>0</v>
      </c>
      <c r="Z107" s="134">
        <f t="shared" ca="1" si="45"/>
        <v>-1.8758328224066645E-12</v>
      </c>
      <c r="AA107" s="134">
        <f t="shared" ca="1" si="74"/>
        <v>0</v>
      </c>
      <c r="AB107" s="134">
        <f t="shared" ca="1" si="46"/>
        <v>0</v>
      </c>
      <c r="AC107" s="134">
        <f t="shared" ca="1" si="35"/>
        <v>0</v>
      </c>
      <c r="AD107" s="134"/>
      <c r="AE107" s="134">
        <f t="shared" ca="1" si="47"/>
        <v>0</v>
      </c>
      <c r="AF107" s="134">
        <f t="shared" ca="1" si="48"/>
        <v>0</v>
      </c>
      <c r="AG107" s="134">
        <f t="shared" ca="1" si="67"/>
        <v>0</v>
      </c>
      <c r="AH107" s="134">
        <f t="shared" ca="1" si="49"/>
        <v>0</v>
      </c>
      <c r="AI107" s="134">
        <f t="shared" ca="1" si="68"/>
        <v>0</v>
      </c>
      <c r="AJ107" s="134">
        <f t="shared" ca="1" si="50"/>
        <v>0</v>
      </c>
      <c r="AK107" s="134">
        <f t="shared" ca="1" si="51"/>
        <v>0</v>
      </c>
      <c r="AL107" s="134">
        <f t="shared" ca="1" si="75"/>
        <v>0</v>
      </c>
      <c r="AM107" s="134">
        <f t="shared" ca="1" si="76"/>
        <v>0</v>
      </c>
      <c r="AN107" s="132">
        <f t="shared" ca="1" si="69"/>
        <v>0</v>
      </c>
      <c r="AO107" s="132">
        <f t="shared" ca="1" si="52"/>
        <v>0</v>
      </c>
      <c r="AP107" s="2">
        <f t="shared" ca="1" si="70"/>
        <v>0</v>
      </c>
      <c r="AQ107" s="2">
        <f t="shared" ca="1" si="53"/>
        <v>0</v>
      </c>
      <c r="AR107" s="2">
        <f t="shared" ca="1" si="54"/>
        <v>0</v>
      </c>
      <c r="AS107" s="2">
        <f t="shared" ca="1" si="55"/>
        <v>30</v>
      </c>
      <c r="AT107" s="2">
        <f t="shared" si="56"/>
        <v>20</v>
      </c>
      <c r="AU107" s="2">
        <f t="shared" ca="1" si="71"/>
        <v>30</v>
      </c>
      <c r="AV107" s="2"/>
      <c r="AW107" s="2"/>
      <c r="AX107" s="2"/>
      <c r="AY107" s="2"/>
      <c r="AZ107" s="2"/>
      <c r="BA107" s="2">
        <f t="shared" ca="1" si="57"/>
        <v>0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47</v>
      </c>
      <c r="B108" s="268" t="str">
        <f t="shared" ca="1" si="58"/>
        <v xml:space="preserve"> </v>
      </c>
      <c r="C108" s="268"/>
      <c r="D108" s="269" t="str">
        <f ca="1">IF(O108=0,IF(O107=1,SUM(D$62:F107)," "),IF(O108=0," ",IF(O109=1,D$62,IF(O109=0,D$4-D$62*(N$50-1)," "))))</f>
        <v xml:space="preserve"> </v>
      </c>
      <c r="E108" s="269"/>
      <c r="F108" s="269"/>
      <c r="G108" s="87" t="str">
        <f ca="1">IF(O108=0,IF(O107=1,SUM(G$62:G107)," "),IF(N$37=1,Q108,IF(N$37=2,R108," ")))</f>
        <v xml:space="preserve"> </v>
      </c>
      <c r="H108" s="87">
        <v>0</v>
      </c>
      <c r="I108" s="87" t="str">
        <f t="shared" ca="1" si="59"/>
        <v xml:space="preserve"> </v>
      </c>
      <c r="J108" s="87">
        <f t="shared" ca="1" si="60"/>
        <v>0</v>
      </c>
      <c r="K108" s="87">
        <f t="shared" ca="1" si="41"/>
        <v>0</v>
      </c>
      <c r="L108" s="87">
        <v>0</v>
      </c>
      <c r="M108" s="87" t="str">
        <f t="shared" ca="1" si="61"/>
        <v xml:space="preserve"> </v>
      </c>
      <c r="N108" s="2">
        <v>47</v>
      </c>
      <c r="O108" s="2">
        <f t="shared" ca="1" si="34"/>
        <v>0</v>
      </c>
      <c r="P108" s="2">
        <f t="shared" ca="1" si="42"/>
        <v>20</v>
      </c>
      <c r="Q108" s="134">
        <f t="shared" ca="1" si="43"/>
        <v>0</v>
      </c>
      <c r="R108" s="134">
        <f t="shared" ca="1" si="44"/>
        <v>0</v>
      </c>
      <c r="S108" s="134">
        <f t="shared" ca="1" si="62"/>
        <v>0</v>
      </c>
      <c r="T108" s="134" t="str">
        <f t="shared" ca="1" si="63"/>
        <v xml:space="preserve"> </v>
      </c>
      <c r="U108" s="134" t="str">
        <f t="shared" ca="1" si="64"/>
        <v xml:space="preserve"> </v>
      </c>
      <c r="V108" s="134">
        <f t="shared" ca="1" si="72"/>
        <v>0</v>
      </c>
      <c r="W108" s="134">
        <f t="shared" ca="1" si="73"/>
        <v>0</v>
      </c>
      <c r="X108" s="134">
        <f t="shared" ca="1" si="65"/>
        <v>0</v>
      </c>
      <c r="Y108" s="134">
        <f t="shared" ca="1" si="66"/>
        <v>0</v>
      </c>
      <c r="Z108" s="134">
        <f t="shared" ca="1" si="45"/>
        <v>-1.8758328224066645E-12</v>
      </c>
      <c r="AA108" s="134">
        <f t="shared" ca="1" si="74"/>
        <v>0</v>
      </c>
      <c r="AB108" s="134">
        <f t="shared" ca="1" si="46"/>
        <v>0</v>
      </c>
      <c r="AC108" s="134">
        <f t="shared" ca="1" si="35"/>
        <v>0</v>
      </c>
      <c r="AD108" s="134"/>
      <c r="AE108" s="134">
        <f t="shared" ca="1" si="47"/>
        <v>0</v>
      </c>
      <c r="AF108" s="134">
        <f t="shared" ca="1" si="48"/>
        <v>0</v>
      </c>
      <c r="AG108" s="134">
        <f t="shared" ca="1" si="67"/>
        <v>0</v>
      </c>
      <c r="AH108" s="134">
        <f t="shared" ca="1" si="49"/>
        <v>0</v>
      </c>
      <c r="AI108" s="134">
        <f t="shared" ca="1" si="68"/>
        <v>0</v>
      </c>
      <c r="AJ108" s="134">
        <f t="shared" ca="1" si="50"/>
        <v>0</v>
      </c>
      <c r="AK108" s="134">
        <f t="shared" ca="1" si="51"/>
        <v>0</v>
      </c>
      <c r="AL108" s="134">
        <f t="shared" ca="1" si="75"/>
        <v>0</v>
      </c>
      <c r="AM108" s="134">
        <f t="shared" ca="1" si="76"/>
        <v>0</v>
      </c>
      <c r="AN108" s="132">
        <f t="shared" ca="1" si="69"/>
        <v>0</v>
      </c>
      <c r="AO108" s="132">
        <f t="shared" ca="1" si="52"/>
        <v>0</v>
      </c>
      <c r="AP108" s="2">
        <f t="shared" ca="1" si="70"/>
        <v>0</v>
      </c>
      <c r="AQ108" s="2">
        <f t="shared" ca="1" si="53"/>
        <v>0</v>
      </c>
      <c r="AR108" s="2">
        <f t="shared" ca="1" si="54"/>
        <v>0</v>
      </c>
      <c r="AS108" s="2">
        <f t="shared" ca="1" si="55"/>
        <v>30</v>
      </c>
      <c r="AT108" s="2">
        <f t="shared" si="56"/>
        <v>20</v>
      </c>
      <c r="AU108" s="2">
        <f t="shared" ca="1" si="71"/>
        <v>30</v>
      </c>
      <c r="AV108" s="2"/>
      <c r="AW108" s="2"/>
      <c r="AX108" s="2"/>
      <c r="AY108" s="2"/>
      <c r="AZ108" s="2"/>
      <c r="BA108" s="2">
        <f t="shared" ca="1" si="57"/>
        <v>0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customHeight="1">
      <c r="A109" s="4">
        <v>48</v>
      </c>
      <c r="B109" s="268" t="str">
        <f t="shared" ca="1" si="58"/>
        <v xml:space="preserve"> </v>
      </c>
      <c r="C109" s="268"/>
      <c r="D109" s="269" t="str">
        <f ca="1">IF(O109=0,IF(O108=1,SUM(D$62:F108)," "),IF(O109=0," ",IF(O110=1,D$62,IF(O110=0,D$4-D$62*(N$50-1)," "))))</f>
        <v xml:space="preserve"> </v>
      </c>
      <c r="E109" s="269"/>
      <c r="F109" s="269"/>
      <c r="G109" s="87" t="str">
        <f ca="1">IF(O109=0,IF(O108=1,SUM(G$62:G108)," "),IF(N$37=1,Q109,IF(N$37=2,R109," ")))</f>
        <v xml:space="preserve"> </v>
      </c>
      <c r="H109" s="87">
        <v>0</v>
      </c>
      <c r="I109" s="87" t="str">
        <f t="shared" ca="1" si="59"/>
        <v xml:space="preserve"> </v>
      </c>
      <c r="J109" s="87">
        <f t="shared" ca="1" si="60"/>
        <v>0</v>
      </c>
      <c r="K109" s="87">
        <f t="shared" ca="1" si="41"/>
        <v>0</v>
      </c>
      <c r="L109" s="87">
        <v>0</v>
      </c>
      <c r="M109" s="87" t="str">
        <f t="shared" ca="1" si="61"/>
        <v xml:space="preserve"> </v>
      </c>
      <c r="N109" s="2">
        <v>48</v>
      </c>
      <c r="O109" s="2">
        <f t="shared" ca="1" si="34"/>
        <v>0</v>
      </c>
      <c r="P109" s="2">
        <f t="shared" ca="1" si="42"/>
        <v>20</v>
      </c>
      <c r="Q109" s="134">
        <f t="shared" ca="1" si="43"/>
        <v>0</v>
      </c>
      <c r="R109" s="134">
        <f t="shared" ca="1" si="44"/>
        <v>0</v>
      </c>
      <c r="S109" s="134">
        <f t="shared" ca="1" si="62"/>
        <v>0</v>
      </c>
      <c r="T109" s="134" t="str">
        <f t="shared" ca="1" si="63"/>
        <v xml:space="preserve"> </v>
      </c>
      <c r="U109" s="134" t="str">
        <f t="shared" ca="1" si="64"/>
        <v xml:space="preserve"> </v>
      </c>
      <c r="V109" s="134">
        <f t="shared" ca="1" si="72"/>
        <v>0</v>
      </c>
      <c r="W109" s="134">
        <f t="shared" ca="1" si="73"/>
        <v>0</v>
      </c>
      <c r="X109" s="134">
        <f t="shared" ca="1" si="65"/>
        <v>0</v>
      </c>
      <c r="Y109" s="134">
        <f t="shared" ca="1" si="66"/>
        <v>0</v>
      </c>
      <c r="Z109" s="134">
        <f t="shared" ca="1" si="45"/>
        <v>-1.8758328224066645E-12</v>
      </c>
      <c r="AA109" s="134">
        <f t="shared" ca="1" si="74"/>
        <v>0</v>
      </c>
      <c r="AB109" s="134">
        <f t="shared" ca="1" si="46"/>
        <v>0</v>
      </c>
      <c r="AC109" s="134">
        <f t="shared" ca="1" si="35"/>
        <v>0</v>
      </c>
      <c r="AD109" s="134"/>
      <c r="AE109" s="134">
        <f t="shared" ca="1" si="47"/>
        <v>0</v>
      </c>
      <c r="AF109" s="134">
        <f t="shared" ca="1" si="48"/>
        <v>0</v>
      </c>
      <c r="AG109" s="134">
        <f t="shared" ca="1" si="67"/>
        <v>0</v>
      </c>
      <c r="AH109" s="134">
        <f t="shared" ca="1" si="49"/>
        <v>0</v>
      </c>
      <c r="AI109" s="134">
        <f t="shared" ca="1" si="68"/>
        <v>0</v>
      </c>
      <c r="AJ109" s="134">
        <f t="shared" ca="1" si="50"/>
        <v>0</v>
      </c>
      <c r="AK109" s="134">
        <f t="shared" ca="1" si="51"/>
        <v>0</v>
      </c>
      <c r="AL109" s="134">
        <f t="shared" ca="1" si="75"/>
        <v>0</v>
      </c>
      <c r="AM109" s="134">
        <f t="shared" ca="1" si="76"/>
        <v>0</v>
      </c>
      <c r="AN109" s="132">
        <f t="shared" ca="1" si="69"/>
        <v>0</v>
      </c>
      <c r="AO109" s="132">
        <f t="shared" ca="1" si="52"/>
        <v>0</v>
      </c>
      <c r="AP109" s="2">
        <f t="shared" ca="1" si="70"/>
        <v>0</v>
      </c>
      <c r="AQ109" s="2">
        <f t="shared" ca="1" si="53"/>
        <v>0</v>
      </c>
      <c r="AR109" s="2">
        <f t="shared" ca="1" si="54"/>
        <v>0</v>
      </c>
      <c r="AS109" s="2">
        <f t="shared" ca="1" si="55"/>
        <v>30</v>
      </c>
      <c r="AT109" s="2">
        <f t="shared" si="56"/>
        <v>20</v>
      </c>
      <c r="AU109" s="2">
        <f t="shared" ca="1" si="71"/>
        <v>30</v>
      </c>
      <c r="AV109" s="2"/>
      <c r="AW109" s="2"/>
      <c r="AX109" s="2"/>
      <c r="AY109" s="2"/>
      <c r="AZ109" s="2"/>
      <c r="BA109" s="2">
        <f t="shared" ca="1" si="57"/>
        <v>0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customHeight="1">
      <c r="A110" s="4">
        <v>49</v>
      </c>
      <c r="B110" s="268" t="str">
        <f t="shared" ca="1" si="58"/>
        <v xml:space="preserve"> </v>
      </c>
      <c r="C110" s="268"/>
      <c r="D110" s="269" t="str">
        <f ca="1">IF(O110=0,IF(O109=1,SUM(D$62:F109)," "),IF(O110=0," ",IF(O111=1,D$62,IF(O111=0,D$4-D$62*(N$50-1)," "))))</f>
        <v xml:space="preserve"> </v>
      </c>
      <c r="E110" s="269"/>
      <c r="F110" s="269"/>
      <c r="G110" s="87" t="str">
        <f ca="1">IF(O110=0,IF(O109=1,SUM(G$62:G109)," "),IF(N$37=1,Q110,IF(N$37=2,R110," ")))</f>
        <v xml:space="preserve"> </v>
      </c>
      <c r="H110" s="87">
        <v>0</v>
      </c>
      <c r="I110" s="87" t="str">
        <f t="shared" ca="1" si="59"/>
        <v xml:space="preserve"> </v>
      </c>
      <c r="J110" s="87">
        <f t="shared" ca="1" si="60"/>
        <v>0</v>
      </c>
      <c r="K110" s="87">
        <f t="shared" ca="1" si="41"/>
        <v>0</v>
      </c>
      <c r="L110" s="87">
        <v>0</v>
      </c>
      <c r="M110" s="87" t="str">
        <f t="shared" ca="1" si="61"/>
        <v xml:space="preserve"> </v>
      </c>
      <c r="N110" s="2">
        <v>49</v>
      </c>
      <c r="O110" s="2">
        <f t="shared" ca="1" si="34"/>
        <v>0</v>
      </c>
      <c r="P110" s="2">
        <f t="shared" ca="1" si="42"/>
        <v>20</v>
      </c>
      <c r="Q110" s="134">
        <f t="shared" ca="1" si="43"/>
        <v>0</v>
      </c>
      <c r="R110" s="134">
        <f t="shared" ca="1" si="44"/>
        <v>0</v>
      </c>
      <c r="S110" s="134">
        <f t="shared" ca="1" si="62"/>
        <v>0</v>
      </c>
      <c r="T110" s="134" t="str">
        <f t="shared" ca="1" si="63"/>
        <v xml:space="preserve"> </v>
      </c>
      <c r="U110" s="134" t="str">
        <f t="shared" ca="1" si="64"/>
        <v xml:space="preserve"> </v>
      </c>
      <c r="V110" s="134">
        <f ca="1">IF(O111=1,S109*D$5*20/36000+S110*D$5*10/36000,IF(O111=0,IF(O110=0,0,IF(D$10&gt;20,S109*D$5*20/36000+S110*D$5*(R$48-20)/36000,S110*D$5*R$48/36000))))</f>
        <v>0</v>
      </c>
      <c r="W110" s="134">
        <f ca="1">IF(O111=1,S109*D$5*20/36000+S110*D$5*10/36000,IF(O111=0,IF(O110=0,0,IF(D$10&gt;20,S109*D$5*20/36000+S110*D$5*(R$48-20)/36000,S110*D$5*R$48/36000))))</f>
        <v>0</v>
      </c>
      <c r="X110" s="134">
        <f t="shared" ca="1" si="65"/>
        <v>0</v>
      </c>
      <c r="Y110" s="134">
        <f t="shared" ca="1" si="66"/>
        <v>0</v>
      </c>
      <c r="Z110" s="134">
        <f t="shared" ca="1" si="45"/>
        <v>-1.8758328224066645E-12</v>
      </c>
      <c r="AA110" s="134">
        <f ca="1">IF(O111=1,Z109*D$5*20/36000+Z110*D$5*10/36000,IF(O111=0,IF(O110=0,0,IF(D$10&gt;20,Z109*D$5*20/36000+Z110*D$5*(R$48-20)/36000,Z110*D$5*R$48/36000))))</f>
        <v>0</v>
      </c>
      <c r="AB110" s="134">
        <f t="shared" ca="1" si="46"/>
        <v>0</v>
      </c>
      <c r="AC110" s="134">
        <f t="shared" ca="1" si="35"/>
        <v>0</v>
      </c>
      <c r="AD110" s="134"/>
      <c r="AE110" s="134">
        <f t="shared" ca="1" si="47"/>
        <v>0</v>
      </c>
      <c r="AF110" s="134">
        <f t="shared" ca="1" si="48"/>
        <v>0</v>
      </c>
      <c r="AG110" s="134">
        <f t="shared" ca="1" si="67"/>
        <v>0</v>
      </c>
      <c r="AH110" s="134">
        <f t="shared" ca="1" si="49"/>
        <v>0</v>
      </c>
      <c r="AI110" s="134">
        <f t="shared" ca="1" si="68"/>
        <v>0</v>
      </c>
      <c r="AJ110" s="134">
        <f t="shared" ca="1" si="50"/>
        <v>0</v>
      </c>
      <c r="AK110" s="134">
        <f t="shared" ca="1" si="51"/>
        <v>0</v>
      </c>
      <c r="AL110" s="134">
        <f ca="1">IF(O111=1,AK109*H$48*20/36000+AK110*H$48*10/36000,IF(O111=0,IF(O110=0,0,AK110*H$48*R$48/36000)))</f>
        <v>0</v>
      </c>
      <c r="AM110" s="134">
        <f ca="1">IF(O111=1,AK109*H$48*20/36000+AK110*H$48*10/36000,IF(O111=0,IF(O110=0,0,AK110*H$48*R$48/36000)))</f>
        <v>0</v>
      </c>
      <c r="AN110" s="132">
        <f t="shared" ca="1" si="69"/>
        <v>0</v>
      </c>
      <c r="AO110" s="132">
        <f t="shared" ca="1" si="52"/>
        <v>0</v>
      </c>
      <c r="AP110" s="2">
        <f t="shared" ca="1" si="70"/>
        <v>0</v>
      </c>
      <c r="AQ110" s="2">
        <f t="shared" ca="1" si="53"/>
        <v>0</v>
      </c>
      <c r="AR110" s="2">
        <f t="shared" ca="1" si="54"/>
        <v>0</v>
      </c>
      <c r="AS110" s="2">
        <f t="shared" ca="1" si="55"/>
        <v>30</v>
      </c>
      <c r="AT110" s="2">
        <f t="shared" si="56"/>
        <v>20</v>
      </c>
      <c r="AU110" s="2">
        <f t="shared" ca="1" si="71"/>
        <v>30</v>
      </c>
      <c r="AV110" s="2"/>
      <c r="AW110" s="2"/>
      <c r="AX110" s="2"/>
      <c r="AY110" s="2"/>
      <c r="AZ110" s="2"/>
      <c r="BA110" s="2">
        <f t="shared" ca="1" si="57"/>
        <v>0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customHeight="1">
      <c r="A111" s="4"/>
      <c r="B111" s="268" t="str">
        <f t="shared" ca="1" si="58"/>
        <v xml:space="preserve"> </v>
      </c>
      <c r="C111" s="268"/>
      <c r="D111" s="269" t="str">
        <f ca="1">IF(O111=0,IF(O110=1,SUM(D$62:F110)," "),IF(O111=0," ",IF(O112=1,D$62,IF(O112=0,D$4-D$62*(N$50-1)," "))))</f>
        <v xml:space="preserve"> </v>
      </c>
      <c r="E111" s="269"/>
      <c r="F111" s="269"/>
      <c r="G111" s="87" t="str">
        <f ca="1">IF(O111=0,IF(O110=1,SUM(G$62:G110)," "),IF(N$37=1,Q111,IF(N$37=2,R111," ")))</f>
        <v xml:space="preserve"> </v>
      </c>
      <c r="H111" s="87">
        <v>0</v>
      </c>
      <c r="I111" s="87" t="str">
        <f t="shared" ca="1" si="59"/>
        <v xml:space="preserve"> </v>
      </c>
      <c r="J111" s="87">
        <f t="shared" ca="1" si="60"/>
        <v>0</v>
      </c>
      <c r="K111" s="87">
        <f t="shared" ca="1" si="41"/>
        <v>0</v>
      </c>
      <c r="L111" s="87">
        <v>0</v>
      </c>
      <c r="M111" s="87" t="str">
        <f t="shared" ca="1" si="61"/>
        <v xml:space="preserve"> </v>
      </c>
      <c r="N111" s="2">
        <v>50</v>
      </c>
      <c r="O111" s="2">
        <f t="shared" ca="1" si="34"/>
        <v>0</v>
      </c>
      <c r="P111" s="2">
        <f t="shared" ca="1" si="42"/>
        <v>20</v>
      </c>
      <c r="Q111" s="134">
        <f t="shared" ca="1" si="43"/>
        <v>0</v>
      </c>
      <c r="R111" s="134">
        <f t="shared" ca="1" si="44"/>
        <v>0</v>
      </c>
      <c r="S111" s="134">
        <f t="shared" ca="1" si="62"/>
        <v>0</v>
      </c>
      <c r="T111" s="134" t="str">
        <f t="shared" ca="1" si="63"/>
        <v xml:space="preserve"> </v>
      </c>
      <c r="U111" s="134" t="str">
        <f t="shared" ca="1" si="64"/>
        <v xml:space="preserve"> </v>
      </c>
      <c r="V111" s="134">
        <f t="shared" ref="V111:V121" ca="1" si="77">IF(O112=1,S110*D$5*20/36000+S111*D$5*10/36000,IF(O112=0,IF(O111=0,0,S111*D$5*R$48/36000+S110*D$5*20/36000+S111*D$5*10/36000)))</f>
        <v>0</v>
      </c>
      <c r="W111" s="134">
        <f t="shared" ref="W111:W121" ca="1" si="78">IF(O112=1,S110*D$5*20/36000+S111*D$5*10/36000,IF(O112=0,IF(O111=0,0,S111*D$5*R$48/36000+S110*D$5*20/36000+S111*D$5*10/36000)))</f>
        <v>0</v>
      </c>
      <c r="X111" s="134">
        <f t="shared" ca="1" si="65"/>
        <v>0</v>
      </c>
      <c r="Y111" s="134">
        <f t="shared" ca="1" si="66"/>
        <v>0</v>
      </c>
      <c r="Z111" s="134">
        <f t="shared" ca="1" si="45"/>
        <v>-1.8758328224066645E-12</v>
      </c>
      <c r="AA111" s="134">
        <f t="shared" ref="AA111:AA121" ca="1" si="79">IF(O112=1,Z110*D$5*20/36000+Z111*D$5*10/36000,IF(O112=0,IF(O111=0,0,Z111*D$5*R$48/36000+Z110*D$5*20/36000+Z111*D$5*10/36000)))</f>
        <v>0</v>
      </c>
      <c r="AB111" s="134">
        <f t="shared" ca="1" si="46"/>
        <v>0</v>
      </c>
      <c r="AC111" s="134">
        <f t="shared" ca="1" si="35"/>
        <v>0</v>
      </c>
      <c r="AD111" s="134"/>
      <c r="AE111" s="134">
        <f t="shared" ca="1" si="47"/>
        <v>0</v>
      </c>
      <c r="AF111" s="134">
        <f t="shared" ca="1" si="48"/>
        <v>0</v>
      </c>
      <c r="AG111" s="134">
        <f t="shared" ca="1" si="67"/>
        <v>0</v>
      </c>
      <c r="AH111" s="134">
        <f t="shared" ca="1" si="49"/>
        <v>0</v>
      </c>
      <c r="AI111" s="134">
        <f t="shared" ca="1" si="68"/>
        <v>0</v>
      </c>
      <c r="AJ111" s="134">
        <f t="shared" ca="1" si="50"/>
        <v>0</v>
      </c>
      <c r="AK111" s="134">
        <f t="shared" ca="1" si="51"/>
        <v>0</v>
      </c>
      <c r="AL111" s="134">
        <f t="shared" ref="AL111:AL121" ca="1" si="80">IF(O112=1,AK110*H$48*20/36000+AK111*H$48*10/36000,IF(O112=0,IF(O111=0,0,AK111*H$48*R$48/36000+AK110*H$48*20/36000+AK111*H$48*10/36000)))</f>
        <v>0</v>
      </c>
      <c r="AM111" s="134">
        <f t="shared" ref="AM111:AM121" ca="1" si="81">IF(O112=1,AK110*H$48*20/36000+AK111*H$48*10/36000,IF(O112=0,IF(O111=0,0,AK111*H$48*R$48/36000+AK110*H$48*20/36000+AK111*H$48*10/36000)))</f>
        <v>0</v>
      </c>
      <c r="AN111" s="132">
        <f t="shared" ca="1" si="69"/>
        <v>0</v>
      </c>
      <c r="AO111" s="132">
        <f t="shared" ca="1" si="52"/>
        <v>0</v>
      </c>
      <c r="AP111" s="2">
        <f t="shared" ca="1" si="70"/>
        <v>0</v>
      </c>
      <c r="AQ111" s="2">
        <f t="shared" ca="1" si="53"/>
        <v>0</v>
      </c>
      <c r="AR111" s="2">
        <f t="shared" ca="1" si="54"/>
        <v>0</v>
      </c>
      <c r="AS111" s="2">
        <f t="shared" ca="1" si="55"/>
        <v>30</v>
      </c>
      <c r="AT111" s="2">
        <f t="shared" si="56"/>
        <v>20</v>
      </c>
      <c r="AU111" s="2">
        <f t="shared" ca="1" si="71"/>
        <v>30</v>
      </c>
      <c r="AV111" s="2"/>
      <c r="AW111" s="2"/>
      <c r="AX111" s="2"/>
      <c r="AY111" s="2"/>
      <c r="AZ111" s="2"/>
      <c r="BA111" s="2">
        <f t="shared" ca="1" si="57"/>
        <v>0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customHeight="1">
      <c r="A112" s="4"/>
      <c r="B112" s="268" t="str">
        <f t="shared" ca="1" si="58"/>
        <v xml:space="preserve"> </v>
      </c>
      <c r="C112" s="268"/>
      <c r="D112" s="269" t="str">
        <f ca="1">IF(O112=0,IF(O111=1,SUM(D$62:F111)," "),IF(O112=0," ",IF(O113=1,D$62,IF(O113=0,D$4-D$62*(N$50-1)," "))))</f>
        <v xml:space="preserve"> </v>
      </c>
      <c r="E112" s="269"/>
      <c r="F112" s="269"/>
      <c r="G112" s="87" t="str">
        <f ca="1">IF(O112=0,IF(O111=1,SUM(G$62:G111)," "),IF(N$37=1,Q112,IF(N$37=2,R112," ")))</f>
        <v xml:space="preserve"> </v>
      </c>
      <c r="H112" s="87">
        <v>0</v>
      </c>
      <c r="I112" s="87" t="str">
        <f t="shared" ca="1" si="59"/>
        <v xml:space="preserve"> </v>
      </c>
      <c r="J112" s="87">
        <f t="shared" ca="1" si="60"/>
        <v>0</v>
      </c>
      <c r="K112" s="87">
        <f t="shared" ca="1" si="41"/>
        <v>0</v>
      </c>
      <c r="L112" s="87">
        <v>0</v>
      </c>
      <c r="M112" s="87" t="str">
        <f t="shared" ca="1" si="61"/>
        <v xml:space="preserve"> </v>
      </c>
      <c r="N112" s="2">
        <v>51</v>
      </c>
      <c r="O112" s="2">
        <f t="shared" ca="1" si="34"/>
        <v>0</v>
      </c>
      <c r="P112" s="2">
        <f t="shared" ca="1" si="42"/>
        <v>20</v>
      </c>
      <c r="Q112" s="134">
        <f t="shared" ca="1" si="43"/>
        <v>0</v>
      </c>
      <c r="R112" s="134">
        <f t="shared" ca="1" si="44"/>
        <v>0</v>
      </c>
      <c r="S112" s="134">
        <f t="shared" ca="1" si="62"/>
        <v>0</v>
      </c>
      <c r="T112" s="134" t="str">
        <f t="shared" ca="1" si="63"/>
        <v xml:space="preserve"> </v>
      </c>
      <c r="U112" s="134" t="str">
        <f t="shared" ca="1" si="64"/>
        <v xml:space="preserve"> </v>
      </c>
      <c r="V112" s="134">
        <f t="shared" ca="1" si="77"/>
        <v>0</v>
      </c>
      <c r="W112" s="134">
        <f t="shared" ca="1" si="78"/>
        <v>0</v>
      </c>
      <c r="X112" s="134">
        <f t="shared" ca="1" si="65"/>
        <v>0</v>
      </c>
      <c r="Y112" s="134">
        <f t="shared" ca="1" si="66"/>
        <v>0</v>
      </c>
      <c r="Z112" s="134">
        <f t="shared" ca="1" si="45"/>
        <v>-1.8758328224066645E-12</v>
      </c>
      <c r="AA112" s="134">
        <f t="shared" ca="1" si="79"/>
        <v>0</v>
      </c>
      <c r="AB112" s="134">
        <f t="shared" ca="1" si="46"/>
        <v>0</v>
      </c>
      <c r="AC112" s="134">
        <f t="shared" ca="1" si="35"/>
        <v>0</v>
      </c>
      <c r="AD112" s="134"/>
      <c r="AE112" s="134">
        <f t="shared" ca="1" si="47"/>
        <v>0</v>
      </c>
      <c r="AF112" s="134">
        <f t="shared" ca="1" si="48"/>
        <v>0</v>
      </c>
      <c r="AG112" s="134">
        <f t="shared" ca="1" si="67"/>
        <v>0</v>
      </c>
      <c r="AH112" s="134">
        <f t="shared" ca="1" si="49"/>
        <v>0</v>
      </c>
      <c r="AI112" s="134">
        <f t="shared" ca="1" si="68"/>
        <v>0</v>
      </c>
      <c r="AJ112" s="134">
        <f t="shared" ca="1" si="50"/>
        <v>0</v>
      </c>
      <c r="AK112" s="134">
        <f t="shared" ca="1" si="51"/>
        <v>0</v>
      </c>
      <c r="AL112" s="134">
        <f t="shared" ca="1" si="80"/>
        <v>0</v>
      </c>
      <c r="AM112" s="134">
        <f t="shared" ca="1" si="81"/>
        <v>0</v>
      </c>
      <c r="AN112" s="132">
        <f t="shared" ca="1" si="69"/>
        <v>0</v>
      </c>
      <c r="AO112" s="132">
        <f t="shared" ca="1" si="52"/>
        <v>0</v>
      </c>
      <c r="AP112" s="2">
        <f t="shared" ca="1" si="70"/>
        <v>0</v>
      </c>
      <c r="AQ112" s="2">
        <f t="shared" ca="1" si="53"/>
        <v>0</v>
      </c>
      <c r="AR112" s="2">
        <f t="shared" ca="1" si="54"/>
        <v>0</v>
      </c>
      <c r="AS112" s="2">
        <f t="shared" ca="1" si="55"/>
        <v>30</v>
      </c>
      <c r="AT112" s="2">
        <f t="shared" si="56"/>
        <v>20</v>
      </c>
      <c r="AU112" s="2">
        <f t="shared" ca="1" si="71"/>
        <v>30</v>
      </c>
      <c r="AV112" s="2"/>
      <c r="AW112" s="2"/>
      <c r="AX112" s="2"/>
      <c r="AY112" s="2"/>
      <c r="AZ112" s="2"/>
      <c r="BA112" s="2">
        <f t="shared" ca="1" si="57"/>
        <v>0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customHeight="1">
      <c r="A113" s="4"/>
      <c r="B113" s="268" t="str">
        <f t="shared" ca="1" si="58"/>
        <v xml:space="preserve"> </v>
      </c>
      <c r="C113" s="268"/>
      <c r="D113" s="269" t="str">
        <f ca="1">IF(O113=0,IF(O112=1,SUM(D$62:F112)," "),IF(O113=0," ",IF(O114=1,D$62,IF(O114=0,D$4-D$62*(N$50-1)," "))))</f>
        <v xml:space="preserve"> </v>
      </c>
      <c r="E113" s="269"/>
      <c r="F113" s="269"/>
      <c r="G113" s="87" t="str">
        <f ca="1">IF(O113=0,IF(O112=1,SUM(G$62:G112)," "),IF(N$37=1,Q113,IF(N$37=2,R113," ")))</f>
        <v xml:space="preserve"> </v>
      </c>
      <c r="H113" s="87">
        <v>0</v>
      </c>
      <c r="I113" s="87" t="str">
        <f t="shared" ca="1" si="59"/>
        <v xml:space="preserve"> </v>
      </c>
      <c r="J113" s="87">
        <f t="shared" ca="1" si="60"/>
        <v>0</v>
      </c>
      <c r="K113" s="87">
        <f t="shared" ca="1" si="41"/>
        <v>0</v>
      </c>
      <c r="L113" s="87">
        <v>0</v>
      </c>
      <c r="M113" s="87" t="str">
        <f t="shared" ca="1" si="61"/>
        <v xml:space="preserve"> </v>
      </c>
      <c r="N113" s="2">
        <v>52</v>
      </c>
      <c r="O113" s="2">
        <f t="shared" ca="1" si="34"/>
        <v>0</v>
      </c>
      <c r="P113" s="2">
        <f t="shared" ca="1" si="42"/>
        <v>20</v>
      </c>
      <c r="Q113" s="134">
        <f t="shared" ca="1" si="43"/>
        <v>0</v>
      </c>
      <c r="R113" s="134">
        <f t="shared" ca="1" si="44"/>
        <v>0</v>
      </c>
      <c r="S113" s="134">
        <f t="shared" ca="1" si="62"/>
        <v>0</v>
      </c>
      <c r="T113" s="134" t="str">
        <f t="shared" ca="1" si="63"/>
        <v xml:space="preserve"> </v>
      </c>
      <c r="U113" s="134" t="str">
        <f t="shared" ca="1" si="64"/>
        <v xml:space="preserve"> </v>
      </c>
      <c r="V113" s="134">
        <f t="shared" ca="1" si="77"/>
        <v>0</v>
      </c>
      <c r="W113" s="134">
        <f t="shared" ca="1" si="78"/>
        <v>0</v>
      </c>
      <c r="X113" s="134">
        <f t="shared" ca="1" si="65"/>
        <v>0</v>
      </c>
      <c r="Y113" s="134">
        <f t="shared" ca="1" si="66"/>
        <v>0</v>
      </c>
      <c r="Z113" s="134">
        <f t="shared" ca="1" si="45"/>
        <v>-1.8758328224066645E-12</v>
      </c>
      <c r="AA113" s="134">
        <f t="shared" ca="1" si="79"/>
        <v>0</v>
      </c>
      <c r="AB113" s="134">
        <f t="shared" ca="1" si="46"/>
        <v>0</v>
      </c>
      <c r="AC113" s="134">
        <f t="shared" ca="1" si="35"/>
        <v>0</v>
      </c>
      <c r="AD113" s="134"/>
      <c r="AE113" s="134">
        <f t="shared" ca="1" si="47"/>
        <v>0</v>
      </c>
      <c r="AF113" s="134">
        <f t="shared" ca="1" si="48"/>
        <v>0</v>
      </c>
      <c r="AG113" s="134">
        <f t="shared" ca="1" si="67"/>
        <v>0</v>
      </c>
      <c r="AH113" s="134">
        <f t="shared" ca="1" si="49"/>
        <v>0</v>
      </c>
      <c r="AI113" s="134">
        <f t="shared" ca="1" si="68"/>
        <v>0</v>
      </c>
      <c r="AJ113" s="134">
        <f t="shared" ca="1" si="50"/>
        <v>0</v>
      </c>
      <c r="AK113" s="134">
        <f t="shared" ca="1" si="51"/>
        <v>0</v>
      </c>
      <c r="AL113" s="134">
        <f t="shared" ca="1" si="80"/>
        <v>0</v>
      </c>
      <c r="AM113" s="134">
        <f t="shared" ca="1" si="81"/>
        <v>0</v>
      </c>
      <c r="AN113" s="132">
        <f t="shared" ca="1" si="69"/>
        <v>0</v>
      </c>
      <c r="AO113" s="132">
        <f t="shared" ca="1" si="52"/>
        <v>0</v>
      </c>
      <c r="AP113" s="2">
        <f t="shared" ca="1" si="70"/>
        <v>0</v>
      </c>
      <c r="AQ113" s="2">
        <f t="shared" ca="1" si="53"/>
        <v>0</v>
      </c>
      <c r="AR113" s="2">
        <f t="shared" ca="1" si="54"/>
        <v>0</v>
      </c>
      <c r="AS113" s="2">
        <f t="shared" ca="1" si="55"/>
        <v>30</v>
      </c>
      <c r="AT113" s="2">
        <f t="shared" si="56"/>
        <v>20</v>
      </c>
      <c r="AU113" s="2">
        <f t="shared" ca="1" si="71"/>
        <v>30</v>
      </c>
      <c r="AV113" s="2"/>
      <c r="AW113" s="2"/>
      <c r="AX113" s="2"/>
      <c r="AY113" s="2"/>
      <c r="AZ113" s="2"/>
      <c r="BA113" s="2">
        <f t="shared" ca="1" si="57"/>
        <v>0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customHeight="1">
      <c r="A114" s="4"/>
      <c r="B114" s="268" t="str">
        <f t="shared" ca="1" si="58"/>
        <v xml:space="preserve"> </v>
      </c>
      <c r="C114" s="268"/>
      <c r="D114" s="269" t="str">
        <f ca="1">IF(O114=0,IF(O113=1,SUM(D$62:F113)," "),IF(O114=0," ",IF(O115=1,D$62,IF(O115=0,D$4-D$62*(N$50-1)," "))))</f>
        <v xml:space="preserve"> </v>
      </c>
      <c r="E114" s="269"/>
      <c r="F114" s="269"/>
      <c r="G114" s="87" t="str">
        <f ca="1">IF(O114=0,IF(O113=1,SUM(G$62:G113)," "),IF(N$37=1,Q114,IF(N$37=2,R114," ")))</f>
        <v xml:space="preserve"> </v>
      </c>
      <c r="H114" s="87">
        <v>0</v>
      </c>
      <c r="I114" s="87" t="str">
        <f t="shared" ca="1" si="59"/>
        <v xml:space="preserve"> </v>
      </c>
      <c r="J114" s="87">
        <f t="shared" ca="1" si="60"/>
        <v>0</v>
      </c>
      <c r="K114" s="87">
        <f t="shared" ca="1" si="41"/>
        <v>0</v>
      </c>
      <c r="L114" s="87">
        <v>0</v>
      </c>
      <c r="M114" s="87" t="str">
        <f t="shared" ca="1" si="61"/>
        <v xml:space="preserve"> </v>
      </c>
      <c r="N114" s="2">
        <v>53</v>
      </c>
      <c r="O114" s="2">
        <f t="shared" ca="1" si="34"/>
        <v>0</v>
      </c>
      <c r="P114" s="2">
        <f t="shared" ca="1" si="42"/>
        <v>20</v>
      </c>
      <c r="Q114" s="134">
        <f t="shared" ca="1" si="43"/>
        <v>0</v>
      </c>
      <c r="R114" s="134">
        <f t="shared" ca="1" si="44"/>
        <v>0</v>
      </c>
      <c r="S114" s="134">
        <f t="shared" ca="1" si="62"/>
        <v>0</v>
      </c>
      <c r="T114" s="134" t="str">
        <f t="shared" ca="1" si="63"/>
        <v xml:space="preserve"> </v>
      </c>
      <c r="U114" s="134" t="str">
        <f t="shared" ca="1" si="64"/>
        <v xml:space="preserve"> </v>
      </c>
      <c r="V114" s="134">
        <f t="shared" ca="1" si="77"/>
        <v>0</v>
      </c>
      <c r="W114" s="134">
        <f t="shared" ca="1" si="78"/>
        <v>0</v>
      </c>
      <c r="X114" s="134">
        <f t="shared" ca="1" si="65"/>
        <v>0</v>
      </c>
      <c r="Y114" s="134">
        <f t="shared" ca="1" si="66"/>
        <v>0</v>
      </c>
      <c r="Z114" s="134">
        <f t="shared" ca="1" si="45"/>
        <v>-1.8758328224066645E-12</v>
      </c>
      <c r="AA114" s="134">
        <f t="shared" ca="1" si="79"/>
        <v>0</v>
      </c>
      <c r="AB114" s="134">
        <f t="shared" ca="1" si="46"/>
        <v>0</v>
      </c>
      <c r="AC114" s="134">
        <f t="shared" ca="1" si="35"/>
        <v>0</v>
      </c>
      <c r="AD114" s="134"/>
      <c r="AE114" s="134">
        <f t="shared" ca="1" si="47"/>
        <v>0</v>
      </c>
      <c r="AF114" s="134">
        <f t="shared" ca="1" si="48"/>
        <v>0</v>
      </c>
      <c r="AG114" s="134">
        <f t="shared" ca="1" si="67"/>
        <v>0</v>
      </c>
      <c r="AH114" s="134">
        <f t="shared" ca="1" si="49"/>
        <v>0</v>
      </c>
      <c r="AI114" s="134">
        <f t="shared" ca="1" si="68"/>
        <v>0</v>
      </c>
      <c r="AJ114" s="134">
        <f t="shared" ca="1" si="50"/>
        <v>0</v>
      </c>
      <c r="AK114" s="134">
        <f t="shared" ca="1" si="51"/>
        <v>0</v>
      </c>
      <c r="AL114" s="134">
        <f t="shared" ca="1" si="80"/>
        <v>0</v>
      </c>
      <c r="AM114" s="134">
        <f t="shared" ca="1" si="81"/>
        <v>0</v>
      </c>
      <c r="AN114" s="132">
        <f t="shared" ca="1" si="69"/>
        <v>0</v>
      </c>
      <c r="AO114" s="132">
        <f t="shared" ca="1" si="52"/>
        <v>0</v>
      </c>
      <c r="AP114" s="2">
        <f t="shared" ca="1" si="70"/>
        <v>0</v>
      </c>
      <c r="AQ114" s="2">
        <f t="shared" ca="1" si="53"/>
        <v>0</v>
      </c>
      <c r="AR114" s="2">
        <f t="shared" ca="1" si="54"/>
        <v>0</v>
      </c>
      <c r="AS114" s="2">
        <f t="shared" ca="1" si="55"/>
        <v>30</v>
      </c>
      <c r="AT114" s="2">
        <f t="shared" si="56"/>
        <v>20</v>
      </c>
      <c r="AU114" s="2">
        <f t="shared" ca="1" si="71"/>
        <v>30</v>
      </c>
      <c r="AV114" s="2"/>
      <c r="AW114" s="2"/>
      <c r="AX114" s="2"/>
      <c r="AY114" s="2"/>
      <c r="AZ114" s="2"/>
      <c r="BA114" s="2">
        <f t="shared" ca="1" si="57"/>
        <v>0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customHeight="1">
      <c r="A115" s="4"/>
      <c r="B115" s="268" t="str">
        <f t="shared" ca="1" si="58"/>
        <v xml:space="preserve"> </v>
      </c>
      <c r="C115" s="268"/>
      <c r="D115" s="269" t="str">
        <f ca="1">IF(O115=0,IF(O114=1,SUM(D$62:F114)," "),IF(O115=0," ",IF(O116=1,D$62,IF(O116=0,D$4-D$62*(N$50-1)," "))))</f>
        <v xml:space="preserve"> </v>
      </c>
      <c r="E115" s="269"/>
      <c r="F115" s="269"/>
      <c r="G115" s="87" t="str">
        <f ca="1">IF(O115=0,IF(O114=1,SUM(G$62:G114)," "),IF(N$37=1,Q115,IF(N$37=2,R115," ")))</f>
        <v xml:space="preserve"> </v>
      </c>
      <c r="H115" s="87">
        <v>0</v>
      </c>
      <c r="I115" s="87" t="str">
        <f t="shared" ca="1" si="59"/>
        <v xml:space="preserve"> </v>
      </c>
      <c r="J115" s="87">
        <f t="shared" ca="1" si="60"/>
        <v>0</v>
      </c>
      <c r="K115" s="87">
        <f t="shared" ca="1" si="41"/>
        <v>0</v>
      </c>
      <c r="L115" s="87">
        <v>0</v>
      </c>
      <c r="M115" s="87" t="str">
        <f t="shared" ca="1" si="61"/>
        <v xml:space="preserve"> </v>
      </c>
      <c r="N115" s="2">
        <v>54</v>
      </c>
      <c r="O115" s="2">
        <f t="shared" ca="1" si="34"/>
        <v>0</v>
      </c>
      <c r="P115" s="2">
        <f t="shared" ca="1" si="42"/>
        <v>20</v>
      </c>
      <c r="Q115" s="134">
        <f t="shared" ca="1" si="43"/>
        <v>0</v>
      </c>
      <c r="R115" s="134">
        <f t="shared" ca="1" si="44"/>
        <v>0</v>
      </c>
      <c r="S115" s="134">
        <f t="shared" ca="1" si="62"/>
        <v>0</v>
      </c>
      <c r="T115" s="134" t="str">
        <f t="shared" ca="1" si="63"/>
        <v xml:space="preserve"> </v>
      </c>
      <c r="U115" s="134" t="str">
        <f t="shared" ca="1" si="64"/>
        <v xml:space="preserve"> </v>
      </c>
      <c r="V115" s="134">
        <f t="shared" ca="1" si="77"/>
        <v>0</v>
      </c>
      <c r="W115" s="134">
        <f t="shared" ca="1" si="78"/>
        <v>0</v>
      </c>
      <c r="X115" s="134">
        <f t="shared" ca="1" si="65"/>
        <v>0</v>
      </c>
      <c r="Y115" s="134">
        <f t="shared" ca="1" si="66"/>
        <v>0</v>
      </c>
      <c r="Z115" s="134">
        <f t="shared" ca="1" si="45"/>
        <v>-1.8758328224066645E-12</v>
      </c>
      <c r="AA115" s="134">
        <f t="shared" ca="1" si="79"/>
        <v>0</v>
      </c>
      <c r="AB115" s="134">
        <f t="shared" ca="1" si="46"/>
        <v>0</v>
      </c>
      <c r="AC115" s="134">
        <f t="shared" ca="1" si="35"/>
        <v>0</v>
      </c>
      <c r="AD115" s="134"/>
      <c r="AE115" s="134">
        <f t="shared" ca="1" si="47"/>
        <v>0</v>
      </c>
      <c r="AF115" s="134">
        <f t="shared" ca="1" si="48"/>
        <v>0</v>
      </c>
      <c r="AG115" s="134">
        <f t="shared" ca="1" si="67"/>
        <v>0</v>
      </c>
      <c r="AH115" s="134">
        <f t="shared" ca="1" si="49"/>
        <v>0</v>
      </c>
      <c r="AI115" s="134">
        <f t="shared" ca="1" si="68"/>
        <v>0</v>
      </c>
      <c r="AJ115" s="134">
        <f t="shared" ca="1" si="50"/>
        <v>0</v>
      </c>
      <c r="AK115" s="134">
        <f t="shared" ca="1" si="51"/>
        <v>0</v>
      </c>
      <c r="AL115" s="134">
        <f t="shared" ca="1" si="80"/>
        <v>0</v>
      </c>
      <c r="AM115" s="134">
        <f t="shared" ca="1" si="81"/>
        <v>0</v>
      </c>
      <c r="AN115" s="132">
        <f t="shared" ca="1" si="69"/>
        <v>0</v>
      </c>
      <c r="AO115" s="132">
        <f t="shared" ca="1" si="52"/>
        <v>0</v>
      </c>
      <c r="AP115" s="2">
        <f t="shared" ca="1" si="70"/>
        <v>0</v>
      </c>
      <c r="AQ115" s="2">
        <f t="shared" ca="1" si="53"/>
        <v>0</v>
      </c>
      <c r="AR115" s="2">
        <f t="shared" ca="1" si="54"/>
        <v>0</v>
      </c>
      <c r="AS115" s="2">
        <f t="shared" ca="1" si="55"/>
        <v>30</v>
      </c>
      <c r="AT115" s="2">
        <f t="shared" si="56"/>
        <v>20</v>
      </c>
      <c r="AU115" s="2">
        <f t="shared" ca="1" si="71"/>
        <v>30</v>
      </c>
      <c r="AV115" s="2"/>
      <c r="AW115" s="2"/>
      <c r="AX115" s="2"/>
      <c r="AY115" s="2"/>
      <c r="AZ115" s="2"/>
      <c r="BA115" s="2">
        <f t="shared" ca="1" si="57"/>
        <v>0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customHeight="1">
      <c r="A116" s="4"/>
      <c r="B116" s="268" t="str">
        <f t="shared" ca="1" si="58"/>
        <v xml:space="preserve"> </v>
      </c>
      <c r="C116" s="268"/>
      <c r="D116" s="269" t="str">
        <f ca="1">IF(O116=0,IF(O115=1,SUM(D$62:F115)," "),IF(O116=0," ",IF(O117=1,D$62,IF(O117=0,D$4-D$62*(N$50-1)," "))))</f>
        <v xml:space="preserve"> </v>
      </c>
      <c r="E116" s="269"/>
      <c r="F116" s="269"/>
      <c r="G116" s="87" t="str">
        <f ca="1">IF(O116=0,IF(O115=1,SUM(G$62:G115)," "),IF(N$37=1,Q116,IF(N$37=2,R116," ")))</f>
        <v xml:space="preserve"> </v>
      </c>
      <c r="H116" s="87">
        <v>0</v>
      </c>
      <c r="I116" s="87" t="str">
        <f t="shared" ca="1" si="59"/>
        <v xml:space="preserve"> </v>
      </c>
      <c r="J116" s="87">
        <f t="shared" ca="1" si="60"/>
        <v>0</v>
      </c>
      <c r="K116" s="87">
        <f t="shared" ca="1" si="41"/>
        <v>0</v>
      </c>
      <c r="L116" s="87">
        <v>0</v>
      </c>
      <c r="M116" s="87" t="str">
        <f t="shared" ca="1" si="61"/>
        <v xml:space="preserve"> </v>
      </c>
      <c r="N116" s="2">
        <v>55</v>
      </c>
      <c r="O116" s="2">
        <f t="shared" ca="1" si="34"/>
        <v>0</v>
      </c>
      <c r="P116" s="2">
        <f t="shared" ca="1" si="42"/>
        <v>20</v>
      </c>
      <c r="Q116" s="134">
        <f t="shared" ca="1" si="43"/>
        <v>0</v>
      </c>
      <c r="R116" s="134">
        <f t="shared" ca="1" si="44"/>
        <v>0</v>
      </c>
      <c r="S116" s="134">
        <f t="shared" ca="1" si="62"/>
        <v>0</v>
      </c>
      <c r="T116" s="134" t="str">
        <f t="shared" ca="1" si="63"/>
        <v xml:space="preserve"> </v>
      </c>
      <c r="U116" s="134" t="str">
        <f t="shared" ca="1" si="64"/>
        <v xml:space="preserve"> </v>
      </c>
      <c r="V116" s="134">
        <f t="shared" ca="1" si="77"/>
        <v>0</v>
      </c>
      <c r="W116" s="134">
        <f t="shared" ca="1" si="78"/>
        <v>0</v>
      </c>
      <c r="X116" s="134">
        <f t="shared" ca="1" si="65"/>
        <v>0</v>
      </c>
      <c r="Y116" s="134">
        <f t="shared" ca="1" si="66"/>
        <v>0</v>
      </c>
      <c r="Z116" s="134">
        <f t="shared" ca="1" si="45"/>
        <v>-1.8758328224066645E-12</v>
      </c>
      <c r="AA116" s="134">
        <f t="shared" ca="1" si="79"/>
        <v>0</v>
      </c>
      <c r="AB116" s="134">
        <f t="shared" ca="1" si="46"/>
        <v>0</v>
      </c>
      <c r="AC116" s="134">
        <f t="shared" ca="1" si="35"/>
        <v>0</v>
      </c>
      <c r="AD116" s="134"/>
      <c r="AE116" s="134">
        <f t="shared" ca="1" si="47"/>
        <v>0</v>
      </c>
      <c r="AF116" s="134">
        <f t="shared" ca="1" si="48"/>
        <v>0</v>
      </c>
      <c r="AG116" s="134">
        <f t="shared" ca="1" si="67"/>
        <v>0</v>
      </c>
      <c r="AH116" s="134">
        <f t="shared" ca="1" si="49"/>
        <v>0</v>
      </c>
      <c r="AI116" s="134">
        <f t="shared" ca="1" si="68"/>
        <v>0</v>
      </c>
      <c r="AJ116" s="134">
        <f t="shared" ca="1" si="50"/>
        <v>0</v>
      </c>
      <c r="AK116" s="134">
        <f t="shared" ca="1" si="51"/>
        <v>0</v>
      </c>
      <c r="AL116" s="134">
        <f t="shared" ca="1" si="80"/>
        <v>0</v>
      </c>
      <c r="AM116" s="134">
        <f t="shared" ca="1" si="81"/>
        <v>0</v>
      </c>
      <c r="AN116" s="132">
        <f t="shared" ca="1" si="69"/>
        <v>0</v>
      </c>
      <c r="AO116" s="132">
        <f t="shared" ca="1" si="52"/>
        <v>0</v>
      </c>
      <c r="AP116" s="2">
        <f t="shared" ca="1" si="70"/>
        <v>0</v>
      </c>
      <c r="AQ116" s="2">
        <f t="shared" ca="1" si="53"/>
        <v>0</v>
      </c>
      <c r="AR116" s="2">
        <f t="shared" ca="1" si="54"/>
        <v>0</v>
      </c>
      <c r="AS116" s="2">
        <f t="shared" ca="1" si="55"/>
        <v>30</v>
      </c>
      <c r="AT116" s="2">
        <f t="shared" si="56"/>
        <v>20</v>
      </c>
      <c r="AU116" s="2">
        <f t="shared" ca="1" si="71"/>
        <v>30</v>
      </c>
      <c r="AV116" s="2"/>
      <c r="AW116" s="2"/>
      <c r="AX116" s="2"/>
      <c r="AY116" s="2"/>
      <c r="AZ116" s="2"/>
      <c r="BA116" s="2">
        <f t="shared" ca="1" si="57"/>
        <v>0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customHeight="1">
      <c r="A117" s="4"/>
      <c r="B117" s="268" t="str">
        <f t="shared" ca="1" si="58"/>
        <v xml:space="preserve"> </v>
      </c>
      <c r="C117" s="268"/>
      <c r="D117" s="269" t="str">
        <f ca="1">IF(O117=0,IF(O116=1,SUM(D$62:F116)," "),IF(O117=0," ",IF(O118=1,D$62,IF(O118=0,D$4-D$62*(N$50-1)," "))))</f>
        <v xml:space="preserve"> </v>
      </c>
      <c r="E117" s="269"/>
      <c r="F117" s="269"/>
      <c r="G117" s="87" t="str">
        <f ca="1">IF(O117=0,IF(O116=1,SUM(G$62:G116)," "),IF(N$37=1,Q117,IF(N$37=2,R117," ")))</f>
        <v xml:space="preserve"> </v>
      </c>
      <c r="H117" s="87">
        <v>0</v>
      </c>
      <c r="I117" s="87" t="str">
        <f t="shared" ca="1" si="59"/>
        <v xml:space="preserve"> </v>
      </c>
      <c r="J117" s="87">
        <f t="shared" ca="1" si="60"/>
        <v>0</v>
      </c>
      <c r="K117" s="87">
        <f t="shared" ca="1" si="41"/>
        <v>0</v>
      </c>
      <c r="L117" s="87">
        <v>0</v>
      </c>
      <c r="M117" s="87" t="str">
        <f t="shared" ca="1" si="61"/>
        <v xml:space="preserve"> </v>
      </c>
      <c r="N117" s="2">
        <v>56</v>
      </c>
      <c r="O117" s="2">
        <f t="shared" ca="1" si="34"/>
        <v>0</v>
      </c>
      <c r="P117" s="2">
        <f t="shared" ca="1" si="42"/>
        <v>20</v>
      </c>
      <c r="Q117" s="134">
        <f t="shared" ca="1" si="43"/>
        <v>0</v>
      </c>
      <c r="R117" s="134">
        <f t="shared" ca="1" si="44"/>
        <v>0</v>
      </c>
      <c r="S117" s="134">
        <f t="shared" ca="1" si="62"/>
        <v>0</v>
      </c>
      <c r="T117" s="134" t="str">
        <f t="shared" ca="1" si="63"/>
        <v xml:space="preserve"> </v>
      </c>
      <c r="U117" s="134" t="str">
        <f t="shared" ca="1" si="64"/>
        <v xml:space="preserve"> </v>
      </c>
      <c r="V117" s="134">
        <f t="shared" ca="1" si="77"/>
        <v>0</v>
      </c>
      <c r="W117" s="134">
        <f t="shared" ca="1" si="78"/>
        <v>0</v>
      </c>
      <c r="X117" s="134">
        <f t="shared" ca="1" si="65"/>
        <v>0</v>
      </c>
      <c r="Y117" s="134">
        <f t="shared" ca="1" si="66"/>
        <v>0</v>
      </c>
      <c r="Z117" s="134">
        <f t="shared" ca="1" si="45"/>
        <v>-1.8758328224066645E-12</v>
      </c>
      <c r="AA117" s="134">
        <f t="shared" ca="1" si="79"/>
        <v>0</v>
      </c>
      <c r="AB117" s="134">
        <f t="shared" ca="1" si="46"/>
        <v>0</v>
      </c>
      <c r="AC117" s="134">
        <f t="shared" ca="1" si="35"/>
        <v>0</v>
      </c>
      <c r="AD117" s="134"/>
      <c r="AE117" s="134">
        <f t="shared" ca="1" si="47"/>
        <v>0</v>
      </c>
      <c r="AF117" s="134">
        <f t="shared" ca="1" si="48"/>
        <v>0</v>
      </c>
      <c r="AG117" s="134">
        <f t="shared" ca="1" si="67"/>
        <v>0</v>
      </c>
      <c r="AH117" s="134">
        <f t="shared" ca="1" si="49"/>
        <v>0</v>
      </c>
      <c r="AI117" s="134">
        <f t="shared" ca="1" si="68"/>
        <v>0</v>
      </c>
      <c r="AJ117" s="134">
        <f t="shared" ca="1" si="50"/>
        <v>0</v>
      </c>
      <c r="AK117" s="134">
        <f t="shared" ca="1" si="51"/>
        <v>0</v>
      </c>
      <c r="AL117" s="134">
        <f t="shared" ca="1" si="80"/>
        <v>0</v>
      </c>
      <c r="AM117" s="134">
        <f t="shared" ca="1" si="81"/>
        <v>0</v>
      </c>
      <c r="AN117" s="132">
        <f t="shared" ca="1" si="69"/>
        <v>0</v>
      </c>
      <c r="AO117" s="132">
        <f t="shared" ca="1" si="52"/>
        <v>0</v>
      </c>
      <c r="AP117" s="2">
        <f t="shared" ca="1" si="70"/>
        <v>0</v>
      </c>
      <c r="AQ117" s="2">
        <f t="shared" ca="1" si="53"/>
        <v>0</v>
      </c>
      <c r="AR117" s="2">
        <f t="shared" ca="1" si="54"/>
        <v>0</v>
      </c>
      <c r="AS117" s="2">
        <f t="shared" ca="1" si="55"/>
        <v>30</v>
      </c>
      <c r="AT117" s="2">
        <f t="shared" si="56"/>
        <v>20</v>
      </c>
      <c r="AU117" s="2">
        <f t="shared" ca="1" si="71"/>
        <v>30</v>
      </c>
      <c r="AV117" s="2"/>
      <c r="AW117" s="2"/>
      <c r="AX117" s="2"/>
      <c r="AY117" s="2"/>
      <c r="AZ117" s="2"/>
      <c r="BA117" s="2">
        <f t="shared" ca="1" si="57"/>
        <v>0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5" customHeight="1">
      <c r="A118" s="4"/>
      <c r="B118" s="268" t="str">
        <f t="shared" ca="1" si="58"/>
        <v xml:space="preserve"> </v>
      </c>
      <c r="C118" s="268"/>
      <c r="D118" s="269" t="str">
        <f ca="1">IF(O118=0,IF(O117=1,SUM(D$62:F117)," "),IF(O118=0," ",IF(O119=1,D$62,IF(O119=0,D$4-D$62*(N$50-1)," "))))</f>
        <v xml:space="preserve"> </v>
      </c>
      <c r="E118" s="269"/>
      <c r="F118" s="269"/>
      <c r="G118" s="87" t="str">
        <f ca="1">IF(O118=0,IF(O117=1,SUM(G$62:G117)," "),IF(N$37=1,Q118,IF(N$37=2,R118," ")))</f>
        <v xml:space="preserve"> </v>
      </c>
      <c r="H118" s="87">
        <v>0</v>
      </c>
      <c r="I118" s="87" t="str">
        <f t="shared" ca="1" si="59"/>
        <v xml:space="preserve"> </v>
      </c>
      <c r="J118" s="87">
        <f t="shared" ca="1" si="60"/>
        <v>0</v>
      </c>
      <c r="K118" s="87">
        <f t="shared" ca="1" si="41"/>
        <v>0</v>
      </c>
      <c r="L118" s="87">
        <v>0</v>
      </c>
      <c r="M118" s="87" t="str">
        <f t="shared" ca="1" si="61"/>
        <v xml:space="preserve"> </v>
      </c>
      <c r="N118" s="2">
        <v>57</v>
      </c>
      <c r="O118" s="2">
        <f t="shared" ca="1" si="34"/>
        <v>0</v>
      </c>
      <c r="P118" s="2">
        <f t="shared" ca="1" si="42"/>
        <v>20</v>
      </c>
      <c r="Q118" s="134">
        <f t="shared" ca="1" si="43"/>
        <v>0</v>
      </c>
      <c r="R118" s="134">
        <f t="shared" ca="1" si="44"/>
        <v>0</v>
      </c>
      <c r="S118" s="134">
        <f t="shared" ca="1" si="62"/>
        <v>0</v>
      </c>
      <c r="T118" s="134" t="str">
        <f t="shared" ca="1" si="63"/>
        <v xml:space="preserve"> </v>
      </c>
      <c r="U118" s="134" t="str">
        <f t="shared" ca="1" si="64"/>
        <v xml:space="preserve"> </v>
      </c>
      <c r="V118" s="134">
        <f t="shared" ca="1" si="77"/>
        <v>0</v>
      </c>
      <c r="W118" s="134">
        <f t="shared" ca="1" si="78"/>
        <v>0</v>
      </c>
      <c r="X118" s="134">
        <f t="shared" ca="1" si="65"/>
        <v>0</v>
      </c>
      <c r="Y118" s="134">
        <f t="shared" ca="1" si="66"/>
        <v>0</v>
      </c>
      <c r="Z118" s="134">
        <f t="shared" ca="1" si="45"/>
        <v>-1.8758328224066645E-12</v>
      </c>
      <c r="AA118" s="134">
        <f t="shared" ca="1" si="79"/>
        <v>0</v>
      </c>
      <c r="AB118" s="134">
        <f t="shared" ca="1" si="46"/>
        <v>0</v>
      </c>
      <c r="AC118" s="134">
        <f t="shared" ca="1" si="35"/>
        <v>0</v>
      </c>
      <c r="AD118" s="134"/>
      <c r="AE118" s="134">
        <f t="shared" ca="1" si="47"/>
        <v>0</v>
      </c>
      <c r="AF118" s="134">
        <f t="shared" ca="1" si="48"/>
        <v>0</v>
      </c>
      <c r="AG118" s="134">
        <f t="shared" ca="1" si="67"/>
        <v>0</v>
      </c>
      <c r="AH118" s="134">
        <f t="shared" ca="1" si="49"/>
        <v>0</v>
      </c>
      <c r="AI118" s="134">
        <f t="shared" ca="1" si="68"/>
        <v>0</v>
      </c>
      <c r="AJ118" s="134">
        <f t="shared" ca="1" si="50"/>
        <v>0</v>
      </c>
      <c r="AK118" s="134">
        <f t="shared" ca="1" si="51"/>
        <v>0</v>
      </c>
      <c r="AL118" s="134">
        <f t="shared" ca="1" si="80"/>
        <v>0</v>
      </c>
      <c r="AM118" s="134">
        <f t="shared" ca="1" si="81"/>
        <v>0</v>
      </c>
      <c r="AN118" s="132">
        <f t="shared" ca="1" si="69"/>
        <v>0</v>
      </c>
      <c r="AO118" s="132">
        <f t="shared" ca="1" si="52"/>
        <v>0</v>
      </c>
      <c r="AP118" s="2">
        <f t="shared" ca="1" si="70"/>
        <v>0</v>
      </c>
      <c r="AQ118" s="2">
        <f t="shared" ca="1" si="53"/>
        <v>0</v>
      </c>
      <c r="AR118" s="2">
        <f t="shared" ca="1" si="54"/>
        <v>0</v>
      </c>
      <c r="AS118" s="2">
        <f t="shared" ca="1" si="55"/>
        <v>30</v>
      </c>
      <c r="AT118" s="2">
        <f t="shared" si="56"/>
        <v>20</v>
      </c>
      <c r="AU118" s="2">
        <f t="shared" ca="1" si="71"/>
        <v>30</v>
      </c>
      <c r="AV118" s="2"/>
      <c r="AW118" s="2"/>
      <c r="AX118" s="2"/>
      <c r="AY118" s="2"/>
      <c r="AZ118" s="2"/>
      <c r="BA118" s="2">
        <f t="shared" ca="1" si="57"/>
        <v>0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5" customHeight="1">
      <c r="A119" s="4"/>
      <c r="B119" s="268" t="str">
        <f t="shared" ca="1" si="58"/>
        <v xml:space="preserve"> </v>
      </c>
      <c r="C119" s="268"/>
      <c r="D119" s="269" t="str">
        <f ca="1">IF(O119=0,IF(O118=1,SUM(D$62:F118)," "),IF(O119=0," ",IF(O120=1,D$62,IF(O120=0,D$4-D$62*(N$50-1)," "))))</f>
        <v xml:space="preserve"> </v>
      </c>
      <c r="E119" s="269"/>
      <c r="F119" s="269"/>
      <c r="G119" s="87" t="str">
        <f ca="1">IF(O119=0,IF(O118=1,SUM(G$62:G118)," "),IF(N$37=1,Q119,IF(N$37=2,R119," ")))</f>
        <v xml:space="preserve"> </v>
      </c>
      <c r="H119" s="87">
        <v>0</v>
      </c>
      <c r="I119" s="87" t="str">
        <f t="shared" ca="1" si="59"/>
        <v xml:space="preserve"> </v>
      </c>
      <c r="J119" s="87">
        <f t="shared" ca="1" si="60"/>
        <v>0</v>
      </c>
      <c r="K119" s="87">
        <f t="shared" ca="1" si="41"/>
        <v>0</v>
      </c>
      <c r="L119" s="87">
        <v>0</v>
      </c>
      <c r="M119" s="87" t="str">
        <f t="shared" ca="1" si="61"/>
        <v xml:space="preserve"> </v>
      </c>
      <c r="N119" s="2">
        <v>58</v>
      </c>
      <c r="O119" s="2">
        <f t="shared" ca="1" si="34"/>
        <v>0</v>
      </c>
      <c r="P119" s="2">
        <f t="shared" ca="1" si="42"/>
        <v>20</v>
      </c>
      <c r="Q119" s="134">
        <f t="shared" ca="1" si="43"/>
        <v>0</v>
      </c>
      <c r="R119" s="134">
        <f t="shared" ca="1" si="44"/>
        <v>0</v>
      </c>
      <c r="S119" s="134">
        <f t="shared" ca="1" si="62"/>
        <v>0</v>
      </c>
      <c r="T119" s="134" t="str">
        <f t="shared" ca="1" si="63"/>
        <v xml:space="preserve"> </v>
      </c>
      <c r="U119" s="134" t="str">
        <f t="shared" ca="1" si="64"/>
        <v xml:space="preserve"> </v>
      </c>
      <c r="V119" s="134">
        <f t="shared" ca="1" si="77"/>
        <v>0</v>
      </c>
      <c r="W119" s="134">
        <f t="shared" ca="1" si="78"/>
        <v>0</v>
      </c>
      <c r="X119" s="134">
        <f t="shared" ca="1" si="65"/>
        <v>0</v>
      </c>
      <c r="Y119" s="134">
        <f t="shared" ca="1" si="66"/>
        <v>0</v>
      </c>
      <c r="Z119" s="134">
        <f t="shared" ca="1" si="45"/>
        <v>-1.8758328224066645E-12</v>
      </c>
      <c r="AA119" s="134">
        <f t="shared" ca="1" si="79"/>
        <v>0</v>
      </c>
      <c r="AB119" s="134">
        <f t="shared" ca="1" si="46"/>
        <v>0</v>
      </c>
      <c r="AC119" s="134">
        <f t="shared" ca="1" si="35"/>
        <v>0</v>
      </c>
      <c r="AD119" s="134"/>
      <c r="AE119" s="134">
        <f t="shared" ca="1" si="47"/>
        <v>0</v>
      </c>
      <c r="AF119" s="134">
        <f t="shared" ca="1" si="48"/>
        <v>0</v>
      </c>
      <c r="AG119" s="134">
        <f t="shared" ca="1" si="67"/>
        <v>0</v>
      </c>
      <c r="AH119" s="134">
        <f t="shared" ca="1" si="49"/>
        <v>0</v>
      </c>
      <c r="AI119" s="134">
        <f t="shared" ca="1" si="68"/>
        <v>0</v>
      </c>
      <c r="AJ119" s="134">
        <f t="shared" ca="1" si="50"/>
        <v>0</v>
      </c>
      <c r="AK119" s="134">
        <f t="shared" ca="1" si="51"/>
        <v>0</v>
      </c>
      <c r="AL119" s="134">
        <f t="shared" ca="1" si="80"/>
        <v>0</v>
      </c>
      <c r="AM119" s="134">
        <f t="shared" ca="1" si="81"/>
        <v>0</v>
      </c>
      <c r="AN119" s="132">
        <f t="shared" ca="1" si="69"/>
        <v>0</v>
      </c>
      <c r="AO119" s="132">
        <f t="shared" ca="1" si="52"/>
        <v>0</v>
      </c>
      <c r="AP119" s="2">
        <f t="shared" ca="1" si="70"/>
        <v>0</v>
      </c>
      <c r="AQ119" s="2">
        <f t="shared" ca="1" si="53"/>
        <v>0</v>
      </c>
      <c r="AR119" s="2">
        <f t="shared" ca="1" si="54"/>
        <v>0</v>
      </c>
      <c r="AS119" s="2">
        <f t="shared" ca="1" si="55"/>
        <v>30</v>
      </c>
      <c r="AT119" s="2">
        <f t="shared" si="56"/>
        <v>20</v>
      </c>
      <c r="AU119" s="2">
        <f t="shared" ca="1" si="71"/>
        <v>30</v>
      </c>
      <c r="AV119" s="2"/>
      <c r="AW119" s="2"/>
      <c r="AX119" s="2"/>
      <c r="AY119" s="2"/>
      <c r="AZ119" s="2"/>
      <c r="BA119" s="2">
        <f t="shared" ca="1" si="57"/>
        <v>0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5" customHeight="1">
      <c r="A120" s="4"/>
      <c r="B120" s="268" t="str">
        <f t="shared" ca="1" si="58"/>
        <v xml:space="preserve"> </v>
      </c>
      <c r="C120" s="268"/>
      <c r="D120" s="269" t="str">
        <f ca="1">IF(O120=0,IF(O119=1,SUM(D$62:F119)," "),IF(O120=0," ",IF(O121=1,D$62,IF(O121=0,D$4-D$62*(N$50-1)," "))))</f>
        <v xml:space="preserve"> </v>
      </c>
      <c r="E120" s="269"/>
      <c r="F120" s="269"/>
      <c r="G120" s="87" t="str">
        <f ca="1">IF(O120=0,IF(O119=1,SUM(G$62:G119)," "),IF(N$37=1,Q120,IF(N$37=2,R120," ")))</f>
        <v xml:space="preserve"> </v>
      </c>
      <c r="H120" s="87">
        <v>0</v>
      </c>
      <c r="I120" s="87" t="str">
        <f t="shared" ca="1" si="59"/>
        <v xml:space="preserve"> </v>
      </c>
      <c r="J120" s="87">
        <f t="shared" ca="1" si="60"/>
        <v>0</v>
      </c>
      <c r="K120" s="87">
        <f t="shared" ca="1" si="41"/>
        <v>0</v>
      </c>
      <c r="L120" s="87">
        <v>0</v>
      </c>
      <c r="M120" s="87" t="str">
        <f t="shared" ca="1" si="61"/>
        <v xml:space="preserve"> </v>
      </c>
      <c r="N120" s="2">
        <v>59</v>
      </c>
      <c r="O120" s="2">
        <f t="shared" ca="1" si="34"/>
        <v>0</v>
      </c>
      <c r="P120" s="2">
        <f t="shared" ca="1" si="42"/>
        <v>20</v>
      </c>
      <c r="Q120" s="134">
        <f t="shared" ca="1" si="43"/>
        <v>0</v>
      </c>
      <c r="R120" s="134">
        <f t="shared" ca="1" si="44"/>
        <v>0</v>
      </c>
      <c r="S120" s="134">
        <f t="shared" ca="1" si="62"/>
        <v>0</v>
      </c>
      <c r="T120" s="134" t="str">
        <f t="shared" ca="1" si="63"/>
        <v xml:space="preserve"> </v>
      </c>
      <c r="U120" s="134" t="str">
        <f t="shared" ca="1" si="64"/>
        <v xml:space="preserve"> </v>
      </c>
      <c r="V120" s="134">
        <f t="shared" ca="1" si="77"/>
        <v>0</v>
      </c>
      <c r="W120" s="134">
        <f t="shared" ca="1" si="78"/>
        <v>0</v>
      </c>
      <c r="X120" s="134">
        <f t="shared" ca="1" si="65"/>
        <v>0</v>
      </c>
      <c r="Y120" s="134">
        <f t="shared" ca="1" si="66"/>
        <v>0</v>
      </c>
      <c r="Z120" s="134">
        <f t="shared" ca="1" si="45"/>
        <v>-1.8758328224066645E-12</v>
      </c>
      <c r="AA120" s="134">
        <f t="shared" ca="1" si="79"/>
        <v>0</v>
      </c>
      <c r="AB120" s="134">
        <f t="shared" ca="1" si="46"/>
        <v>0</v>
      </c>
      <c r="AC120" s="134">
        <f t="shared" ca="1" si="35"/>
        <v>0</v>
      </c>
      <c r="AD120" s="134"/>
      <c r="AE120" s="134">
        <f t="shared" ca="1" si="47"/>
        <v>0</v>
      </c>
      <c r="AF120" s="134">
        <f t="shared" ca="1" si="48"/>
        <v>0</v>
      </c>
      <c r="AG120" s="134">
        <f t="shared" ca="1" si="67"/>
        <v>0</v>
      </c>
      <c r="AH120" s="134">
        <f t="shared" ca="1" si="49"/>
        <v>0</v>
      </c>
      <c r="AI120" s="134">
        <f t="shared" ca="1" si="68"/>
        <v>0</v>
      </c>
      <c r="AJ120" s="134">
        <f t="shared" ca="1" si="50"/>
        <v>0</v>
      </c>
      <c r="AK120" s="134">
        <f t="shared" ca="1" si="51"/>
        <v>0</v>
      </c>
      <c r="AL120" s="134">
        <f t="shared" ca="1" si="80"/>
        <v>0</v>
      </c>
      <c r="AM120" s="134">
        <f t="shared" ca="1" si="81"/>
        <v>0</v>
      </c>
      <c r="AN120" s="132">
        <f t="shared" ca="1" si="69"/>
        <v>0</v>
      </c>
      <c r="AO120" s="132">
        <f t="shared" ca="1" si="52"/>
        <v>0</v>
      </c>
      <c r="AP120" s="2">
        <f t="shared" ca="1" si="70"/>
        <v>0</v>
      </c>
      <c r="AQ120" s="2">
        <f t="shared" ca="1" si="53"/>
        <v>0</v>
      </c>
      <c r="AR120" s="2">
        <f t="shared" ca="1" si="54"/>
        <v>0</v>
      </c>
      <c r="AS120" s="2">
        <f t="shared" ca="1" si="55"/>
        <v>30</v>
      </c>
      <c r="AT120" s="2">
        <f t="shared" si="56"/>
        <v>20</v>
      </c>
      <c r="AU120" s="2">
        <f t="shared" ca="1" si="71"/>
        <v>30</v>
      </c>
      <c r="AV120" s="2"/>
      <c r="AW120" s="2"/>
      <c r="AX120" s="2"/>
      <c r="AY120" s="2"/>
      <c r="AZ120" s="2"/>
      <c r="BA120" s="2">
        <f t="shared" ca="1" si="57"/>
        <v>0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5" customHeight="1">
      <c r="A121" s="4"/>
      <c r="B121" s="268" t="str">
        <f t="shared" ca="1" si="58"/>
        <v xml:space="preserve"> </v>
      </c>
      <c r="C121" s="268"/>
      <c r="D121" s="269" t="str">
        <f ca="1">IF(O121=0,IF(O120=1,SUM(D$62:F120)," "),IF(O121=0," ",IF(O122=1,D$62,IF(O122=0,D$4-D$62*(N$50-1)," "))))</f>
        <v xml:space="preserve"> </v>
      </c>
      <c r="E121" s="269"/>
      <c r="F121" s="269"/>
      <c r="G121" s="87" t="str">
        <f ca="1">IF(O121=0,IF(O120=1,SUM(G$62:G120)," "),IF(N$37=1,Q121,IF(N$37=2,R121," ")))</f>
        <v xml:space="preserve"> </v>
      </c>
      <c r="H121" s="87">
        <v>0</v>
      </c>
      <c r="I121" s="87" t="str">
        <f t="shared" ca="1" si="59"/>
        <v xml:space="preserve"> </v>
      </c>
      <c r="J121" s="87">
        <f t="shared" ca="1" si="60"/>
        <v>0</v>
      </c>
      <c r="K121" s="87">
        <f t="shared" ca="1" si="41"/>
        <v>0</v>
      </c>
      <c r="L121" s="87">
        <v>0</v>
      </c>
      <c r="M121" s="87" t="str">
        <f t="shared" ca="1" si="61"/>
        <v xml:space="preserve"> </v>
      </c>
      <c r="N121" s="2">
        <v>60</v>
      </c>
      <c r="O121" s="2">
        <f t="shared" ca="1" si="34"/>
        <v>0</v>
      </c>
      <c r="P121" s="2">
        <f t="shared" ca="1" si="42"/>
        <v>20</v>
      </c>
      <c r="Q121" s="134">
        <f t="shared" ca="1" si="43"/>
        <v>0</v>
      </c>
      <c r="R121" s="134">
        <f t="shared" ca="1" si="44"/>
        <v>0</v>
      </c>
      <c r="S121" s="134">
        <f t="shared" ca="1" si="62"/>
        <v>0</v>
      </c>
      <c r="T121" s="134" t="str">
        <f t="shared" ca="1" si="63"/>
        <v xml:space="preserve"> </v>
      </c>
      <c r="U121" s="134" t="str">
        <f t="shared" ca="1" si="64"/>
        <v xml:space="preserve"> </v>
      </c>
      <c r="V121" s="134">
        <f t="shared" ca="1" si="77"/>
        <v>0</v>
      </c>
      <c r="W121" s="134">
        <f t="shared" ca="1" si="78"/>
        <v>0</v>
      </c>
      <c r="X121" s="134">
        <f t="shared" ca="1" si="65"/>
        <v>0</v>
      </c>
      <c r="Y121" s="134">
        <f t="shared" ca="1" si="66"/>
        <v>0</v>
      </c>
      <c r="Z121" s="134">
        <f t="shared" ca="1" si="45"/>
        <v>-1.8758328224066645E-12</v>
      </c>
      <c r="AA121" s="134">
        <f t="shared" ca="1" si="79"/>
        <v>0</v>
      </c>
      <c r="AB121" s="134">
        <f t="shared" ca="1" si="46"/>
        <v>0</v>
      </c>
      <c r="AC121" s="134">
        <f t="shared" ca="1" si="35"/>
        <v>0</v>
      </c>
      <c r="AD121" s="134"/>
      <c r="AE121" s="134">
        <f t="shared" ca="1" si="47"/>
        <v>0</v>
      </c>
      <c r="AF121" s="134">
        <f t="shared" ca="1" si="48"/>
        <v>0</v>
      </c>
      <c r="AG121" s="134">
        <f t="shared" ca="1" si="67"/>
        <v>0</v>
      </c>
      <c r="AH121" s="134">
        <f t="shared" ca="1" si="49"/>
        <v>0</v>
      </c>
      <c r="AI121" s="134">
        <f t="shared" ca="1" si="68"/>
        <v>0</v>
      </c>
      <c r="AJ121" s="134">
        <f t="shared" ca="1" si="50"/>
        <v>0</v>
      </c>
      <c r="AK121" s="134">
        <f t="shared" ca="1" si="51"/>
        <v>0</v>
      </c>
      <c r="AL121" s="134">
        <f t="shared" ca="1" si="80"/>
        <v>0</v>
      </c>
      <c r="AM121" s="134">
        <f t="shared" ca="1" si="81"/>
        <v>0</v>
      </c>
      <c r="AN121" s="132">
        <f t="shared" ca="1" si="69"/>
        <v>0</v>
      </c>
      <c r="AO121" s="132">
        <f t="shared" ca="1" si="52"/>
        <v>0</v>
      </c>
      <c r="AP121" s="2">
        <f t="shared" ca="1" si="70"/>
        <v>0</v>
      </c>
      <c r="AQ121" s="2">
        <f t="shared" ca="1" si="53"/>
        <v>0</v>
      </c>
      <c r="AR121" s="2">
        <f t="shared" ca="1" si="54"/>
        <v>0</v>
      </c>
      <c r="AS121" s="2">
        <f t="shared" ca="1" si="55"/>
        <v>30</v>
      </c>
      <c r="AT121" s="2">
        <f t="shared" si="56"/>
        <v>20</v>
      </c>
      <c r="AU121" s="2">
        <f t="shared" ca="1" si="71"/>
        <v>30</v>
      </c>
      <c r="AV121" s="2"/>
      <c r="AW121" s="2"/>
      <c r="AX121" s="2"/>
      <c r="AY121" s="2"/>
      <c r="AZ121" s="2"/>
      <c r="BA121" s="2">
        <f t="shared" ca="1" si="57"/>
        <v>0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24" customFormat="1" ht="15" customHeight="1">
      <c r="A122" s="4"/>
      <c r="B122" s="268" t="str">
        <f t="shared" ca="1" si="58"/>
        <v xml:space="preserve"> </v>
      </c>
      <c r="C122" s="268"/>
      <c r="D122" s="269" t="str">
        <f ca="1">IF(O122=0,IF(O121=1,SUM(D$62:F121)," "),IF(O122=0," ",IF(O123=1,D$62,IF(O123=0,D$4-D$62*(N$50-1)," "))))</f>
        <v xml:space="preserve"> </v>
      </c>
      <c r="E122" s="269"/>
      <c r="F122" s="269"/>
      <c r="G122" s="87" t="str">
        <f ca="1">IF(O122=0,IF(O121=1,SUM(G$62:G121)," "),IF(N$37=1,Q122,IF(N$37=2,R122," ")))</f>
        <v xml:space="preserve"> </v>
      </c>
      <c r="H122" s="87">
        <v>0</v>
      </c>
      <c r="I122" s="87" t="str">
        <f t="shared" ca="1" si="59"/>
        <v xml:space="preserve"> </v>
      </c>
      <c r="J122" s="87">
        <f t="shared" ca="1" si="60"/>
        <v>0</v>
      </c>
      <c r="K122" s="87">
        <f t="shared" ca="1" si="41"/>
        <v>0</v>
      </c>
      <c r="L122" s="87">
        <v>0</v>
      </c>
      <c r="M122" s="87" t="str">
        <f t="shared" ca="1" si="61"/>
        <v xml:space="preserve"> </v>
      </c>
      <c r="N122" s="2">
        <v>61</v>
      </c>
      <c r="O122" s="2">
        <f t="shared" ca="1" si="34"/>
        <v>0</v>
      </c>
      <c r="P122" s="2">
        <f t="shared" ca="1" si="42"/>
        <v>20</v>
      </c>
      <c r="Q122" s="134">
        <f t="shared" ca="1" si="43"/>
        <v>0</v>
      </c>
      <c r="R122" s="134">
        <f t="shared" ca="1" si="44"/>
        <v>0</v>
      </c>
      <c r="S122" s="134">
        <f t="shared" ca="1" si="62"/>
        <v>0</v>
      </c>
      <c r="T122" s="134" t="str">
        <f t="shared" ca="1" si="63"/>
        <v xml:space="preserve"> </v>
      </c>
      <c r="U122" s="134" t="str">
        <f t="shared" ca="1" si="64"/>
        <v xml:space="preserve"> </v>
      </c>
      <c r="V122" s="134">
        <f ca="1">IF(O123=1,S121*D$5*20/36000+S122*D$5*10/36000,IF(O123=0,IF(O122=0,0,IF(D$10&gt;20,S121*D$5*20/36000+S122*D$5*(R$48-20)/36000,S122*D$5*R$48/36000))))</f>
        <v>0</v>
      </c>
      <c r="W122" s="134">
        <f ca="1">IF(O123=1,S121*D$5*20/36000+S122*D$5*10/36000,IF(O123=0,IF(O122=0,0,IF(D$10&gt;20,S121*D$5*20/36000+S122*D$5*(R$48-20)/36000,S122*D$5*R$48/36000))))</f>
        <v>0</v>
      </c>
      <c r="X122" s="134">
        <f ca="1">IF(O123=1,D4*D$5*20/36000+D4*D$5*10/36000,IF(O123=0,IF(O122=0,0,D4*D$5*R$48/36000)))</f>
        <v>0</v>
      </c>
      <c r="Y122" s="134">
        <f t="shared" ca="1" si="66"/>
        <v>0</v>
      </c>
      <c r="Z122" s="134">
        <f t="shared" ca="1" si="45"/>
        <v>-1.8758328224066645E-12</v>
      </c>
      <c r="AA122" s="134">
        <f ca="1">IF(O123=1,Z121*D$5*20/36000+Z122*D$5*10/36000,IF(O123=0,IF(O122=0,0,IF(D$10&gt;20,Z121*D$5*20/36000+Z122*D$5*(R$48-20)/36000,Z122*D$5*R$48/36000))))</f>
        <v>0</v>
      </c>
      <c r="AB122" s="134">
        <f t="shared" ca="1" si="46"/>
        <v>0</v>
      </c>
      <c r="AC122" s="134">
        <f ca="1">S122*R$48</f>
        <v>0</v>
      </c>
      <c r="AD122" s="134"/>
      <c r="AE122" s="134">
        <f t="shared" ca="1" si="47"/>
        <v>0</v>
      </c>
      <c r="AF122" s="134">
        <f t="shared" ca="1" si="48"/>
        <v>0</v>
      </c>
      <c r="AG122" s="134">
        <f ca="1">IF(O123=1,D4*H$48*20/36000+D4*H$48*10/36000,IF(O123=0,IF(O122=0,0,D4*H$48*R$48/36000)))</f>
        <v>0</v>
      </c>
      <c r="AH122" s="134">
        <f t="shared" ca="1" si="49"/>
        <v>0</v>
      </c>
      <c r="AI122" s="134">
        <f ca="1">IF(O123=1,Z121*H$48*20/36000+Z122*H$48*10/36000,IF(O123=0,IF(O122=0,0,Z122*H$48*R$48/36000)))</f>
        <v>0</v>
      </c>
      <c r="AJ122" s="134">
        <f t="shared" ca="1" si="50"/>
        <v>0</v>
      </c>
      <c r="AK122" s="134">
        <f t="shared" ca="1" si="51"/>
        <v>0</v>
      </c>
      <c r="AL122" s="134">
        <f ca="1">IF(O123=1,AK121*H$48*20/36000+AK122*H$48*10/36000,IF(O123=0,IF(O122=0,0,AK122*H$48*R$48/36000)))</f>
        <v>0</v>
      </c>
      <c r="AM122" s="134">
        <f ca="1">IF(O123=1,AK121*H$48*20/36000+AK122*H$48*10/36000,IF(O123=0,IF(O122=0,0,AK122*H$48*R$48/36000)))</f>
        <v>0</v>
      </c>
      <c r="AN122" s="132">
        <f t="shared" ca="1" si="69"/>
        <v>0</v>
      </c>
      <c r="AO122" s="132">
        <f t="shared" ca="1" si="52"/>
        <v>0</v>
      </c>
      <c r="AP122" s="2">
        <f t="shared" ca="1" si="70"/>
        <v>0</v>
      </c>
      <c r="AQ122" s="2">
        <f t="shared" ca="1" si="53"/>
        <v>0</v>
      </c>
      <c r="AR122" s="2">
        <f t="shared" ca="1" si="54"/>
        <v>0</v>
      </c>
      <c r="AS122" s="2">
        <f t="shared" ca="1" si="55"/>
        <v>30</v>
      </c>
      <c r="AT122" s="2">
        <f t="shared" si="56"/>
        <v>20</v>
      </c>
      <c r="AU122" s="2">
        <f t="shared" ca="1" si="71"/>
        <v>30</v>
      </c>
      <c r="AV122" s="2"/>
      <c r="AW122" s="2"/>
      <c r="AX122" s="2"/>
      <c r="AY122" s="2"/>
      <c r="AZ122" s="2"/>
      <c r="BA122" s="2">
        <f t="shared" ca="1" si="57"/>
        <v>0</v>
      </c>
      <c r="BB122" s="2"/>
      <c r="BC122" s="2"/>
      <c r="BD122" s="2"/>
      <c r="BE122" s="2"/>
      <c r="BF122" s="2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</row>
    <row r="123" spans="1:143" s="175" customFormat="1" ht="15" customHeight="1">
      <c r="B123" s="568" t="s">
        <v>269</v>
      </c>
      <c r="C123" s="568"/>
      <c r="D123" s="567">
        <f ca="1">SUM(D62:F121)</f>
        <v>9999.9999999999982</v>
      </c>
      <c r="E123" s="567"/>
      <c r="F123" s="567"/>
      <c r="G123" s="567">
        <f ca="1">SUM(G62:H121)</f>
        <v>2555.8568427777773</v>
      </c>
      <c r="H123" s="567"/>
      <c r="I123" s="197">
        <f ca="1">SUM(I62:I121)</f>
        <v>12555.856842777777</v>
      </c>
      <c r="J123" s="197">
        <f ca="1">SUM(J62:J121)</f>
        <v>6993.0062063167761</v>
      </c>
      <c r="K123" s="567">
        <f ca="1">SUM(K62:L121)</f>
        <v>1679.8550198888886</v>
      </c>
      <c r="L123" s="567"/>
      <c r="M123" s="197">
        <f ca="1">SUM(M62:M121)</f>
        <v>8672.8612262056613</v>
      </c>
      <c r="N123" s="198"/>
      <c r="O123" s="177"/>
      <c r="P123" s="177"/>
      <c r="Q123" s="178"/>
      <c r="R123" s="178"/>
      <c r="S123" s="178"/>
      <c r="T123" s="178"/>
      <c r="U123" s="178"/>
      <c r="V123" s="178">
        <f ca="1">SUM(V62:V122)</f>
        <v>1277.9284213888886</v>
      </c>
      <c r="W123" s="178">
        <f ca="1">SUM(W62:W122)</f>
        <v>1277.9284213888886</v>
      </c>
      <c r="X123" s="178">
        <f ca="1">SUM(X62:X122)</f>
        <v>2412.3888888888887</v>
      </c>
      <c r="Y123" s="178">
        <f ca="1">SUM(Y62:Y122)</f>
        <v>2510</v>
      </c>
      <c r="Z123" s="178"/>
      <c r="AA123" s="178"/>
      <c r="AB123" s="178"/>
      <c r="AC123" s="178">
        <f ca="1">SUM(AC62:AC122)</f>
        <v>2850536.4</v>
      </c>
      <c r="AD123" s="178"/>
      <c r="AE123" s="178">
        <f ca="1">SUM(AE62:AE122)</f>
        <v>0</v>
      </c>
      <c r="AF123" s="178">
        <f ca="1">SUM(AF62:AF122)</f>
        <v>0</v>
      </c>
      <c r="AG123" s="178">
        <f ca="1">SUM(AG62:AG122)</f>
        <v>0</v>
      </c>
      <c r="AH123" s="178">
        <f ca="1">SUM(AH62:AH122)</f>
        <v>0</v>
      </c>
      <c r="AI123" s="178"/>
      <c r="AJ123" s="178"/>
      <c r="AK123" s="178">
        <f ca="1">SUM(AK62:AK122)</f>
        <v>92499.3</v>
      </c>
      <c r="AL123" s="178">
        <f ca="1">SUM(AL62:AL122)</f>
        <v>0</v>
      </c>
      <c r="AM123" s="178">
        <f ca="1">SUM(AM62:AM122)</f>
        <v>0</v>
      </c>
      <c r="AN123" s="178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</row>
    <row r="124" spans="1:143" ht="66.75" hidden="1" customHeight="1">
      <c r="A124" s="28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29"/>
      <c r="O124" s="29"/>
      <c r="P124" s="29"/>
      <c r="Q124" s="29"/>
      <c r="R124" s="29"/>
    </row>
    <row r="125" spans="1:143" ht="9" hidden="1" customHeight="1">
      <c r="A125" s="28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</row>
    <row r="126" spans="1:143" ht="6.75" hidden="1" customHeight="1">
      <c r="A126" s="28"/>
      <c r="B126" s="301"/>
      <c r="C126" s="301"/>
      <c r="D126" s="301"/>
      <c r="E126" s="301"/>
      <c r="F126" s="301"/>
      <c r="G126" s="301"/>
      <c r="H126" s="301"/>
      <c r="I126" s="301"/>
      <c r="J126" s="79"/>
      <c r="K126" s="79"/>
      <c r="L126" s="79"/>
      <c r="M126" s="79"/>
      <c r="N126" s="29"/>
      <c r="Q126" s="29"/>
      <c r="R126" s="29"/>
    </row>
    <row r="127" spans="1:143" ht="14.25" hidden="1" customHeight="1">
      <c r="A127" s="4"/>
      <c r="B127" s="2"/>
      <c r="C127" s="2"/>
      <c r="D127" s="2"/>
      <c r="E127" s="2"/>
      <c r="F127" s="2"/>
      <c r="G127" s="2"/>
      <c r="H127" s="30"/>
      <c r="I127" s="30"/>
      <c r="J127" s="30"/>
      <c r="K127" s="30"/>
      <c r="L127" s="30"/>
      <c r="M127" s="30"/>
      <c r="N127" s="30"/>
      <c r="O127" s="30"/>
      <c r="P127" s="30"/>
      <c r="Q127" s="30"/>
    </row>
    <row r="128" spans="1:143" ht="5.25" hidden="1" customHeight="1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70" s="19" customFormat="1" ht="19.5" hidden="1" customHeight="1">
      <c r="A129" s="4"/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2"/>
      <c r="O129" s="29"/>
      <c r="P129" s="29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</row>
    <row r="130" spans="1:70" s="19" customFormat="1" ht="30" hidden="1" customHeight="1">
      <c r="A130" s="31"/>
      <c r="B130" s="305"/>
      <c r="C130" s="305"/>
      <c r="D130" s="305"/>
      <c r="E130" s="305"/>
      <c r="F130" s="305"/>
      <c r="G130" s="305"/>
      <c r="H130" s="305"/>
      <c r="I130" s="305"/>
      <c r="J130" s="305"/>
      <c r="K130" s="305"/>
      <c r="L130" s="305"/>
      <c r="M130" s="305"/>
      <c r="N130" s="2"/>
      <c r="O130" s="29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</row>
    <row r="131" spans="1:70" s="19" customFormat="1" ht="5.25" hidden="1" customHeight="1">
      <c r="A131" s="3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2"/>
      <c r="O131" s="300"/>
      <c r="P131" s="300"/>
      <c r="Q131" s="300"/>
      <c r="R131" s="300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</row>
    <row r="132" spans="1:70" s="19" customFormat="1" ht="12.75" hidden="1" customHeight="1">
      <c r="A132" s="31"/>
      <c r="B132" s="302"/>
      <c r="C132" s="302"/>
      <c r="D132" s="302"/>
      <c r="E132" s="302"/>
      <c r="F132" s="302"/>
      <c r="G132" s="302"/>
      <c r="H132" s="302"/>
      <c r="I132" s="302"/>
      <c r="J132" s="302"/>
      <c r="K132" s="302"/>
      <c r="L132" s="199"/>
      <c r="M132" s="199"/>
      <c r="N132" s="2"/>
      <c r="O132" s="2"/>
      <c r="P132" s="2"/>
      <c r="Q132" s="2"/>
      <c r="R132" s="2"/>
      <c r="S132" s="2"/>
      <c r="T132" s="2"/>
      <c r="U132" s="2"/>
      <c r="V132" s="2" t="s">
        <v>42</v>
      </c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</row>
    <row r="133" spans="1:70" s="34" customFormat="1" ht="25.5" hidden="1" customHeight="1">
      <c r="A133" s="32">
        <f t="shared" ref="A133:A139" si="82">IF(LEFT(B133,1)="I",1,0)</f>
        <v>0</v>
      </c>
      <c r="B133" s="299"/>
      <c r="C133" s="299"/>
      <c r="D133" s="299"/>
      <c r="E133" s="299"/>
      <c r="F133" s="299"/>
      <c r="G133" s="299"/>
      <c r="H133" s="299"/>
      <c r="I133" s="299"/>
      <c r="J133" s="67"/>
      <c r="K133" s="67"/>
      <c r="L133" s="67"/>
      <c r="M133" s="67"/>
      <c r="N133" s="137"/>
      <c r="O133" s="138"/>
      <c r="P133" s="138"/>
      <c r="Q133" s="138"/>
      <c r="R133" s="138"/>
      <c r="S133" s="138"/>
      <c r="T133" s="138"/>
      <c r="U133" s="138"/>
      <c r="V133" s="138" t="s">
        <v>43</v>
      </c>
      <c r="W133" s="138" t="s">
        <v>43</v>
      </c>
      <c r="X133" s="138"/>
      <c r="Y133" s="138"/>
      <c r="Z133" s="138"/>
      <c r="AA133" s="138"/>
      <c r="AB133" s="138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</row>
    <row r="134" spans="1:70" s="34" customFormat="1" ht="25.5" hidden="1" customHeight="1">
      <c r="A134" s="32">
        <f t="shared" si="82"/>
        <v>0</v>
      </c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137"/>
      <c r="O134" s="139"/>
      <c r="P134" s="139"/>
      <c r="Q134" s="139"/>
      <c r="R134" s="139"/>
      <c r="S134" s="139"/>
      <c r="T134" s="139"/>
      <c r="U134" s="139"/>
      <c r="V134" s="139" t="s">
        <v>45</v>
      </c>
      <c r="W134" s="139" t="s">
        <v>45</v>
      </c>
      <c r="X134" s="139"/>
      <c r="Y134" s="139"/>
      <c r="Z134" s="139"/>
      <c r="AA134" s="139"/>
      <c r="AB134" s="139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</row>
    <row r="135" spans="1:70" s="34" customFormat="1" ht="25.5" hidden="1" customHeight="1">
      <c r="A135" s="32">
        <f t="shared" si="82"/>
        <v>0</v>
      </c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137"/>
      <c r="O135" s="139"/>
      <c r="P135" s="139"/>
      <c r="Q135" s="139"/>
      <c r="R135" s="139"/>
      <c r="S135" s="139"/>
      <c r="T135" s="139"/>
      <c r="U135" s="139"/>
      <c r="V135" s="138" t="s">
        <v>48</v>
      </c>
      <c r="W135" s="138" t="s">
        <v>48</v>
      </c>
      <c r="X135" s="138"/>
      <c r="Y135" s="138"/>
      <c r="Z135" s="138"/>
      <c r="AA135" s="138"/>
      <c r="AB135" s="138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</row>
    <row r="136" spans="1:70" s="34" customFormat="1" ht="25.5" hidden="1" customHeight="1">
      <c r="A136" s="32">
        <f t="shared" si="82"/>
        <v>0</v>
      </c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137"/>
      <c r="O136" s="139"/>
      <c r="P136" s="139"/>
      <c r="Q136" s="139"/>
      <c r="R136" s="139"/>
      <c r="S136" s="140"/>
      <c r="T136" s="140"/>
      <c r="U136" s="140"/>
      <c r="V136" s="139" t="s">
        <v>98</v>
      </c>
      <c r="W136" s="139" t="s">
        <v>98</v>
      </c>
      <c r="X136" s="139"/>
      <c r="Y136" s="139"/>
      <c r="Z136" s="139"/>
      <c r="AA136" s="139"/>
      <c r="AB136" s="139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</row>
    <row r="137" spans="1:70" s="34" customFormat="1" ht="25.5" hidden="1" customHeight="1">
      <c r="A137" s="32">
        <f t="shared" si="82"/>
        <v>0</v>
      </c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137"/>
      <c r="O137" s="139"/>
      <c r="P137" s="139"/>
      <c r="Q137" s="139"/>
      <c r="R137" s="139"/>
      <c r="S137" s="139"/>
      <c r="T137" s="139"/>
      <c r="U137" s="139"/>
      <c r="V137" s="139" t="s">
        <v>54</v>
      </c>
      <c r="W137" s="139" t="s">
        <v>55</v>
      </c>
      <c r="X137" s="139"/>
      <c r="Y137" s="139"/>
      <c r="Z137" s="139"/>
      <c r="AA137" s="139"/>
      <c r="AB137" s="139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</row>
    <row r="138" spans="1:70" s="34" customFormat="1" ht="25.5" hidden="1" customHeight="1">
      <c r="A138" s="32">
        <f t="shared" si="82"/>
        <v>0</v>
      </c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137"/>
      <c r="O138" s="139"/>
      <c r="P138" s="139"/>
      <c r="Q138" s="139"/>
      <c r="R138" s="139"/>
      <c r="S138" s="139"/>
      <c r="T138" s="139"/>
      <c r="U138" s="139"/>
      <c r="V138" s="139" t="s">
        <v>106</v>
      </c>
      <c r="W138" s="139" t="s">
        <v>106</v>
      </c>
      <c r="X138" s="139"/>
      <c r="Y138" s="139"/>
      <c r="Z138" s="139"/>
      <c r="AA138" s="139"/>
      <c r="AB138" s="139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</row>
    <row r="139" spans="1:70" s="34" customFormat="1" ht="25.5" hidden="1" customHeight="1">
      <c r="A139" s="32">
        <f t="shared" si="82"/>
        <v>0</v>
      </c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137"/>
      <c r="O139" s="139"/>
      <c r="P139" s="139"/>
      <c r="Q139" s="139"/>
      <c r="R139" s="139"/>
      <c r="S139" s="139"/>
      <c r="T139" s="139"/>
      <c r="U139" s="139"/>
      <c r="V139" s="138" t="s">
        <v>61</v>
      </c>
      <c r="W139" s="138" t="s">
        <v>62</v>
      </c>
      <c r="X139" s="138"/>
      <c r="Y139" s="138"/>
      <c r="Z139" s="138"/>
      <c r="AA139" s="138"/>
      <c r="AB139" s="138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</row>
    <row r="140" spans="1:70" s="34" customFormat="1" ht="25.5" hidden="1" customHeight="1">
      <c r="A140" s="32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137"/>
      <c r="O140" s="139"/>
      <c r="P140" s="139"/>
      <c r="Q140" s="139"/>
      <c r="R140" s="139"/>
      <c r="S140" s="139"/>
      <c r="T140" s="189"/>
      <c r="U140" s="189"/>
      <c r="V140" s="139"/>
      <c r="W140" s="138"/>
      <c r="X140" s="138"/>
      <c r="Y140" s="138"/>
      <c r="Z140" s="138"/>
      <c r="AA140" s="138"/>
      <c r="AB140" s="138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</row>
    <row r="141" spans="1:70" s="34" customFormat="1" ht="25.5" hidden="1" customHeight="1">
      <c r="A141" s="32">
        <f t="shared" ref="A141:A156" si="83">IF(LEFT(B141,1)="I",1,0)</f>
        <v>0</v>
      </c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137"/>
      <c r="O141" s="139"/>
      <c r="P141" s="139"/>
      <c r="Q141" s="139"/>
      <c r="R141" s="139"/>
      <c r="S141" s="139"/>
      <c r="T141" s="139"/>
      <c r="U141" s="139"/>
      <c r="V141" s="139" t="s">
        <v>36</v>
      </c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</row>
    <row r="142" spans="1:70" s="34" customFormat="1" ht="25.5" hidden="1" customHeight="1">
      <c r="A142" s="32">
        <f t="shared" si="83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137"/>
      <c r="O142" s="139"/>
      <c r="P142" s="139"/>
      <c r="Q142" s="139"/>
      <c r="R142" s="139"/>
      <c r="S142" s="139"/>
      <c r="T142" s="139"/>
      <c r="U142" s="139"/>
      <c r="V142" s="139" t="s">
        <v>36</v>
      </c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70" s="34" customFormat="1" ht="25.5" hidden="1" customHeight="1">
      <c r="A143" s="32">
        <f t="shared" si="83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137"/>
      <c r="O143" s="139"/>
      <c r="P143" s="139"/>
      <c r="Q143" s="139"/>
      <c r="R143" s="139"/>
      <c r="S143" s="138"/>
      <c r="T143" s="138"/>
      <c r="U143" s="138"/>
      <c r="V143" s="139" t="s">
        <v>36</v>
      </c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70" s="34" customFormat="1" ht="25.5" hidden="1" customHeight="1">
      <c r="A144" s="32">
        <f t="shared" si="83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39"/>
      <c r="T144" s="139"/>
      <c r="U144" s="139"/>
      <c r="V144" s="139" t="s">
        <v>36</v>
      </c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83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7" t="s">
        <v>36</v>
      </c>
      <c r="W145" s="138" t="s">
        <v>48</v>
      </c>
      <c r="X145" s="138"/>
      <c r="Y145" s="138"/>
      <c r="Z145" s="138"/>
      <c r="AA145" s="138"/>
      <c r="AB145" s="138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83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39"/>
      <c r="T146" s="139"/>
      <c r="U146" s="139"/>
      <c r="V146" s="137" t="s">
        <v>36</v>
      </c>
      <c r="W146" s="139" t="s">
        <v>98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83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8"/>
      <c r="T147" s="138"/>
      <c r="U147" s="138"/>
      <c r="V147" s="137" t="s">
        <v>36</v>
      </c>
      <c r="W147" s="139" t="s">
        <v>54</v>
      </c>
      <c r="X147" s="139"/>
      <c r="Y147" s="139"/>
      <c r="Z147" s="139"/>
      <c r="AA147" s="139"/>
      <c r="AB147" s="139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>
        <f t="shared" si="83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7"/>
      <c r="T148" s="137"/>
      <c r="U148" s="137"/>
      <c r="V148" s="137" t="s">
        <v>36</v>
      </c>
      <c r="W148" s="139" t="s">
        <v>73</v>
      </c>
      <c r="X148" s="139"/>
      <c r="Y148" s="139"/>
      <c r="Z148" s="139"/>
      <c r="AA148" s="139"/>
      <c r="AB148" s="139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si="83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9"/>
      <c r="T149" s="139"/>
      <c r="U149" s="139"/>
      <c r="V149" s="139" t="s">
        <v>36</v>
      </c>
      <c r="W149" s="139" t="s">
        <v>105</v>
      </c>
      <c r="X149" s="139"/>
      <c r="Y149" s="139"/>
      <c r="Z149" s="139"/>
      <c r="AA149" s="139"/>
      <c r="AB149" s="139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>
        <f t="shared" si="83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9"/>
      <c r="P150" s="139"/>
      <c r="Q150" s="139"/>
      <c r="R150" s="139"/>
      <c r="S150" s="138"/>
      <c r="T150" s="138"/>
      <c r="U150" s="138"/>
      <c r="V150" s="138" t="s">
        <v>36</v>
      </c>
      <c r="W150" s="137" t="s">
        <v>36</v>
      </c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si="83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8"/>
      <c r="P151" s="138"/>
      <c r="Q151" s="138"/>
      <c r="R151" s="138"/>
      <c r="S151" s="138"/>
      <c r="T151" s="138"/>
      <c r="U151" s="138"/>
      <c r="V151" s="138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83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8"/>
      <c r="T152" s="138"/>
      <c r="U152" s="138"/>
      <c r="V152" s="138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83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8"/>
      <c r="T153" s="138"/>
      <c r="U153" s="138"/>
      <c r="V153" s="138" t="s">
        <v>36</v>
      </c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83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9"/>
      <c r="R154" s="139"/>
      <c r="S154" s="138"/>
      <c r="T154" s="138"/>
      <c r="U154" s="138"/>
      <c r="V154" s="138" t="s">
        <v>36</v>
      </c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83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9"/>
      <c r="P155" s="139"/>
      <c r="Q155" s="138"/>
      <c r="R155" s="138"/>
      <c r="S155" s="138"/>
      <c r="T155" s="138"/>
      <c r="U155" s="138"/>
      <c r="V155" s="138" t="s">
        <v>36</v>
      </c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  <row r="156" spans="1:70" s="34" customFormat="1" ht="25.5" hidden="1" customHeight="1">
      <c r="A156" s="32">
        <f t="shared" si="83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137"/>
      <c r="O156" s="138"/>
      <c r="P156" s="138"/>
      <c r="Q156" s="138"/>
      <c r="R156" s="138"/>
      <c r="S156" s="138"/>
      <c r="T156" s="138"/>
      <c r="U156" s="138"/>
      <c r="V156" s="138" t="s">
        <v>36</v>
      </c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</row>
  </sheetData>
  <sheetProtection password="C7A8" sheet="1"/>
  <mergeCells count="231">
    <mergeCell ref="D106:F106"/>
    <mergeCell ref="D59:F59"/>
    <mergeCell ref="J60:M60"/>
    <mergeCell ref="D58:G58"/>
    <mergeCell ref="D57:G57"/>
    <mergeCell ref="D61:F61"/>
    <mergeCell ref="D60:I60"/>
    <mergeCell ref="C30:F30"/>
    <mergeCell ref="B66:C66"/>
    <mergeCell ref="B90:C90"/>
    <mergeCell ref="D90:F90"/>
    <mergeCell ref="B91:C91"/>
    <mergeCell ref="D91:F91"/>
    <mergeCell ref="D94:F94"/>
    <mergeCell ref="D96:F96"/>
    <mergeCell ref="B93:C93"/>
    <mergeCell ref="B98:C98"/>
    <mergeCell ref="B92:C92"/>
    <mergeCell ref="D92:F92"/>
    <mergeCell ref="D98:F98"/>
    <mergeCell ref="B95:C95"/>
    <mergeCell ref="D93:F93"/>
    <mergeCell ref="B97:C97"/>
    <mergeCell ref="B103:C103"/>
    <mergeCell ref="Q131:R131"/>
    <mergeCell ref="B133:I133"/>
    <mergeCell ref="B149:M149"/>
    <mergeCell ref="B144:M144"/>
    <mergeCell ref="B139:M139"/>
    <mergeCell ref="B155:M155"/>
    <mergeCell ref="B143:M143"/>
    <mergeCell ref="B151:M151"/>
    <mergeCell ref="B153:M153"/>
    <mergeCell ref="B150:M150"/>
    <mergeCell ref="B146:M146"/>
    <mergeCell ref="B147:M147"/>
    <mergeCell ref="B140:M140"/>
    <mergeCell ref="B148:M148"/>
    <mergeCell ref="O131:P131"/>
    <mergeCell ref="B135:M135"/>
    <mergeCell ref="B132:K132"/>
    <mergeCell ref="B134:M134"/>
    <mergeCell ref="B136:M136"/>
    <mergeCell ref="B154:M154"/>
    <mergeCell ref="B145:M145"/>
    <mergeCell ref="B152:M152"/>
    <mergeCell ref="B137:M137"/>
    <mergeCell ref="D122:F122"/>
    <mergeCell ref="B122:C122"/>
    <mergeCell ref="B119:C119"/>
    <mergeCell ref="D119:F119"/>
    <mergeCell ref="B121:C121"/>
    <mergeCell ref="D121:F121"/>
    <mergeCell ref="B120:C120"/>
    <mergeCell ref="B141:M141"/>
    <mergeCell ref="B156:M156"/>
    <mergeCell ref="B142:M142"/>
    <mergeCell ref="B124:M124"/>
    <mergeCell ref="B126:I126"/>
    <mergeCell ref="K123:L123"/>
    <mergeCell ref="B130:M130"/>
    <mergeCell ref="B129:M129"/>
    <mergeCell ref="B123:C123"/>
    <mergeCell ref="D123:F123"/>
    <mergeCell ref="G123:H123"/>
    <mergeCell ref="B138:M138"/>
    <mergeCell ref="B116:C116"/>
    <mergeCell ref="D116:F116"/>
    <mergeCell ref="B113:C113"/>
    <mergeCell ref="B117:C117"/>
    <mergeCell ref="D117:F117"/>
    <mergeCell ref="D120:F120"/>
    <mergeCell ref="B115:C115"/>
    <mergeCell ref="D115:F115"/>
    <mergeCell ref="D118:F118"/>
    <mergeCell ref="B118:C118"/>
    <mergeCell ref="B114:C114"/>
    <mergeCell ref="D114:F114"/>
    <mergeCell ref="D113:F113"/>
    <mergeCell ref="B111:C111"/>
    <mergeCell ref="D105:F105"/>
    <mergeCell ref="D103:F103"/>
    <mergeCell ref="D99:F99"/>
    <mergeCell ref="D108:F108"/>
    <mergeCell ref="D109:F109"/>
    <mergeCell ref="D107:F107"/>
    <mergeCell ref="D110:F110"/>
    <mergeCell ref="B112:C112"/>
    <mergeCell ref="D112:F112"/>
    <mergeCell ref="D111:F111"/>
    <mergeCell ref="B110:C110"/>
    <mergeCell ref="B109:C109"/>
    <mergeCell ref="B107:C107"/>
    <mergeCell ref="B108:C108"/>
    <mergeCell ref="D100:F100"/>
    <mergeCell ref="D102:F102"/>
    <mergeCell ref="B99:C99"/>
    <mergeCell ref="B106:C106"/>
    <mergeCell ref="B105:C105"/>
    <mergeCell ref="B104:C104"/>
    <mergeCell ref="D104:F104"/>
    <mergeCell ref="B100:C100"/>
    <mergeCell ref="B101:C101"/>
    <mergeCell ref="B102:C102"/>
    <mergeCell ref="D95:F95"/>
    <mergeCell ref="B80:C80"/>
    <mergeCell ref="D80:F80"/>
    <mergeCell ref="B81:C81"/>
    <mergeCell ref="D81:F81"/>
    <mergeCell ref="B87:C87"/>
    <mergeCell ref="D84:F84"/>
    <mergeCell ref="D101:F101"/>
    <mergeCell ref="B84:C84"/>
    <mergeCell ref="B88:C88"/>
    <mergeCell ref="D88:F88"/>
    <mergeCell ref="B96:C96"/>
    <mergeCell ref="D83:F83"/>
    <mergeCell ref="B94:C94"/>
    <mergeCell ref="D89:F89"/>
    <mergeCell ref="D97:F97"/>
    <mergeCell ref="D87:F87"/>
    <mergeCell ref="B86:C86"/>
    <mergeCell ref="D86:F86"/>
    <mergeCell ref="D85:F85"/>
    <mergeCell ref="B89:C89"/>
    <mergeCell ref="B85:C85"/>
    <mergeCell ref="D75:F75"/>
    <mergeCell ref="B75:C75"/>
    <mergeCell ref="B78:C78"/>
    <mergeCell ref="D78:F78"/>
    <mergeCell ref="B83:C83"/>
    <mergeCell ref="B82:C82"/>
    <mergeCell ref="D82:F82"/>
    <mergeCell ref="B79:C79"/>
    <mergeCell ref="D79:F79"/>
    <mergeCell ref="G25:M25"/>
    <mergeCell ref="B65:C65"/>
    <mergeCell ref="D65:F65"/>
    <mergeCell ref="B77:C77"/>
    <mergeCell ref="D77:F77"/>
    <mergeCell ref="D73:F73"/>
    <mergeCell ref="B74:C74"/>
    <mergeCell ref="B73:C73"/>
    <mergeCell ref="D74:F74"/>
    <mergeCell ref="B76:C76"/>
    <mergeCell ref="B72:C72"/>
    <mergeCell ref="B68:C68"/>
    <mergeCell ref="D66:F66"/>
    <mergeCell ref="D72:F72"/>
    <mergeCell ref="D71:F71"/>
    <mergeCell ref="D76:F76"/>
    <mergeCell ref="B70:C70"/>
    <mergeCell ref="D70:F70"/>
    <mergeCell ref="D69:F69"/>
    <mergeCell ref="B67:C67"/>
    <mergeCell ref="D67:F67"/>
    <mergeCell ref="D68:F68"/>
    <mergeCell ref="B69:C69"/>
    <mergeCell ref="B71:C71"/>
    <mergeCell ref="G28:M28"/>
    <mergeCell ref="B62:C62"/>
    <mergeCell ref="D62:F62"/>
    <mergeCell ref="B63:C63"/>
    <mergeCell ref="D63:F63"/>
    <mergeCell ref="B64:C64"/>
    <mergeCell ref="D64:F64"/>
    <mergeCell ref="B6:C6"/>
    <mergeCell ref="B4:C4"/>
    <mergeCell ref="D4:F4"/>
    <mergeCell ref="B5:C5"/>
    <mergeCell ref="D5:F5"/>
    <mergeCell ref="C31:F31"/>
    <mergeCell ref="C28:F28"/>
    <mergeCell ref="D56:G56"/>
    <mergeCell ref="B35:F35"/>
    <mergeCell ref="G31:M31"/>
    <mergeCell ref="G32:M32"/>
    <mergeCell ref="B41:M41"/>
    <mergeCell ref="G30:M30"/>
    <mergeCell ref="H22:M22"/>
    <mergeCell ref="B14:M14"/>
    <mergeCell ref="B15:M15"/>
    <mergeCell ref="B16:M16"/>
    <mergeCell ref="G35:H35"/>
    <mergeCell ref="N48:Q48"/>
    <mergeCell ref="D6:F6"/>
    <mergeCell ref="N47:Q47"/>
    <mergeCell ref="D8:F8"/>
    <mergeCell ref="O37:R37"/>
    <mergeCell ref="B1:C1"/>
    <mergeCell ref="D1:G1"/>
    <mergeCell ref="G37:I40"/>
    <mergeCell ref="B2:C2"/>
    <mergeCell ref="D2:G2"/>
    <mergeCell ref="G26:M26"/>
    <mergeCell ref="G27:M27"/>
    <mergeCell ref="G18:M18"/>
    <mergeCell ref="I19:M19"/>
    <mergeCell ref="I20:M20"/>
    <mergeCell ref="G21:M21"/>
    <mergeCell ref="D7:G7"/>
    <mergeCell ref="B7:C7"/>
    <mergeCell ref="B36:F36"/>
    <mergeCell ref="G36:H36"/>
    <mergeCell ref="C33:F33"/>
    <mergeCell ref="C29:F29"/>
    <mergeCell ref="G33:M33"/>
    <mergeCell ref="G29:M29"/>
    <mergeCell ref="B60:C61"/>
    <mergeCell ref="B9:C9"/>
    <mergeCell ref="B10:C10"/>
    <mergeCell ref="B8:C8"/>
    <mergeCell ref="B11:C11"/>
    <mergeCell ref="C32:F32"/>
    <mergeCell ref="C27:F27"/>
    <mergeCell ref="B17:J17"/>
    <mergeCell ref="C26:F26"/>
    <mergeCell ref="C18:F18"/>
    <mergeCell ref="C19:F19"/>
    <mergeCell ref="B20:B21"/>
    <mergeCell ref="C20:F21"/>
    <mergeCell ref="B22:B23"/>
    <mergeCell ref="C22:F23"/>
    <mergeCell ref="B24:B25"/>
    <mergeCell ref="C24:F25"/>
    <mergeCell ref="D11:G11"/>
    <mergeCell ref="D10:F10"/>
    <mergeCell ref="D12:G12"/>
    <mergeCell ref="D9:F9"/>
    <mergeCell ref="G23:M23"/>
    <mergeCell ref="H24:M24"/>
  </mergeCells>
  <conditionalFormatting sqref="B63:C122 D85:G122 I85:I122">
    <cfRule type="expression" dxfId="141" priority="36" stopIfTrue="1">
      <formula>$O63</formula>
    </cfRule>
  </conditionalFormatting>
  <conditionalFormatting sqref="B133:E156">
    <cfRule type="expression" dxfId="140" priority="32" stopIfTrue="1">
      <formula>A133</formula>
    </cfRule>
  </conditionalFormatting>
  <conditionalFormatting sqref="B62:I62">
    <cfRule type="expression" dxfId="139" priority="30" stopIfTrue="1">
      <formula>$O$62</formula>
    </cfRule>
  </conditionalFormatting>
  <conditionalFormatting sqref="D4:E4">
    <cfRule type="cellIs" dxfId="138" priority="5" stopIfTrue="1" operator="greaterThan">
      <formula>5000</formula>
    </cfRule>
  </conditionalFormatting>
  <conditionalFormatting sqref="D6:E6">
    <cfRule type="expression" dxfId="137" priority="1" stopIfTrue="1">
      <formula>$A$61</formula>
    </cfRule>
  </conditionalFormatting>
  <conditionalFormatting sqref="D9:E9">
    <cfRule type="cellIs" dxfId="136" priority="6" stopIfTrue="1" operator="greaterThan">
      <formula>$D$8</formula>
    </cfRule>
  </conditionalFormatting>
  <conditionalFormatting sqref="D82:G82 I82">
    <cfRule type="expression" dxfId="135" priority="9" stopIfTrue="1">
      <formula>$O$82</formula>
    </cfRule>
  </conditionalFormatting>
  <conditionalFormatting sqref="D83:G83 I83">
    <cfRule type="expression" dxfId="134" priority="8" stopIfTrue="1">
      <formula>$O$83</formula>
    </cfRule>
  </conditionalFormatting>
  <conditionalFormatting sqref="D84:G84 I84">
    <cfRule type="expression" dxfId="133" priority="7" stopIfTrue="1">
      <formula>$O$84</formula>
    </cfRule>
  </conditionalFormatting>
  <conditionalFormatting sqref="D63:I63">
    <cfRule type="expression" dxfId="132" priority="29" stopIfTrue="1">
      <formula>$O$63</formula>
    </cfRule>
  </conditionalFormatting>
  <conditionalFormatting sqref="D64:I64">
    <cfRule type="expression" dxfId="131" priority="28" stopIfTrue="1">
      <formula>$O$64</formula>
    </cfRule>
  </conditionalFormatting>
  <conditionalFormatting sqref="D65:I65">
    <cfRule type="expression" dxfId="130" priority="27" stopIfTrue="1">
      <formula>$O$65</formula>
    </cfRule>
  </conditionalFormatting>
  <conditionalFormatting sqref="D66:I66">
    <cfRule type="expression" dxfId="129" priority="26" stopIfTrue="1">
      <formula>$O$66</formula>
    </cfRule>
  </conditionalFormatting>
  <conditionalFormatting sqref="D67:I67">
    <cfRule type="expression" dxfId="128" priority="25" stopIfTrue="1">
      <formula>$O$67</formula>
    </cfRule>
  </conditionalFormatting>
  <conditionalFormatting sqref="D68:I68">
    <cfRule type="expression" dxfId="127" priority="24" stopIfTrue="1">
      <formula>$O$68</formula>
    </cfRule>
  </conditionalFormatting>
  <conditionalFormatting sqref="D69:I69">
    <cfRule type="expression" dxfId="126" priority="23" stopIfTrue="1">
      <formula>$O$69</formula>
    </cfRule>
  </conditionalFormatting>
  <conditionalFormatting sqref="D70:I70">
    <cfRule type="expression" dxfId="125" priority="22" stopIfTrue="1">
      <formula>$O$70</formula>
    </cfRule>
  </conditionalFormatting>
  <conditionalFormatting sqref="D71:I71">
    <cfRule type="expression" dxfId="124" priority="21" stopIfTrue="1">
      <formula>$O$71</formula>
    </cfRule>
  </conditionalFormatting>
  <conditionalFormatting sqref="D72:I72">
    <cfRule type="expression" dxfId="123" priority="20" stopIfTrue="1">
      <formula>$O$72</formula>
    </cfRule>
  </conditionalFormatting>
  <conditionalFormatting sqref="D73:I73">
    <cfRule type="expression" dxfId="122" priority="19" stopIfTrue="1">
      <formula>$O$73</formula>
    </cfRule>
  </conditionalFormatting>
  <conditionalFormatting sqref="D74:I74">
    <cfRule type="expression" dxfId="121" priority="18" stopIfTrue="1">
      <formula>$O$74</formula>
    </cfRule>
  </conditionalFormatting>
  <conditionalFormatting sqref="D75:I75">
    <cfRule type="expression" dxfId="120" priority="17" stopIfTrue="1">
      <formula>$O$75</formula>
    </cfRule>
  </conditionalFormatting>
  <conditionalFormatting sqref="D76:I76">
    <cfRule type="expression" dxfId="119" priority="16" stopIfTrue="1">
      <formula>$O$76</formula>
    </cfRule>
  </conditionalFormatting>
  <conditionalFormatting sqref="D77:I77">
    <cfRule type="expression" dxfId="118" priority="15" stopIfTrue="1">
      <formula>$O$77</formula>
    </cfRule>
  </conditionalFormatting>
  <conditionalFormatting sqref="D78:I78">
    <cfRule type="expression" dxfId="117" priority="14" stopIfTrue="1">
      <formula>$O$78</formula>
    </cfRule>
  </conditionalFormatting>
  <conditionalFormatting sqref="D79:I79">
    <cfRule type="expression" dxfId="116" priority="13" stopIfTrue="1">
      <formula>$O$79</formula>
    </cfRule>
  </conditionalFormatting>
  <conditionalFormatting sqref="D80:I80">
    <cfRule type="expression" dxfId="115" priority="11" stopIfTrue="1">
      <formula>$O$80</formula>
    </cfRule>
  </conditionalFormatting>
  <conditionalFormatting sqref="D81:I81 H82:H122">
    <cfRule type="expression" dxfId="114" priority="10" stopIfTrue="1">
      <formula>$O$81</formula>
    </cfRule>
  </conditionalFormatting>
  <conditionalFormatting sqref="F133:K156">
    <cfRule type="expression" dxfId="113" priority="31" stopIfTrue="1">
      <formula>D133</formula>
    </cfRule>
  </conditionalFormatting>
  <conditionalFormatting sqref="G4 D5:E5">
    <cfRule type="expression" dxfId="112" priority="2" stopIfTrue="1">
      <formula>$N$41</formula>
    </cfRule>
  </conditionalFormatting>
  <conditionalFormatting sqref="H46:M46">
    <cfRule type="expression" dxfId="111" priority="12" stopIfTrue="1">
      <formula>$A$37</formula>
    </cfRule>
  </conditionalFormatting>
  <conditionalFormatting sqref="J61:L61">
    <cfRule type="expression" dxfId="110" priority="4" stopIfTrue="1">
      <formula>$D$9</formula>
    </cfRule>
  </conditionalFormatting>
  <conditionalFormatting sqref="J60:M60 M61">
    <cfRule type="expression" dxfId="109" priority="3" stopIfTrue="1">
      <formula>$D$9</formula>
    </cfRule>
  </conditionalFormatting>
  <conditionalFormatting sqref="J62:M122">
    <cfRule type="expression" dxfId="108" priority="35" stopIfTrue="1">
      <formula>$BA62</formula>
    </cfRule>
  </conditionalFormatting>
  <conditionalFormatting sqref="L133:L156">
    <cfRule type="expression" dxfId="107" priority="33" stopIfTrue="1">
      <formula>I133</formula>
    </cfRule>
  </conditionalFormatting>
  <conditionalFormatting sqref="M133:M156">
    <cfRule type="expression" dxfId="106" priority="34" stopIfTrue="1">
      <formula>I133</formula>
    </cfRule>
  </conditionalFormatting>
  <dataValidations count="2">
    <dataValidation type="list" allowBlank="1" showInputMessage="1" showErrorMessage="1" sqref="D9:E9" xr:uid="{00000000-0002-0000-1100-000000000000}">
      <formula1>$AF$49:$AF$51</formula1>
    </dataValidation>
    <dataValidation type="list" allowBlank="1" showInputMessage="1" showErrorMessage="1" sqref="D8:E8" xr:uid="{00000000-0002-0000-1100-000001000000}">
      <formula1>$AE$49:$AE$53</formula1>
    </dataValidation>
  </dataValidations>
  <pageMargins left="0.70866141732283472" right="0.70866141732283472" top="0.74803149606299213" bottom="0.31496062992125984" header="0.31496062992125984" footer="0.31496062992125984"/>
  <pageSetup scale="76" orientation="portrait" r:id="rId1"/>
  <headerFooter alignWithMargins="0"/>
  <rowBreaks count="2" manualBreakCount="2">
    <brk id="40" max="16383" man="1"/>
    <brk id="122" min="1" max="7" man="1"/>
  </rowBreaks>
  <colBreaks count="1" manualBreakCount="1">
    <brk id="1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59999389629810485"/>
  </sheetPr>
  <dimension ref="A1:EM155"/>
  <sheetViews>
    <sheetView topLeftCell="A15" zoomScale="96" zoomScaleNormal="96" workbookViewId="0">
      <selection activeCell="I163" sqref="I163"/>
    </sheetView>
  </sheetViews>
  <sheetFormatPr defaultRowHeight="12.75"/>
  <cols>
    <col min="1" max="1" width="7.85546875" style="21" customWidth="1"/>
    <col min="2" max="2" width="5.42578125" style="21" customWidth="1"/>
    <col min="3" max="3" width="17.5703125" style="21" customWidth="1"/>
    <col min="4" max="5" width="8.28515625" style="21" customWidth="1"/>
    <col min="6" max="6" width="4.7109375" style="21" customWidth="1"/>
    <col min="7" max="7" width="18.7109375" style="21" bestFit="1" customWidth="1"/>
    <col min="8" max="8" width="16.5703125" style="21" hidden="1" customWidth="1"/>
    <col min="9" max="9" width="17.85546875" style="21" customWidth="1"/>
    <col min="10" max="10" width="13.85546875" style="21" customWidth="1"/>
    <col min="11" max="11" width="11.5703125" style="21" customWidth="1"/>
    <col min="12" max="12" width="16.5703125" style="21" hidden="1" customWidth="1"/>
    <col min="13" max="13" width="14.28515625" style="21" customWidth="1"/>
    <col min="14" max="58" width="15.7109375" style="2" hidden="1" customWidth="1"/>
    <col min="59" max="61" width="15.7109375" style="21" hidden="1" customWidth="1"/>
    <col min="62" max="62" width="20.7109375" style="21" hidden="1" customWidth="1"/>
    <col min="63" max="64" width="9.140625" style="21" customWidth="1"/>
    <col min="65" max="70" width="9.140625" style="21"/>
    <col min="71" max="143" width="9.140625" style="20"/>
    <col min="144" max="16384" width="9.140625" style="21"/>
  </cols>
  <sheetData>
    <row r="1" spans="2:143">
      <c r="B1" s="311" t="s">
        <v>2</v>
      </c>
      <c r="C1" s="312"/>
      <c r="D1" s="536" t="s">
        <v>3</v>
      </c>
      <c r="E1" s="537"/>
      <c r="F1" s="537"/>
      <c r="G1" s="538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thickBot="1">
      <c r="B2" s="343" t="str">
        <f>IF(N36=1,"№ кредитного договора:",IF(N36=2,"№ соглашения:"," "))</f>
        <v>№ соглашения:</v>
      </c>
      <c r="C2" s="344"/>
      <c r="D2" s="306">
        <v>123</v>
      </c>
      <c r="E2" s="307"/>
      <c r="F2" s="307"/>
      <c r="G2" s="308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3.5" thickBot="1">
      <c r="B3" s="9"/>
      <c r="C3" s="9"/>
      <c r="D3" s="45"/>
      <c r="E3" s="45"/>
      <c r="F3" s="45"/>
      <c r="G3" s="45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311" t="str">
        <f>IF(N36=1,"Сумма кредита:",IF(N36=2,"Лимит овердрафта:"," "))</f>
        <v>Лимит овердрафта:</v>
      </c>
      <c r="C4" s="312"/>
      <c r="D4" s="556">
        <v>3000</v>
      </c>
      <c r="E4" s="557"/>
      <c r="F4" s="558"/>
      <c r="G4" s="180" t="s">
        <v>189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4.25">
      <c r="B5" s="309" t="s">
        <v>8</v>
      </c>
      <c r="C5" s="310"/>
      <c r="D5" s="533">
        <v>16.100000000000001</v>
      </c>
      <c r="E5" s="534"/>
      <c r="F5" s="535"/>
      <c r="G5" s="181" t="str">
        <f>IF(D5=0," ","% годовых")</f>
        <v>% годовых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>
      <c r="B6" s="345" t="s">
        <v>181</v>
      </c>
      <c r="C6" s="346"/>
      <c r="D6" s="552" t="s">
        <v>183</v>
      </c>
      <c r="E6" s="553"/>
      <c r="F6" s="553"/>
      <c r="G6" s="554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 ht="14.25">
      <c r="B7" s="309" t="s">
        <v>13</v>
      </c>
      <c r="C7" s="310"/>
      <c r="D7" s="533">
        <v>24</v>
      </c>
      <c r="E7" s="534"/>
      <c r="F7" s="535"/>
      <c r="G7" s="181" t="str">
        <f>IF(D7=0," ","месяцев")</f>
        <v>месяцев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4.25">
      <c r="B8" s="309" t="s">
        <v>139</v>
      </c>
      <c r="C8" s="310"/>
      <c r="D8" s="523">
        <v>3</v>
      </c>
      <c r="E8" s="524"/>
      <c r="F8" s="525"/>
      <c r="G8" s="181" t="str">
        <f>IF(D8&gt;4,"месяцев",IF(D8&gt;1,"месяца",IF(D8=1,"месяц","месяцев")))</f>
        <v>месяца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4.25">
      <c r="B9" s="309" t="s">
        <v>14</v>
      </c>
      <c r="C9" s="310"/>
      <c r="D9" s="374">
        <f ca="1">TODAY()</f>
        <v>45294</v>
      </c>
      <c r="E9" s="522"/>
      <c r="F9" s="375"/>
      <c r="G9" s="181" t="s">
        <v>15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>
      <c r="B10" s="309" t="s">
        <v>16</v>
      </c>
      <c r="C10" s="310"/>
      <c r="D10" s="360" t="s">
        <v>79</v>
      </c>
      <c r="E10" s="361"/>
      <c r="F10" s="361"/>
      <c r="G10" s="362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 ht="13.5" thickBot="1">
      <c r="B11" s="125" t="s">
        <v>214</v>
      </c>
      <c r="C11" s="126"/>
      <c r="D11" s="376" t="s">
        <v>215</v>
      </c>
      <c r="E11" s="377"/>
      <c r="F11" s="377"/>
      <c r="G11" s="378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3" spans="2:143" ht="15.75">
      <c r="B13" s="562" t="s">
        <v>223</v>
      </c>
      <c r="C13" s="562"/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</row>
    <row r="14" spans="2:143" ht="15.75">
      <c r="B14" s="563" t="str">
        <f>D1</f>
        <v>Иванов И.И.</v>
      </c>
      <c r="C14" s="563"/>
      <c r="D14" s="563"/>
      <c r="E14" s="563"/>
      <c r="F14" s="563"/>
      <c r="G14" s="563"/>
      <c r="H14" s="563"/>
      <c r="I14" s="563"/>
      <c r="J14" s="563"/>
      <c r="K14" s="563"/>
      <c r="L14" s="563"/>
      <c r="M14" s="563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>
      <c r="B15" s="562" t="s">
        <v>224</v>
      </c>
      <c r="C15" s="562"/>
      <c r="D15" s="562"/>
      <c r="E15" s="562"/>
      <c r="F15" s="562"/>
      <c r="G15" s="562"/>
      <c r="H15" s="562"/>
      <c r="I15" s="562"/>
      <c r="J15" s="562"/>
      <c r="K15" s="562"/>
      <c r="L15" s="562"/>
      <c r="M15" s="562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>
      <c r="B16" s="509" t="s">
        <v>225</v>
      </c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3" s="21" customFormat="1" ht="15.75">
      <c r="B17" s="183" t="s">
        <v>226</v>
      </c>
      <c r="C17" s="511" t="s">
        <v>227</v>
      </c>
      <c r="D17" s="511"/>
      <c r="E17" s="511"/>
      <c r="F17" s="511"/>
      <c r="G17" s="543" t="s">
        <v>228</v>
      </c>
      <c r="H17" s="543"/>
      <c r="I17" s="543"/>
      <c r="J17" s="543"/>
      <c r="K17" s="543"/>
      <c r="L17" s="543"/>
      <c r="M17" s="543"/>
    </row>
    <row r="18" spans="2:13" s="21" customFormat="1" ht="64.5" customHeight="1">
      <c r="B18" s="184" t="s">
        <v>229</v>
      </c>
      <c r="C18" s="506" t="s">
        <v>230</v>
      </c>
      <c r="D18" s="507"/>
      <c r="E18" s="507"/>
      <c r="F18" s="512"/>
      <c r="G18" s="185">
        <f>D4</f>
        <v>3000</v>
      </c>
      <c r="H18" s="544" t="s">
        <v>231</v>
      </c>
      <c r="I18" s="544"/>
      <c r="J18" s="544"/>
      <c r="K18" s="544"/>
      <c r="L18" s="544"/>
      <c r="M18" s="545"/>
    </row>
    <row r="19" spans="2:13" s="21" customFormat="1" ht="15.75">
      <c r="B19" s="513" t="s">
        <v>232</v>
      </c>
      <c r="C19" s="582" t="s">
        <v>233</v>
      </c>
      <c r="D19" s="577"/>
      <c r="E19" s="577"/>
      <c r="F19" s="577"/>
      <c r="G19" s="200">
        <f>D8</f>
        <v>3</v>
      </c>
      <c r="H19" s="577" t="s">
        <v>234</v>
      </c>
      <c r="I19" s="577"/>
      <c r="J19" s="577"/>
      <c r="K19" s="577"/>
      <c r="L19" s="577"/>
      <c r="M19" s="578"/>
    </row>
    <row r="20" spans="2:13" s="21" customFormat="1" ht="39.75" customHeight="1">
      <c r="B20" s="514"/>
      <c r="C20" s="564"/>
      <c r="D20" s="565"/>
      <c r="E20" s="565"/>
      <c r="F20" s="565"/>
      <c r="G20" s="579" t="s">
        <v>270</v>
      </c>
      <c r="H20" s="580"/>
      <c r="I20" s="580"/>
      <c r="J20" s="580"/>
      <c r="K20" s="580"/>
      <c r="L20" s="580"/>
      <c r="M20" s="581"/>
    </row>
    <row r="21" spans="2:13" s="21" customFormat="1" ht="15.75" customHeight="1">
      <c r="B21" s="513" t="s">
        <v>236</v>
      </c>
      <c r="C21" s="515" t="s">
        <v>237</v>
      </c>
      <c r="D21" s="516"/>
      <c r="E21" s="516"/>
      <c r="F21" s="517"/>
      <c r="G21" s="201">
        <f>D7</f>
        <v>24</v>
      </c>
      <c r="H21" s="544" t="s">
        <v>238</v>
      </c>
      <c r="I21" s="544"/>
      <c r="J21" s="544"/>
      <c r="K21" s="544"/>
      <c r="L21" s="544"/>
      <c r="M21" s="545"/>
    </row>
    <row r="22" spans="2:13" s="21" customFormat="1" ht="95.25" customHeight="1">
      <c r="B22" s="514"/>
      <c r="C22" s="518"/>
      <c r="D22" s="519"/>
      <c r="E22" s="519"/>
      <c r="F22" s="519"/>
      <c r="G22" s="549" t="s">
        <v>239</v>
      </c>
      <c r="H22" s="550"/>
      <c r="I22" s="550"/>
      <c r="J22" s="550"/>
      <c r="K22" s="550"/>
      <c r="L22" s="550"/>
      <c r="M22" s="551"/>
    </row>
    <row r="23" spans="2:13" s="21" customFormat="1" ht="15.75" customHeight="1">
      <c r="B23" s="513" t="s">
        <v>240</v>
      </c>
      <c r="C23" s="515" t="s">
        <v>241</v>
      </c>
      <c r="D23" s="516"/>
      <c r="E23" s="516"/>
      <c r="F23" s="517"/>
      <c r="G23" s="201">
        <f>D5</f>
        <v>16.100000000000001</v>
      </c>
      <c r="H23" s="544" t="s">
        <v>242</v>
      </c>
      <c r="I23" s="544"/>
      <c r="J23" s="544"/>
      <c r="K23" s="544"/>
      <c r="L23" s="544"/>
      <c r="M23" s="545"/>
    </row>
    <row r="24" spans="2:13" s="21" customFormat="1" ht="81" customHeight="1">
      <c r="B24" s="514"/>
      <c r="C24" s="518"/>
      <c r="D24" s="519"/>
      <c r="E24" s="519"/>
      <c r="F24" s="519"/>
      <c r="G24" s="564" t="s">
        <v>243</v>
      </c>
      <c r="H24" s="565"/>
      <c r="I24" s="565"/>
      <c r="J24" s="565"/>
      <c r="K24" s="565"/>
      <c r="L24" s="565"/>
      <c r="M24" s="566"/>
    </row>
    <row r="25" spans="2:13" s="21" customFormat="1" ht="37.5" customHeight="1">
      <c r="B25" s="184" t="s">
        <v>244</v>
      </c>
      <c r="C25" s="506" t="s">
        <v>245</v>
      </c>
      <c r="D25" s="507"/>
      <c r="E25" s="507"/>
      <c r="F25" s="508"/>
      <c r="G25" s="576" t="s">
        <v>246</v>
      </c>
      <c r="H25" s="576"/>
      <c r="I25" s="576"/>
      <c r="J25" s="576"/>
      <c r="K25" s="576"/>
      <c r="L25" s="576"/>
      <c r="M25" s="576"/>
    </row>
    <row r="26" spans="2:13" s="21" customFormat="1" ht="86.25" customHeight="1">
      <c r="B26" s="184" t="s">
        <v>247</v>
      </c>
      <c r="C26" s="506" t="s">
        <v>248</v>
      </c>
      <c r="D26" s="507"/>
      <c r="E26" s="507"/>
      <c r="F26" s="508"/>
      <c r="G26" s="542" t="s">
        <v>249</v>
      </c>
      <c r="H26" s="542"/>
      <c r="I26" s="542"/>
      <c r="J26" s="542"/>
      <c r="K26" s="542"/>
      <c r="L26" s="542"/>
      <c r="M26" s="542"/>
    </row>
    <row r="27" spans="2:13" s="21" customFormat="1" ht="51" customHeight="1">
      <c r="B27" s="184" t="s">
        <v>250</v>
      </c>
      <c r="C27" s="506" t="s">
        <v>251</v>
      </c>
      <c r="D27" s="507"/>
      <c r="E27" s="507"/>
      <c r="F27" s="508"/>
      <c r="G27" s="505" t="s">
        <v>252</v>
      </c>
      <c r="H27" s="505"/>
      <c r="I27" s="505"/>
      <c r="J27" s="505"/>
      <c r="K27" s="505"/>
      <c r="L27" s="505"/>
      <c r="M27" s="505"/>
    </row>
    <row r="28" spans="2:13" s="21" customFormat="1" ht="68.25" customHeight="1">
      <c r="B28" s="184" t="s">
        <v>253</v>
      </c>
      <c r="C28" s="506" t="s">
        <v>254</v>
      </c>
      <c r="D28" s="507"/>
      <c r="E28" s="507"/>
      <c r="F28" s="508"/>
      <c r="G28" s="505" t="s">
        <v>79</v>
      </c>
      <c r="H28" s="505"/>
      <c r="I28" s="505"/>
      <c r="J28" s="505"/>
      <c r="K28" s="505"/>
      <c r="L28" s="505"/>
      <c r="M28" s="505"/>
    </row>
    <row r="29" spans="2:13" s="21" customFormat="1" ht="33.75" customHeight="1">
      <c r="B29" s="184" t="s">
        <v>255</v>
      </c>
      <c r="C29" s="506" t="s">
        <v>256</v>
      </c>
      <c r="D29" s="507"/>
      <c r="E29" s="507"/>
      <c r="F29" s="508"/>
      <c r="G29" s="505" t="s">
        <v>257</v>
      </c>
      <c r="H29" s="505"/>
      <c r="I29" s="505"/>
      <c r="J29" s="505"/>
      <c r="K29" s="505"/>
      <c r="L29" s="505"/>
      <c r="M29" s="505"/>
    </row>
    <row r="30" spans="2:13" s="21" customFormat="1" ht="179.25" customHeight="1">
      <c r="B30" s="184" t="s">
        <v>258</v>
      </c>
      <c r="C30" s="506" t="s">
        <v>259</v>
      </c>
      <c r="D30" s="507"/>
      <c r="E30" s="507"/>
      <c r="F30" s="508"/>
      <c r="G30" s="542" t="s">
        <v>260</v>
      </c>
      <c r="H30" s="542"/>
      <c r="I30" s="542"/>
      <c r="J30" s="542"/>
      <c r="K30" s="542"/>
      <c r="L30" s="542"/>
      <c r="M30" s="542"/>
    </row>
    <row r="31" spans="2:13" s="21" customFormat="1" ht="264.75" customHeight="1">
      <c r="B31" s="184" t="s">
        <v>261</v>
      </c>
      <c r="C31" s="506" t="s">
        <v>262</v>
      </c>
      <c r="D31" s="507"/>
      <c r="E31" s="507"/>
      <c r="F31" s="508"/>
      <c r="G31" s="542" t="s">
        <v>263</v>
      </c>
      <c r="H31" s="542"/>
      <c r="I31" s="542"/>
      <c r="J31" s="542"/>
      <c r="K31" s="542"/>
      <c r="L31" s="542"/>
      <c r="M31" s="542"/>
    </row>
    <row r="32" spans="2:13" s="21" customFormat="1" ht="72" customHeight="1">
      <c r="B32" s="184" t="s">
        <v>264</v>
      </c>
      <c r="C32" s="506" t="s">
        <v>265</v>
      </c>
      <c r="D32" s="507"/>
      <c r="E32" s="507"/>
      <c r="F32" s="508"/>
      <c r="G32" s="505" t="s">
        <v>266</v>
      </c>
      <c r="H32" s="505"/>
      <c r="I32" s="505"/>
      <c r="J32" s="505"/>
      <c r="K32" s="505"/>
      <c r="L32" s="505"/>
      <c r="M32" s="505"/>
    </row>
    <row r="33" spans="1:32" s="21" customFormat="1" ht="15.75">
      <c r="B33" s="186"/>
      <c r="C33" s="187"/>
      <c r="D33" s="187"/>
      <c r="E33" s="187"/>
      <c r="F33" s="187"/>
      <c r="G33" s="187"/>
      <c r="H33" s="187"/>
      <c r="I33" s="187"/>
      <c r="J33" s="187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s="21" customFormat="1" ht="15.75">
      <c r="B34" s="559" t="str">
        <f>D1</f>
        <v>Иванов И.И.</v>
      </c>
      <c r="C34" s="560"/>
      <c r="D34" s="560"/>
      <c r="E34" s="560"/>
      <c r="F34" s="560"/>
      <c r="G34" s="531"/>
      <c r="H34" s="531"/>
      <c r="I34" s="188">
        <f ca="1">TODAY()</f>
        <v>45294</v>
      </c>
      <c r="J34" s="187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s="21" customFormat="1" ht="15.75">
      <c r="B35" s="555" t="s">
        <v>267</v>
      </c>
      <c r="C35" s="555"/>
      <c r="D35" s="555"/>
      <c r="E35" s="555"/>
      <c r="F35" s="555"/>
      <c r="G35" s="555" t="s">
        <v>268</v>
      </c>
      <c r="H35" s="555"/>
      <c r="I35" s="187"/>
      <c r="J35" s="187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21" customFormat="1" ht="15.6" customHeight="1">
      <c r="A36" s="196">
        <v>1</v>
      </c>
      <c r="B36" s="2"/>
      <c r="C36" s="2"/>
      <c r="D36" s="2"/>
      <c r="E36" s="2"/>
      <c r="F36" s="2"/>
      <c r="G36" s="342"/>
      <c r="H36" s="342"/>
      <c r="I36" s="342"/>
      <c r="J36" s="77"/>
      <c r="K36" s="77"/>
      <c r="L36" s="77"/>
      <c r="M36" s="77"/>
      <c r="N36" s="127">
        <f>IF(I43=1,1,IF(N43=1,2,IF(O43=1,1,0)))</f>
        <v>2</v>
      </c>
      <c r="O36" s="337" t="s">
        <v>0</v>
      </c>
      <c r="P36" s="337"/>
      <c r="Q36" s="337"/>
      <c r="R36" s="337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s="21" customFormat="1" ht="3" hidden="1" customHeight="1">
      <c r="A37" s="4"/>
      <c r="B37" s="2"/>
      <c r="C37" s="2"/>
      <c r="D37" s="2"/>
      <c r="E37" s="2"/>
      <c r="F37" s="2"/>
      <c r="G37" s="342"/>
      <c r="H37" s="342"/>
      <c r="I37" s="342"/>
      <c r="J37" s="77"/>
      <c r="K37" s="77"/>
      <c r="L37" s="77"/>
      <c r="M37" s="77"/>
      <c r="N37" s="129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s="21" customFormat="1" ht="9.75" hidden="1" customHeight="1">
      <c r="A38" s="4"/>
      <c r="B38" s="2"/>
      <c r="C38" s="2"/>
      <c r="D38" s="2"/>
      <c r="E38" s="2"/>
      <c r="F38" s="2"/>
      <c r="G38" s="342"/>
      <c r="H38" s="342"/>
      <c r="I38" s="342"/>
      <c r="J38" s="77"/>
      <c r="K38" s="77"/>
      <c r="L38" s="77"/>
      <c r="M38" s="77"/>
      <c r="N38" s="12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s="21" customFormat="1" ht="2.25" hidden="1" customHeight="1">
      <c r="A39" s="4"/>
      <c r="B39" s="2"/>
      <c r="C39" s="2"/>
      <c r="D39" s="2"/>
      <c r="E39" s="2"/>
      <c r="F39" s="2"/>
      <c r="G39" s="342"/>
      <c r="H39" s="342"/>
      <c r="I39" s="342"/>
      <c r="J39" s="77"/>
      <c r="K39" s="77"/>
      <c r="L39" s="77"/>
      <c r="M39" s="77"/>
      <c r="N39" s="12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s="21" customFormat="1" ht="14.25" customHeight="1">
      <c r="A40" s="6" t="str">
        <f>IF(I43=1,"СП - КП",IF(N43=1,"Экспресс",IF(O43=1,"Спецпроцедура"," ")))</f>
        <v>Экспресс</v>
      </c>
      <c r="B40" s="341" t="s">
        <v>1</v>
      </c>
      <c r="C40" s="341"/>
      <c r="D40" s="341"/>
      <c r="E40" s="341"/>
      <c r="F40" s="341"/>
      <c r="G40" s="341"/>
      <c r="H40" s="341"/>
      <c r="I40" s="341"/>
      <c r="J40" s="341"/>
      <c r="K40" s="78"/>
      <c r="L40" s="78"/>
      <c r="M40" s="78"/>
      <c r="N40" s="2">
        <f>IF(N36=0,1,0)</f>
        <v>0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s="21" customFormat="1" ht="2.25" customHeight="1">
      <c r="A41" s="4"/>
      <c r="B41" s="2"/>
      <c r="C41" s="2"/>
      <c r="D41" s="2"/>
      <c r="E41" s="2"/>
      <c r="F41" s="2"/>
      <c r="G41" s="2"/>
      <c r="H41" s="2"/>
      <c r="I41" s="4"/>
      <c r="J41" s="4"/>
      <c r="K41" s="4"/>
      <c r="L41" s="4"/>
      <c r="M41" s="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s="21" customFormat="1" ht="15" hidden="1" customHeight="1">
      <c r="A42" s="7"/>
      <c r="H42" s="4"/>
      <c r="I42" s="4" t="s">
        <v>4</v>
      </c>
      <c r="J42" s="4"/>
      <c r="K42" s="4"/>
      <c r="L42" s="4"/>
      <c r="M42" s="4"/>
      <c r="N42" s="2" t="s">
        <v>5</v>
      </c>
      <c r="O42" s="2" t="s">
        <v>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s="21" customFormat="1" ht="15" hidden="1" customHeight="1">
      <c r="A43" s="7"/>
      <c r="H43" s="4"/>
      <c r="I43" s="4">
        <f>IF(D2&gt;288450000000,IF(D2&lt;288499999999,1,IF(D2&gt;288997000000,IF(D2&lt;288997999999,1,0),0)),0)</f>
        <v>0</v>
      </c>
      <c r="J43" s="4"/>
      <c r="K43" s="4"/>
      <c r="L43" s="4"/>
      <c r="M43" s="4"/>
      <c r="N43" s="2">
        <v>1</v>
      </c>
      <c r="O43" s="2">
        <v>0</v>
      </c>
      <c r="P43" s="2">
        <v>0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s="21" customFormat="1" ht="6.75" hidden="1" customHeight="1" thickBot="1">
      <c r="A44" s="8"/>
      <c r="H44" s="10"/>
      <c r="I44" s="10"/>
      <c r="J44" s="10"/>
      <c r="K44" s="10"/>
      <c r="L44" s="10"/>
      <c r="M44" s="10"/>
      <c r="N44" s="2"/>
      <c r="O44" s="2"/>
      <c r="P44" s="130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>
        <v>0</v>
      </c>
    </row>
    <row r="45" spans="1:32" s="21" customFormat="1" ht="15" hidden="1" customHeight="1" thickBot="1">
      <c r="A45" s="7"/>
      <c r="H45" s="12" t="s">
        <v>7</v>
      </c>
      <c r="I45" s="13">
        <f ca="1">G58+H58+A128+D4</f>
        <v>4049.854166666667</v>
      </c>
      <c r="J45" s="40"/>
      <c r="K45" s="40"/>
      <c r="L45" s="40"/>
      <c r="M45" s="40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>
        <v>6</v>
      </c>
      <c r="AF45" s="2">
        <v>1</v>
      </c>
    </row>
    <row r="46" spans="1:32" s="21" customFormat="1" ht="15.75" hidden="1" customHeight="1">
      <c r="A46" s="7"/>
      <c r="H46" s="4"/>
      <c r="I46" s="4"/>
      <c r="J46" s="4"/>
      <c r="K46" s="4"/>
      <c r="L46" s="4"/>
      <c r="M46" s="4"/>
      <c r="N46" s="337" t="s">
        <v>9</v>
      </c>
      <c r="O46" s="337"/>
      <c r="P46" s="337"/>
      <c r="Q46" s="337"/>
      <c r="R46" s="131">
        <f ca="1">S46-R47-1</f>
        <v>27</v>
      </c>
      <c r="S46" s="2">
        <f ca="1">IF(DAY(D9)=31,31,30)</f>
        <v>30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>
        <v>12</v>
      </c>
      <c r="AF46" s="2">
        <v>3</v>
      </c>
    </row>
    <row r="47" spans="1:32" s="21" customFormat="1" ht="14.25" hidden="1" customHeight="1">
      <c r="A47" s="7"/>
      <c r="H47" s="4" t="e">
        <f>#REF!*12</f>
        <v>#REF!</v>
      </c>
      <c r="I47" s="4"/>
      <c r="J47" s="4"/>
      <c r="K47" s="4"/>
      <c r="L47" s="4"/>
      <c r="M47" s="4"/>
      <c r="N47" s="337" t="s">
        <v>11</v>
      </c>
      <c r="O47" s="337"/>
      <c r="P47" s="337"/>
      <c r="Q47" s="337"/>
      <c r="R47" s="131">
        <f ca="1">DATE(YEAR(0),MONTH(0),DAY(D9)-1)</f>
        <v>2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>
        <v>18</v>
      </c>
      <c r="AF47" s="2">
        <v>6</v>
      </c>
    </row>
    <row r="48" spans="1:32" s="21" customFormat="1" ht="28.5" hidden="1" customHeight="1">
      <c r="A48" s="16" t="s">
        <v>12</v>
      </c>
      <c r="H48" s="4"/>
      <c r="I48" s="4"/>
      <c r="J48" s="4"/>
      <c r="K48" s="4"/>
      <c r="L48" s="4"/>
      <c r="M48" s="4"/>
      <c r="N48" s="128"/>
      <c r="O48" s="128"/>
      <c r="P48" s="128"/>
      <c r="Q48" s="128"/>
      <c r="R48" s="131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>
        <v>12</v>
      </c>
      <c r="AF48" s="2">
        <v>3</v>
      </c>
    </row>
    <row r="49" spans="1:143" ht="15" hidden="1" customHeight="1">
      <c r="A49" s="75">
        <f ca="1">IF(DAY(D9)&lt;=21,D7,D7+1)</f>
        <v>24</v>
      </c>
      <c r="H49" s="4"/>
      <c r="I49" s="4"/>
      <c r="J49" s="4"/>
      <c r="K49" s="4"/>
      <c r="L49" s="4"/>
      <c r="M49" s="4"/>
      <c r="N49" s="2">
        <f ca="1">IF(N36=1,IF(G4="USD",0,A49),IF(N36=2,A49," "))</f>
        <v>24</v>
      </c>
      <c r="AE49" s="2">
        <v>24</v>
      </c>
      <c r="AF49" s="2">
        <v>6</v>
      </c>
    </row>
    <row r="50" spans="1:143" ht="15" hidden="1" customHeight="1">
      <c r="A50" s="16"/>
      <c r="H50" s="4"/>
      <c r="I50" s="4"/>
      <c r="J50" s="4"/>
      <c r="K50" s="4"/>
      <c r="L50" s="4"/>
      <c r="M50" s="4"/>
      <c r="AE50" s="2">
        <v>36</v>
      </c>
      <c r="AF50" s="2">
        <v>12</v>
      </c>
    </row>
    <row r="51" spans="1:143" ht="15" hidden="1" customHeight="1">
      <c r="A51" s="7"/>
      <c r="H51" s="10"/>
      <c r="I51" s="10"/>
      <c r="J51" s="10"/>
      <c r="K51" s="10"/>
      <c r="L51" s="10"/>
      <c r="M51" s="10"/>
      <c r="N51" s="132">
        <f ca="1">A49-D8</f>
        <v>21</v>
      </c>
      <c r="AE51" s="2">
        <v>48</v>
      </c>
    </row>
    <row r="52" spans="1:143" ht="15.75" hidden="1" customHeight="1">
      <c r="A52" s="4">
        <f ca="1">IF(A49&gt;61,1,0)</f>
        <v>0</v>
      </c>
      <c r="H52" s="10"/>
      <c r="I52" s="18"/>
      <c r="J52" s="18"/>
      <c r="K52" s="18"/>
      <c r="L52" s="18"/>
      <c r="M52" s="18"/>
      <c r="AE52" s="2">
        <v>60</v>
      </c>
    </row>
    <row r="53" spans="1:143" ht="15.75" hidden="1" customHeight="1">
      <c r="A53" s="4"/>
      <c r="H53" s="10"/>
      <c r="I53" s="18"/>
      <c r="J53" s="18"/>
      <c r="K53" s="18"/>
      <c r="L53" s="18"/>
      <c r="M53" s="18"/>
    </row>
    <row r="54" spans="1:143" ht="15.75" hidden="1" customHeight="1">
      <c r="A54" s="4"/>
      <c r="H54" s="4"/>
      <c r="I54" s="4"/>
      <c r="J54" s="4"/>
      <c r="K54" s="4"/>
      <c r="L54" s="4"/>
      <c r="M54" s="4"/>
    </row>
    <row r="55" spans="1:143" ht="12.75" hidden="1" customHeight="1">
      <c r="A55" s="4"/>
      <c r="B55" s="4"/>
      <c r="C55" s="4"/>
      <c r="D55" s="297" t="s">
        <v>79</v>
      </c>
      <c r="E55" s="297"/>
      <c r="F55" s="297"/>
      <c r="G55" s="297"/>
      <c r="H55" s="4"/>
      <c r="I55" s="4"/>
      <c r="J55" s="4"/>
      <c r="K55" s="4"/>
      <c r="L55" s="4"/>
      <c r="M55" s="4"/>
    </row>
    <row r="56" spans="1:143" ht="12.75" hidden="1" customHeight="1">
      <c r="A56" s="4"/>
      <c r="B56" s="4"/>
      <c r="C56" s="4"/>
      <c r="D56" s="272" t="s">
        <v>79</v>
      </c>
      <c r="E56" s="272"/>
      <c r="F56" s="272"/>
      <c r="G56" s="272"/>
      <c r="H56" s="4"/>
      <c r="I56" s="4"/>
      <c r="J56" s="4"/>
      <c r="K56" s="4"/>
      <c r="L56" s="4"/>
      <c r="M56" s="4"/>
    </row>
    <row r="57" spans="1:143" ht="12.75" hidden="1" customHeight="1">
      <c r="A57" s="4"/>
      <c r="B57" s="4"/>
      <c r="C57" s="4"/>
      <c r="D57" s="272" t="s">
        <v>79</v>
      </c>
      <c r="E57" s="272"/>
      <c r="F57" s="272"/>
      <c r="G57" s="272"/>
      <c r="H57" s="4"/>
      <c r="I57" s="4"/>
      <c r="J57" s="4"/>
      <c r="K57" s="4"/>
      <c r="L57" s="4"/>
      <c r="M57" s="4"/>
    </row>
    <row r="58" spans="1:143" ht="12.75" hidden="1" customHeight="1">
      <c r="A58" s="4"/>
      <c r="B58" s="4"/>
      <c r="C58" s="4"/>
      <c r="D58" s="298">
        <f ca="1">SUM(D61:F121)</f>
        <v>6000</v>
      </c>
      <c r="E58" s="298"/>
      <c r="F58" s="298"/>
      <c r="G58" s="22">
        <f ca="1">SUM(G61:G122)/2</f>
        <v>1049.8541666666667</v>
      </c>
      <c r="H58" s="22">
        <v>0</v>
      </c>
      <c r="I58" s="22">
        <f ca="1">SUM(I61:I108)</f>
        <v>7049.8541666666661</v>
      </c>
      <c r="J58" s="22"/>
      <c r="K58" s="22"/>
      <c r="L58" s="22"/>
      <c r="M58" s="22"/>
    </row>
    <row r="59" spans="1:143" ht="30.75" customHeight="1">
      <c r="A59" s="4"/>
      <c r="B59" s="347" t="s">
        <v>21</v>
      </c>
      <c r="C59" s="348"/>
      <c r="D59" s="583" t="s">
        <v>140</v>
      </c>
      <c r="E59" s="584"/>
      <c r="F59" s="584"/>
      <c r="G59" s="584"/>
      <c r="H59" s="584"/>
      <c r="I59" s="585"/>
      <c r="J59" s="570" t="s">
        <v>141</v>
      </c>
      <c r="K59" s="571"/>
      <c r="L59" s="571"/>
      <c r="M59" s="571"/>
    </row>
    <row r="60" spans="1:143" ht="53.25" customHeight="1">
      <c r="A60" s="4">
        <f ca="1">IF(ABS(A49-D7)&gt;(D8),1,0)</f>
        <v>0</v>
      </c>
      <c r="B60" s="349"/>
      <c r="C60" s="350"/>
      <c r="D60" s="273" t="s">
        <v>22</v>
      </c>
      <c r="E60" s="572"/>
      <c r="F60" s="274"/>
      <c r="G60" s="88" t="s">
        <v>23</v>
      </c>
      <c r="H60" s="88" t="s">
        <v>24</v>
      </c>
      <c r="I60" s="89" t="s">
        <v>25</v>
      </c>
      <c r="J60" s="76" t="s">
        <v>22</v>
      </c>
      <c r="K60" s="76" t="s">
        <v>23</v>
      </c>
      <c r="L60" s="76" t="s">
        <v>24</v>
      </c>
      <c r="M60" s="76" t="s">
        <v>25</v>
      </c>
      <c r="O60" s="133" t="s">
        <v>26</v>
      </c>
      <c r="P60" s="133" t="s">
        <v>27</v>
      </c>
      <c r="Q60" s="133" t="s">
        <v>28</v>
      </c>
      <c r="R60" s="133" t="s">
        <v>29</v>
      </c>
      <c r="S60" s="133" t="s">
        <v>30</v>
      </c>
      <c r="T60" s="133">
        <v>2</v>
      </c>
      <c r="U60" s="133"/>
      <c r="V60" s="133" t="s">
        <v>31</v>
      </c>
      <c r="W60" s="133" t="s">
        <v>32</v>
      </c>
      <c r="X60" s="133" t="s">
        <v>142</v>
      </c>
      <c r="Y60" s="133" t="s">
        <v>142</v>
      </c>
      <c r="Z60" s="133"/>
      <c r="AA60" s="133"/>
      <c r="AB60" s="133"/>
      <c r="AC60" s="133" t="s">
        <v>33</v>
      </c>
      <c r="AD60" s="133" t="s">
        <v>186</v>
      </c>
      <c r="AE60" s="133" t="s">
        <v>28</v>
      </c>
      <c r="AF60" s="133" t="s">
        <v>29</v>
      </c>
      <c r="AG60" s="133" t="s">
        <v>143</v>
      </c>
      <c r="AH60" s="133" t="s">
        <v>143</v>
      </c>
      <c r="AI60" s="133"/>
      <c r="AJ60" s="133"/>
      <c r="AK60" s="133" t="s">
        <v>30</v>
      </c>
      <c r="AL60" s="133" t="s">
        <v>31</v>
      </c>
      <c r="AM60" s="133" t="s">
        <v>32</v>
      </c>
    </row>
    <row r="61" spans="1:143" s="24" customFormat="1" ht="15" customHeight="1">
      <c r="A61" s="4">
        <v>1</v>
      </c>
      <c r="B61" s="317">
        <f ca="1">IF(O61=0,IF(O60=1,"ИТОГО"," "),DATE(YEAR(D9),MONTH(D9)+1,P61))</f>
        <v>45342</v>
      </c>
      <c r="C61" s="317"/>
      <c r="D61" s="318">
        <f ca="1">IF(O61=0,0,IF(G4="USD",ROUND(D4/N49,0),IF(G4="бел. рублей",IF(AY61&lt;=5,AW61,AW61)," ")))</f>
        <v>125</v>
      </c>
      <c r="E61" s="318"/>
      <c r="F61" s="318"/>
      <c r="G61" s="87">
        <f ca="1">IF(N36=1,Q61,IF(N36=2,R61," "))</f>
        <v>36.225000000000001</v>
      </c>
      <c r="H61" s="87">
        <v>0</v>
      </c>
      <c r="I61" s="87">
        <f ca="1">SUM(D61:H61)+A123</f>
        <v>161.22499999999999</v>
      </c>
      <c r="J61" s="87">
        <f ca="1">U61</f>
        <v>125</v>
      </c>
      <c r="K61" s="87">
        <f t="shared" ref="K61:K92" ca="1" si="0">AB61</f>
        <v>36.225000000000001</v>
      </c>
      <c r="L61" s="87">
        <v>0</v>
      </c>
      <c r="M61" s="87">
        <f ca="1">SUM(J61:L61)+A123</f>
        <v>161.22499999999999</v>
      </c>
      <c r="N61" s="2">
        <v>1</v>
      </c>
      <c r="O61" s="2">
        <f ca="1">IF(N36=1,IF(N49&gt;0,1,0),IF(N36=2,IF(N49&gt;0,1,0),0))</f>
        <v>1</v>
      </c>
      <c r="P61" s="2">
        <f t="shared" ref="P61:P92" ca="1" si="1">IF(D$7+1=A$49,IF(N61=A$49,IF(DATE(YEAR(0),MONTH(0),DAY(D$9)-1)&gt;AT61,DATE(YEAR(0),MONTH(0),DAY(D$9)-1),AT61),AT61),IF(N61=A$49,IF(DATE(YEAR(0),MONTH(0),DAY(D$9)-1)&lt;AT61,DATE(YEAR(0),MONTH(0),DAY(D$9)-1),AT61),AT61))</f>
        <v>20</v>
      </c>
      <c r="Q61" s="134">
        <f t="shared" ref="Q61:Q92" ca="1" si="2">V61</f>
        <v>36.225000000000001</v>
      </c>
      <c r="R61" s="134">
        <f t="shared" ref="R61:R92" ca="1" si="3">W61</f>
        <v>36.225000000000001</v>
      </c>
      <c r="S61" s="134">
        <f>D4</f>
        <v>3000</v>
      </c>
      <c r="T61" s="134">
        <f>IF(N62&lt;=D$8,D$4/(D$7-N61),D62)</f>
        <v>130.43478260869566</v>
      </c>
      <c r="U61" s="134">
        <f ca="1">AW61</f>
        <v>125</v>
      </c>
      <c r="V61" s="134">
        <f ca="1">S61*R46*D5/36000</f>
        <v>36.225000000000001</v>
      </c>
      <c r="W61" s="134">
        <f ca="1">S61*R46*D5/36000</f>
        <v>36.225000000000001</v>
      </c>
      <c r="X61" s="134">
        <f ca="1">IF(D4*R46*D5/36000&lt;&gt;0,IF(VALUE(RIGHT(ROUND(D4*R46*D5/36000,0)))&lt;=5,ROUND(D4*R46*D5/36000,0)-VALUE(RIGHT(ROUND(D4*R46*D5/36000,0))),ROUND(D4*R46*D5/36000,0)+10-VALUE(RIGHT(ROUND(D4*R46*D5/36000,0)))),0)</f>
        <v>40</v>
      </c>
      <c r="Y61" s="134">
        <f ca="1">IF(D4*R46*D5/36000&lt;&gt;0,IF(VALUE(RIGHT(ROUND(D4*R46*D5/36000,0)))&lt;=5,ROUND(D4*R46*D5/36000,0)-VALUE(RIGHT(ROUND(D4*R46*D5/36000,0))),ROUND(D4*R46*D5/36000,0)+10-VALUE(RIGHT(ROUND(D4*R46*D5/36000,0)))),0)</f>
        <v>40</v>
      </c>
      <c r="Z61" s="134">
        <f t="shared" ref="Z61:Z92" si="4">IF(N61&lt;=(D$8+1),D$4,Z60-J60)</f>
        <v>3000</v>
      </c>
      <c r="AA61" s="134">
        <f ca="1">Z61*R46*D5/36000</f>
        <v>36.225000000000001</v>
      </c>
      <c r="AB61" s="134">
        <f t="shared" ref="AB61:AB92" ca="1" si="5">AA61</f>
        <v>36.225000000000001</v>
      </c>
      <c r="AC61" s="134">
        <f ca="1">S61*R46</f>
        <v>81000</v>
      </c>
      <c r="AD61" s="134">
        <f ca="1">Z61*R46</f>
        <v>81000</v>
      </c>
      <c r="AE61" s="134" t="e">
        <f t="shared" ref="AE61:AE92" ca="1" si="6">IF(AL61&lt;&gt;0,IF(VALUE(RIGHT(ROUND(AL61,0)))&lt;=5,ROUND(AL61,0)-VALUE(RIGHT(ROUND(AL61,0))),ROUND(AL61,0)+10-VALUE(RIGHT(ROUND(AL61,0)))),0)</f>
        <v>#REF!</v>
      </c>
      <c r="AF61" s="134" t="e">
        <f t="shared" ref="AF61:AF92" ca="1" si="7">IF(AM61&lt;&gt;0,IF(VALUE(RIGHT(ROUND(AM61,0)))&lt;=5,ROUND(AM61,0)-VALUE(RIGHT(ROUND(AM61,0))),ROUND(AM61,0)+10-VALUE(RIGHT(ROUND(AM61,0)))),0)</f>
        <v>#REF!</v>
      </c>
      <c r="AG61" s="134" t="e">
        <f ca="1">AK61*R46*H47/36000</f>
        <v>#REF!</v>
      </c>
      <c r="AH61" s="134" t="e">
        <f t="shared" ref="AH61:AH92" ca="1" si="8">IF(AG61&lt;&gt;0,IF(VALUE(RIGHT(ROUND(AG61,0)))&lt;=5,ROUND(AG61,0)-VALUE(RIGHT(ROUND(AG61,0))),ROUND(AG61,0)+10-VALUE(RIGHT(ROUND(AG61,0)))),0)</f>
        <v>#REF!</v>
      </c>
      <c r="AI61" s="134" t="e">
        <f ca="1">Z61*R46*H47/36000</f>
        <v>#REF!</v>
      </c>
      <c r="AJ61" s="134" t="e">
        <f t="shared" ref="AJ61:AJ92" ca="1" si="9">IF(AI61&lt;&gt;0,IF(VALUE(RIGHT(ROUND(AI61,0)))&lt;=5,ROUND(AI61,0)-VALUE(RIGHT(ROUND(AI61,0))),ROUND(AI61,0)+10-VALUE(RIGHT(ROUND(AI61,0)))),0)</f>
        <v>#REF!</v>
      </c>
      <c r="AK61" s="134">
        <f t="shared" ref="AK61:AK92" si="10">S61</f>
        <v>3000</v>
      </c>
      <c r="AL61" s="134" t="e">
        <f ca="1">AK61*R46*H47/36000</f>
        <v>#REF!</v>
      </c>
      <c r="AM61" s="134" t="e">
        <f ca="1">AK61*R46*H47/36000</f>
        <v>#REF!</v>
      </c>
      <c r="AN61" s="132">
        <f ca="1">IF(O61=0,0,MONTH(D9)+1)</f>
        <v>2</v>
      </c>
      <c r="AO61" s="132">
        <f t="shared" ref="AO61:AO92" ca="1" si="11">IF(AN61=13,1,AN61)</f>
        <v>2</v>
      </c>
      <c r="AP61" s="2">
        <f ca="1">IF(O61=0,0,YEAR(D9))</f>
        <v>2024</v>
      </c>
      <c r="AQ61" s="2">
        <f t="shared" ref="AQ61:AQ92" ca="1" si="12">IF(AO61=1,AP61+1,AP61)</f>
        <v>2024</v>
      </c>
      <c r="AR61" s="2">
        <f t="shared" ref="AR61:AR92" ca="1" si="13">IF((AP61/2012)=1,1,IF((AP61/2016)=1,1,IF((AP61/2020)=1,1,IF((AP61/2024)=1,1,IF((AP61/2028)=1,1,IF((AP61/2032)=1,1,0))))))</f>
        <v>1</v>
      </c>
      <c r="AS61" s="2">
        <f t="shared" ref="AS61:AS92" ca="1" si="14">IF(AO61=2,IF(AR61=1,29,28),30)</f>
        <v>29</v>
      </c>
      <c r="AT61" s="2">
        <f t="shared" ref="AT61:AT92" si="15">IF(C$60=30,AS61,20)</f>
        <v>20</v>
      </c>
      <c r="AU61" s="2"/>
      <c r="AV61" s="2"/>
      <c r="AW61" s="142">
        <f ca="1">ROUND(IF(O61=0,0,IF(G4="USD",ROUND(D4/N49,2),IF(G4="бел. рублей",D4/N49," "))),2)</f>
        <v>125</v>
      </c>
      <c r="AX61" s="132" t="str">
        <f ca="1">RIGHT(AW61)</f>
        <v>5</v>
      </c>
      <c r="AY61" s="2">
        <f ca="1">VALUE(AX61)</f>
        <v>5</v>
      </c>
      <c r="AZ61" s="2">
        <f ca="1">10-AY61</f>
        <v>5</v>
      </c>
      <c r="BA61" s="2">
        <f t="shared" ref="BA61:BA92" ca="1" si="16">IF(D$8=0,0,IF(O61=1,1,0))</f>
        <v>1</v>
      </c>
      <c r="BB61" s="2"/>
      <c r="BC61" s="2"/>
      <c r="BD61" s="2"/>
      <c r="BE61" s="2"/>
      <c r="BF61" s="2"/>
      <c r="BG61" s="21"/>
      <c r="BH61" s="143">
        <f ca="1">ROUND((D4-D61*(N49-1)),2)</f>
        <v>125</v>
      </c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</row>
    <row r="62" spans="1:143" s="24" customFormat="1" ht="15" customHeight="1">
      <c r="A62" s="4">
        <f t="shared" ref="A62:A84" si="17">A61+1</f>
        <v>2</v>
      </c>
      <c r="B62" s="268">
        <f t="shared" ref="B62:B93" ca="1" si="18">IF(O62=0,IF(O61=1,"ИТОГО"," "),IF(A$49=D$7+1,IF(N62=A$49,IF(MONTH(B61)=2,IF(DAY(D$9)&gt;29,DATE(YEAR(B61),MONTH(B61),AU62),DATE(YEAR(B61),MONTH(B61),P62)),DATE(YEAR(B61),MONTH(B61),P62)),DATE(YEAR(B61),MONTH(B61)+1,P62)),DATE(YEAR(B61),MONTH(B61)+1,P62)))</f>
        <v>45371</v>
      </c>
      <c r="C62" s="268"/>
      <c r="D62" s="269">
        <f ca="1">IF(O62=0,IF(O61=1,D61," "),IF(O62=0,0,IF(O63=1,D61,IF(O63=0,ROUNDUP(D4-D61*(N49-1),2)," "))))</f>
        <v>125</v>
      </c>
      <c r="E62" s="269"/>
      <c r="F62" s="269"/>
      <c r="G62" s="87">
        <f ca="1">IF(O62=0,IF(O61=1,G61," "),IF(N36=1,Q62,IF(N36=2,R62," ")))</f>
        <v>39.690972222222229</v>
      </c>
      <c r="H62" s="87">
        <v>0</v>
      </c>
      <c r="I62" s="87">
        <f t="shared" ref="I62:I93" ca="1" si="19">IF(SUM(D62:H62)=0," ",SUM(D62:H62))</f>
        <v>164.69097222222223</v>
      </c>
      <c r="J62" s="87">
        <f t="shared" ref="J62:J93" ca="1" si="20">IF(O62=1,IF(O63=1,IF(N62&lt;=D$8,U62,AX$62),D$4-AX$62*N$51+AX$62),0)</f>
        <v>130.43478260869566</v>
      </c>
      <c r="K62" s="87">
        <f t="shared" ca="1" si="0"/>
        <v>40.25</v>
      </c>
      <c r="L62" s="87">
        <v>0</v>
      </c>
      <c r="M62" s="87">
        <f t="shared" ref="M62:M93" ca="1" si="21">IF(SUM(J62:L62)=0," ",SUM(J62:L62))</f>
        <v>170.68478260869566</v>
      </c>
      <c r="N62" s="2">
        <f t="shared" ref="N62:N84" si="22">N61+1</f>
        <v>2</v>
      </c>
      <c r="O62" s="2">
        <f ca="1">IF(N36=1,IF(N49&gt;1,1,0),IF(N36=2,IF(N49&gt;1,1,0),0))</f>
        <v>1</v>
      </c>
      <c r="P62" s="2">
        <f t="shared" ca="1" si="1"/>
        <v>20</v>
      </c>
      <c r="Q62" s="134">
        <f t="shared" ca="1" si="2"/>
        <v>39.690972222222229</v>
      </c>
      <c r="R62" s="134">
        <f t="shared" ca="1" si="3"/>
        <v>39.690972222222229</v>
      </c>
      <c r="S62" s="134">
        <f t="shared" ref="S62:S93" ca="1" si="23">IF(O62=0,0,S61-D61)</f>
        <v>2875</v>
      </c>
      <c r="T62" s="134">
        <f t="shared" ref="T62:T93" si="24">IF(N62&lt;=D$8,D$4/(D$7-N61),D62)</f>
        <v>130.43478260869566</v>
      </c>
      <c r="U62" s="134">
        <f t="shared" ref="U62:U93" si="25">T62</f>
        <v>130.43478260869566</v>
      </c>
      <c r="V62" s="134">
        <f ca="1">IF(O63=1,S61*D5*20/36000+S62*D5*10/36000,IF(O63=0,IF(O62=0,0,S62*D5*R47/36000+S61*D5*20/36000+S62*D5*10/36000)))</f>
        <v>39.690972222222229</v>
      </c>
      <c r="W62" s="134">
        <f ca="1">IF(O63=1,S61*D5*20/36000+S62*D5*10/36000,IF(O63=0,IF(O62=0,0,S62*D5*R47/36000+S61*D5*20/36000+S62*D5*10/36000)))</f>
        <v>39.690972222222229</v>
      </c>
      <c r="X62" s="134">
        <f t="shared" ref="X62:X93" ca="1" si="26">IF(O63=1,$D$4*$D$5*20/36000+$D$4*$D$5*10/36000,IF(O63=0,IF(O62=0,0,$D$4*$D$5*$R$47/36000+$D$4*$D$5*20/36000+$D$4*$D$5*10/36000)))</f>
        <v>40.25</v>
      </c>
      <c r="Y62" s="134">
        <f t="shared" ref="Y62:Y93" ca="1" si="27">IF(X62&lt;&gt;0,IF(VALUE(RIGHT(ROUND(X62,0)))&lt;=5,ROUND(X62,0)-VALUE(RIGHT(ROUND(X62,0))),ROUND(X62,0)+10-VALUE(RIGHT(ROUND(X62,0)))),0)</f>
        <v>40</v>
      </c>
      <c r="Z62" s="134">
        <f t="shared" si="4"/>
        <v>3000</v>
      </c>
      <c r="AA62" s="134">
        <f ca="1">IF(O63=1,Z61*D$5*20/36000+Z62*D$5*10/36000,IF(O63=0,IF(O62=0,0,Z62*D$5*R$47/36000+Z61*D$5*20/36000+Z62*D$5*10/36000)))</f>
        <v>40.25</v>
      </c>
      <c r="AB62" s="134">
        <f t="shared" ca="1" si="5"/>
        <v>40.25</v>
      </c>
      <c r="AC62" s="134">
        <f ca="1">IF(S63=0,S62*R47,(S61*20+S62*10))</f>
        <v>88750</v>
      </c>
      <c r="AD62" s="134">
        <f t="shared" ref="AD62:AD67" si="28">IF(Z63=0,Z62*R47,(Z61*20+Z62*10))</f>
        <v>90000</v>
      </c>
      <c r="AE62" s="134" t="e">
        <f t="shared" ca="1" si="6"/>
        <v>#REF!</v>
      </c>
      <c r="AF62" s="134" t="e">
        <f t="shared" ca="1" si="7"/>
        <v>#REF!</v>
      </c>
      <c r="AG62" s="134" t="e">
        <f t="shared" ref="AG62:AG93" ca="1" si="29">IF(O63=1,D$4*H$47*20/36000+D$4*H$47*10/36000,IF(O63=0,IF(O62=0,0,D$4*H$47*R$47/36000+D$4*H$47*20/36000+D$4*H$47*10/36000)))</f>
        <v>#REF!</v>
      </c>
      <c r="AH62" s="134" t="e">
        <f t="shared" ca="1" si="8"/>
        <v>#REF!</v>
      </c>
      <c r="AI62" s="134" t="e">
        <f t="shared" ref="AI62:AI93" ca="1" si="30">IF(O63=1,Z61*H$47*20/36000+Z62*H$47*10/36000,IF(O63=0,IF(O62=0,0,Z62*H$47*R$47/36000+Z61*H$47*20/36000+Z62*H$47*10/36000)))</f>
        <v>#REF!</v>
      </c>
      <c r="AJ62" s="134" t="e">
        <f t="shared" ca="1" si="9"/>
        <v>#REF!</v>
      </c>
      <c r="AK62" s="134">
        <f t="shared" ca="1" si="10"/>
        <v>2875</v>
      </c>
      <c r="AL62" s="134" t="e">
        <f ca="1">IF(O63=1,AK61*H47*20/36000+AK62*H47*10/36000,IF(O63=0,IF(O62=0,0,AK62*H47*R47/36000+AK61*H47*20/36000+AK62*H47*10/36000)))</f>
        <v>#REF!</v>
      </c>
      <c r="AM62" s="134" t="e">
        <f ca="1">IF(O63=1,AK61*H47*20/36000+AK62*H47*10/36000,IF(O63=0,IF(O62=0,0,AK62*H47*R47/36000+AK61*H47*20/36000+AK62*H47*10/36000)))</f>
        <v>#REF!</v>
      </c>
      <c r="AN62" s="132">
        <f t="shared" ref="AN62:AN93" ca="1" si="31">IF(O62=0,0,MONTH(B61)+1)</f>
        <v>3</v>
      </c>
      <c r="AO62" s="132">
        <f t="shared" ca="1" si="11"/>
        <v>3</v>
      </c>
      <c r="AP62" s="2">
        <f t="shared" ref="AP62:AP93" ca="1" si="32">IF(O62=0,0,YEAR(B61))</f>
        <v>2024</v>
      </c>
      <c r="AQ62" s="2">
        <f t="shared" ca="1" si="12"/>
        <v>2024</v>
      </c>
      <c r="AR62" s="2">
        <f t="shared" ca="1" si="13"/>
        <v>1</v>
      </c>
      <c r="AS62" s="2">
        <f t="shared" ca="1" si="14"/>
        <v>30</v>
      </c>
      <c r="AT62" s="2">
        <f t="shared" si="15"/>
        <v>20</v>
      </c>
      <c r="AU62" s="2">
        <f t="shared" ref="AU62:AU93" ca="1" si="33">AS61</f>
        <v>29</v>
      </c>
      <c r="AV62" s="2"/>
      <c r="AW62" s="142">
        <f ca="1">D$4/(A$49-D$8)</f>
        <v>142.85714285714286</v>
      </c>
      <c r="AX62" s="144">
        <f ca="1">ROUNDUP(AW62,2)</f>
        <v>142.85999999999999</v>
      </c>
      <c r="AY62" s="2"/>
      <c r="AZ62" s="2"/>
      <c r="BA62" s="2">
        <f t="shared" ca="1" si="16"/>
        <v>1</v>
      </c>
      <c r="BB62" s="2"/>
      <c r="BC62" s="2"/>
      <c r="BD62" s="2"/>
      <c r="BE62" s="2"/>
      <c r="BF62" s="2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</row>
    <row r="63" spans="1:143" s="24" customFormat="1" ht="15" customHeight="1">
      <c r="A63" s="4">
        <f t="shared" si="17"/>
        <v>3</v>
      </c>
      <c r="B63" s="268">
        <f t="shared" ca="1" si="18"/>
        <v>45402</v>
      </c>
      <c r="C63" s="268"/>
      <c r="D63" s="269">
        <f ca="1">IF(O63=0,IF(O62=1,D61+D62," "),IF(O63=0,0,IF(O64=1,D61,IF(O64=0,D4-D61*(N49-1)," "))))</f>
        <v>125</v>
      </c>
      <c r="E63" s="269"/>
      <c r="F63" s="269"/>
      <c r="G63" s="87">
        <f ca="1">IF(O63=0,IF(O62=1,G61+G62," "),IF(N36=1,Q63,IF(N36=2,R63," ")))</f>
        <v>38.013888888888893</v>
      </c>
      <c r="H63" s="87">
        <v>0</v>
      </c>
      <c r="I63" s="87">
        <f t="shared" ca="1" si="19"/>
        <v>163.01388888888889</v>
      </c>
      <c r="J63" s="87">
        <f t="shared" ca="1" si="20"/>
        <v>136.36363636363637</v>
      </c>
      <c r="K63" s="87">
        <f t="shared" ca="1" si="0"/>
        <v>40.25</v>
      </c>
      <c r="L63" s="87">
        <v>0</v>
      </c>
      <c r="M63" s="87">
        <f t="shared" ca="1" si="21"/>
        <v>176.61363636363637</v>
      </c>
      <c r="N63" s="2">
        <f t="shared" si="22"/>
        <v>3</v>
      </c>
      <c r="O63" s="2">
        <f ca="1">IF(N36=1,IF(N49&gt;2,1,0),IF(N36=2,IF(N49&gt;2,1,0),0))</f>
        <v>1</v>
      </c>
      <c r="P63" s="2">
        <f t="shared" ca="1" si="1"/>
        <v>20</v>
      </c>
      <c r="Q63" s="134">
        <f t="shared" ca="1" si="2"/>
        <v>38.013888888888893</v>
      </c>
      <c r="R63" s="134">
        <f t="shared" ca="1" si="3"/>
        <v>38.013888888888893</v>
      </c>
      <c r="S63" s="134">
        <f t="shared" ca="1" si="23"/>
        <v>2750</v>
      </c>
      <c r="T63" s="134">
        <f t="shared" si="24"/>
        <v>136.36363636363637</v>
      </c>
      <c r="U63" s="134">
        <f t="shared" si="25"/>
        <v>136.36363636363637</v>
      </c>
      <c r="V63" s="134">
        <f ca="1">IF(O64=1,S62*D5*20/36000+S63*D5*10/36000,IF(O64=0,IF(O63=0,0,S63*D5*R47/36000+S62*D5*20/36000+S63*D5*10/36000)))</f>
        <v>38.013888888888893</v>
      </c>
      <c r="W63" s="134">
        <f ca="1">IF(O64=1,S62*D5*20/36000+S63*D5*10/36000,IF(O64=0,IF(O63=0,0,S63*D5*R47/36000+S62*D5*20/36000+S63*D5*10/36000)))</f>
        <v>38.013888888888893</v>
      </c>
      <c r="X63" s="134">
        <f t="shared" ca="1" si="26"/>
        <v>40.25</v>
      </c>
      <c r="Y63" s="134">
        <f t="shared" ca="1" si="27"/>
        <v>40</v>
      </c>
      <c r="Z63" s="134">
        <f t="shared" si="4"/>
        <v>3000</v>
      </c>
      <c r="AA63" s="134">
        <f ca="1">IF(O64=1,Z62*D$5*20/36000+Z63*D$5*10/36000,IF(O64=0,IF(O63=0,0,Z63*D$5*R$47/36000+Z62*D$5*20/36000+Z63*D$5*10/36000)))</f>
        <v>40.25</v>
      </c>
      <c r="AB63" s="134">
        <f t="shared" ca="1" si="5"/>
        <v>40.25</v>
      </c>
      <c r="AC63" s="134">
        <f ca="1">IF(S64=0,S63*R47,(S62*20+S63*10))</f>
        <v>85000</v>
      </c>
      <c r="AD63" s="134">
        <f t="shared" si="28"/>
        <v>90000</v>
      </c>
      <c r="AE63" s="134" t="e">
        <f t="shared" ca="1" si="6"/>
        <v>#REF!</v>
      </c>
      <c r="AF63" s="134" t="e">
        <f t="shared" ca="1" si="7"/>
        <v>#REF!</v>
      </c>
      <c r="AG63" s="134" t="e">
        <f t="shared" ca="1" si="29"/>
        <v>#REF!</v>
      </c>
      <c r="AH63" s="134" t="e">
        <f t="shared" ca="1" si="8"/>
        <v>#REF!</v>
      </c>
      <c r="AI63" s="134" t="e">
        <f t="shared" ca="1" si="30"/>
        <v>#REF!</v>
      </c>
      <c r="AJ63" s="134" t="e">
        <f t="shared" ca="1" si="9"/>
        <v>#REF!</v>
      </c>
      <c r="AK63" s="134">
        <f t="shared" ca="1" si="10"/>
        <v>2750</v>
      </c>
      <c r="AL63" s="134" t="e">
        <f ca="1">IF(O64=1,AK62*H47*20/36000+AK63*H47*10/36000,IF(O64=0,IF(O63=0,0,AK63*H47*R47/36000+AK62*H47*20/36000+AK63*H47*10/36000)))</f>
        <v>#REF!</v>
      </c>
      <c r="AM63" s="134" t="e">
        <f ca="1">IF(O64=1,AK62*H47*20/36000+AK63*H47*10/36000,IF(O64=0,IF(O63=0,0,AK63*H47*R47/36000+AK62*H47*20/36000+AK63*H47*10/36000)))</f>
        <v>#REF!</v>
      </c>
      <c r="AN63" s="132">
        <f t="shared" ca="1" si="31"/>
        <v>4</v>
      </c>
      <c r="AO63" s="132">
        <f t="shared" ca="1" si="11"/>
        <v>4</v>
      </c>
      <c r="AP63" s="2">
        <f t="shared" ca="1" si="32"/>
        <v>2024</v>
      </c>
      <c r="AQ63" s="2">
        <f t="shared" ca="1" si="12"/>
        <v>2024</v>
      </c>
      <c r="AR63" s="2">
        <f t="shared" ca="1" si="13"/>
        <v>1</v>
      </c>
      <c r="AS63" s="2">
        <f t="shared" ca="1" si="14"/>
        <v>30</v>
      </c>
      <c r="AT63" s="2">
        <f t="shared" si="15"/>
        <v>20</v>
      </c>
      <c r="AU63" s="2">
        <f t="shared" ca="1" si="33"/>
        <v>30</v>
      </c>
      <c r="AV63" s="2"/>
      <c r="AW63" s="2"/>
      <c r="AX63" s="2"/>
      <c r="AY63" s="2"/>
      <c r="AZ63" s="2"/>
      <c r="BA63" s="2">
        <f t="shared" ca="1" si="16"/>
        <v>1</v>
      </c>
      <c r="BB63" s="2"/>
      <c r="BC63" s="2"/>
      <c r="BD63" s="2"/>
      <c r="BE63" s="2"/>
      <c r="BF63" s="2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</row>
    <row r="64" spans="1:143" s="24" customFormat="1" ht="15" customHeight="1">
      <c r="A64" s="4">
        <f t="shared" si="17"/>
        <v>4</v>
      </c>
      <c r="B64" s="268">
        <f t="shared" ca="1" si="18"/>
        <v>45432</v>
      </c>
      <c r="C64" s="268"/>
      <c r="D64" s="269">
        <f ca="1">IF(O64=0,IF(O63=1,D61+D62+D63," "),IF(O64=0,0,IF(O65=1,D61,IF(O65=0,D4-D61*(N49-1)," "))))</f>
        <v>125</v>
      </c>
      <c r="E64" s="269"/>
      <c r="F64" s="269"/>
      <c r="G64" s="87">
        <f ca="1">IF(O64=0,IF(O63=1,G61+G62+G63," "),IF(N36=1,Q64,IF(N36=2,R64," ")))</f>
        <v>36.336805555555557</v>
      </c>
      <c r="H64" s="87">
        <v>0</v>
      </c>
      <c r="I64" s="87">
        <f t="shared" ca="1" si="19"/>
        <v>161.33680555555554</v>
      </c>
      <c r="J64" s="87">
        <f t="shared" ca="1" si="20"/>
        <v>142.85999999999999</v>
      </c>
      <c r="K64" s="87">
        <f t="shared" ca="1" si="0"/>
        <v>40.25</v>
      </c>
      <c r="L64" s="87">
        <v>0</v>
      </c>
      <c r="M64" s="87">
        <f t="shared" ca="1" si="21"/>
        <v>183.10999999999999</v>
      </c>
      <c r="N64" s="2">
        <f t="shared" si="22"/>
        <v>4</v>
      </c>
      <c r="O64" s="2">
        <f ca="1">IF(N36=1,IF(N49&gt;3,1,0),IF(N36=2,IF(N49&gt;3,1,0),0))</f>
        <v>1</v>
      </c>
      <c r="P64" s="2">
        <f t="shared" ca="1" si="1"/>
        <v>20</v>
      </c>
      <c r="Q64" s="134">
        <f t="shared" ca="1" si="2"/>
        <v>36.336805555555557</v>
      </c>
      <c r="R64" s="134">
        <f t="shared" ca="1" si="3"/>
        <v>36.336805555555557</v>
      </c>
      <c r="S64" s="134">
        <f t="shared" ca="1" si="23"/>
        <v>2625</v>
      </c>
      <c r="T64" s="134">
        <f t="shared" ca="1" si="24"/>
        <v>125</v>
      </c>
      <c r="U64" s="134">
        <f t="shared" ca="1" si="25"/>
        <v>125</v>
      </c>
      <c r="V64" s="134">
        <f ca="1">IF(O65=1,S63*D5*20/36000+S64*D5*10/36000,IF(O65=0,IF(O64=0,0,S64*D5*R47/36000+S63*D5*20/36000+S64*D5*10/36000)))</f>
        <v>36.336805555555557</v>
      </c>
      <c r="W64" s="134">
        <f ca="1">IF(O65=1,S63*D5*20/36000+S64*D5*10/36000,IF(O65=0,IF(O64=0,0,S64*D5*R47/36000+S63*D5*20/36000+S64*D5*10/36000)))</f>
        <v>36.336805555555557</v>
      </c>
      <c r="X64" s="134">
        <f t="shared" ca="1" si="26"/>
        <v>40.25</v>
      </c>
      <c r="Y64" s="134">
        <f t="shared" ca="1" si="27"/>
        <v>40</v>
      </c>
      <c r="Z64" s="134">
        <f t="shared" si="4"/>
        <v>3000</v>
      </c>
      <c r="AA64" s="134">
        <f ca="1">IF(O65=1,Z63*D$5*20/36000+Z64*D$5*10/36000,IF(O65=0,IF(O64=0,0,Z64*D$5*R$47/36000+Z63*D$5*20/36000+Z64*D$5*10/36000)))</f>
        <v>40.25</v>
      </c>
      <c r="AB64" s="134">
        <f t="shared" ca="1" si="5"/>
        <v>40.25</v>
      </c>
      <c r="AC64" s="134">
        <f ca="1">IF(S65=0,S64*R47,(S63*20+S64*10))</f>
        <v>81250</v>
      </c>
      <c r="AD64" s="134">
        <f t="shared" ca="1" si="28"/>
        <v>90000</v>
      </c>
      <c r="AE64" s="134" t="e">
        <f t="shared" ca="1" si="6"/>
        <v>#REF!</v>
      </c>
      <c r="AF64" s="134" t="e">
        <f t="shared" ca="1" si="7"/>
        <v>#REF!</v>
      </c>
      <c r="AG64" s="134" t="e">
        <f t="shared" ca="1" si="29"/>
        <v>#REF!</v>
      </c>
      <c r="AH64" s="134" t="e">
        <f t="shared" ca="1" si="8"/>
        <v>#REF!</v>
      </c>
      <c r="AI64" s="134" t="e">
        <f t="shared" ca="1" si="30"/>
        <v>#REF!</v>
      </c>
      <c r="AJ64" s="134" t="e">
        <f t="shared" ca="1" si="9"/>
        <v>#REF!</v>
      </c>
      <c r="AK64" s="134">
        <f t="shared" ca="1" si="10"/>
        <v>2625</v>
      </c>
      <c r="AL64" s="134" t="e">
        <f ca="1">IF(O65=1,AK63*H47*20/36000+AK64*H47*10/36000,IF(O65=0,IF(O64=0,0,AK64*H47*R47/36000+AK63*H47*20/36000+AK64*H47*10/36000)))</f>
        <v>#REF!</v>
      </c>
      <c r="AM64" s="134" t="e">
        <f ca="1">IF(O65=1,AK63*H47*20/36000+AK64*H47*10/36000,IF(O65=0,IF(O64=0,0,AK64*H47*R47/36000+AK63*H47*20/36000+AK64*H47*10/36000)))</f>
        <v>#REF!</v>
      </c>
      <c r="AN64" s="132">
        <f t="shared" ca="1" si="31"/>
        <v>5</v>
      </c>
      <c r="AO64" s="132">
        <f t="shared" ca="1" si="11"/>
        <v>5</v>
      </c>
      <c r="AP64" s="2">
        <f t="shared" ca="1" si="32"/>
        <v>2024</v>
      </c>
      <c r="AQ64" s="2">
        <f t="shared" ca="1" si="12"/>
        <v>2024</v>
      </c>
      <c r="AR64" s="2">
        <f t="shared" ca="1" si="13"/>
        <v>1</v>
      </c>
      <c r="AS64" s="2">
        <f t="shared" ca="1" si="14"/>
        <v>30</v>
      </c>
      <c r="AT64" s="2">
        <f t="shared" si="15"/>
        <v>20</v>
      </c>
      <c r="AU64" s="2">
        <f t="shared" ca="1" si="33"/>
        <v>30</v>
      </c>
      <c r="AV64" s="2"/>
      <c r="AW64" s="2"/>
      <c r="AX64" s="2"/>
      <c r="AY64" s="2"/>
      <c r="AZ64" s="2"/>
      <c r="BA64" s="2">
        <f t="shared" ca="1" si="16"/>
        <v>1</v>
      </c>
      <c r="BB64" s="2"/>
      <c r="BC64" s="2"/>
      <c r="BD64" s="2"/>
      <c r="BE64" s="2"/>
      <c r="BF64" s="2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</row>
    <row r="65" spans="1:143" s="24" customFormat="1" ht="15" customHeight="1">
      <c r="A65" s="4">
        <f t="shared" si="17"/>
        <v>5</v>
      </c>
      <c r="B65" s="268">
        <f t="shared" ca="1" si="18"/>
        <v>45463</v>
      </c>
      <c r="C65" s="268"/>
      <c r="D65" s="269">
        <f ca="1">IF(O65=0,IF(O64=1,D61+D62+D63+D64," "),IF(O65=0,0,IF(O66=1,D61,IF(O66=0,D4-D61*(N49-1)," "))))</f>
        <v>125</v>
      </c>
      <c r="E65" s="269"/>
      <c r="F65" s="269"/>
      <c r="G65" s="87">
        <f ca="1">IF(O65=0,IF(O64=1,G61+G62+G63+G64," "),IF(N36=1,Q65,IF(N36=2,R65," ")))</f>
        <v>34.659722222222229</v>
      </c>
      <c r="H65" s="87">
        <v>0</v>
      </c>
      <c r="I65" s="87">
        <f t="shared" ca="1" si="19"/>
        <v>159.65972222222223</v>
      </c>
      <c r="J65" s="87">
        <f t="shared" ca="1" si="20"/>
        <v>142.85999999999999</v>
      </c>
      <c r="K65" s="87">
        <f t="shared" ca="1" si="0"/>
        <v>39.611098333333338</v>
      </c>
      <c r="L65" s="87">
        <v>0</v>
      </c>
      <c r="M65" s="87">
        <f t="shared" ca="1" si="21"/>
        <v>182.47109833333332</v>
      </c>
      <c r="N65" s="2">
        <f t="shared" si="22"/>
        <v>5</v>
      </c>
      <c r="O65" s="2">
        <f ca="1">IF(N36=1,IF(N49&gt;4,1,0),IF(N36=2,IF(N49&gt;4,1,0),0))</f>
        <v>1</v>
      </c>
      <c r="P65" s="2">
        <f t="shared" ca="1" si="1"/>
        <v>20</v>
      </c>
      <c r="Q65" s="134">
        <f t="shared" ca="1" si="2"/>
        <v>34.659722222222229</v>
      </c>
      <c r="R65" s="134">
        <f t="shared" ca="1" si="3"/>
        <v>34.659722222222229</v>
      </c>
      <c r="S65" s="134">
        <f t="shared" ca="1" si="23"/>
        <v>2500</v>
      </c>
      <c r="T65" s="134">
        <f t="shared" ca="1" si="24"/>
        <v>125</v>
      </c>
      <c r="U65" s="134">
        <f t="shared" ca="1" si="25"/>
        <v>125</v>
      </c>
      <c r="V65" s="134">
        <f ca="1">IF(O66=1,S64*D5*20/36000+S65*D5*10/36000,IF(O66=0,IF(O65=0,0,S65*D5*R47/36000+S64*D5*20/36000+S65*D5*10/36000)))</f>
        <v>34.659722222222229</v>
      </c>
      <c r="W65" s="134">
        <f ca="1">IF(O66=1,S64*D5*20/36000+S65*D5*10/36000,IF(O66=0,IF(O65=0,0,S65*D5*R47/36000+S64*D5*20/36000+S65*D5*10/36000)))</f>
        <v>34.659722222222229</v>
      </c>
      <c r="X65" s="134">
        <f t="shared" ca="1" si="26"/>
        <v>40.25</v>
      </c>
      <c r="Y65" s="134">
        <f t="shared" ca="1" si="27"/>
        <v>40</v>
      </c>
      <c r="Z65" s="134">
        <f t="shared" ca="1" si="4"/>
        <v>2857.14</v>
      </c>
      <c r="AA65" s="134">
        <f ca="1">IF(O66=1,Z64*D$5*20/36000+Z65*D$5*10/36000,IF(O66=0,IF(O65=0,0,Z65*D$5*R$47/36000+Z64*D$5*20/36000+Z65*D$5*10/36000)))</f>
        <v>39.611098333333338</v>
      </c>
      <c r="AB65" s="134">
        <f t="shared" ca="1" si="5"/>
        <v>39.611098333333338</v>
      </c>
      <c r="AC65" s="134">
        <f ca="1">IF(S66=0,S65*R47,(S64*20+S65*10))</f>
        <v>77500</v>
      </c>
      <c r="AD65" s="134">
        <f t="shared" ca="1" si="28"/>
        <v>88571.4</v>
      </c>
      <c r="AE65" s="134" t="e">
        <f t="shared" ca="1" si="6"/>
        <v>#REF!</v>
      </c>
      <c r="AF65" s="134" t="e">
        <f t="shared" ca="1" si="7"/>
        <v>#REF!</v>
      </c>
      <c r="AG65" s="134" t="e">
        <f t="shared" ca="1" si="29"/>
        <v>#REF!</v>
      </c>
      <c r="AH65" s="134" t="e">
        <f t="shared" ca="1" si="8"/>
        <v>#REF!</v>
      </c>
      <c r="AI65" s="134" t="e">
        <f t="shared" ca="1" si="30"/>
        <v>#REF!</v>
      </c>
      <c r="AJ65" s="134" t="e">
        <f t="shared" ca="1" si="9"/>
        <v>#REF!</v>
      </c>
      <c r="AK65" s="134">
        <f t="shared" ca="1" si="10"/>
        <v>2500</v>
      </c>
      <c r="AL65" s="134" t="e">
        <f ca="1">IF(O66=1,AK64*H47*20/36000+AK65*H47*10/36000,IF(O66=0,IF(O65=0,0,AK65*H47*R47/36000+AK64*H47*20/36000+AK65*H47*10/36000)))</f>
        <v>#REF!</v>
      </c>
      <c r="AM65" s="134" t="e">
        <f ca="1">IF(O66=1,AK64*H47*20/36000+AK65*H47*10/36000,IF(O66=0,IF(O65=0,0,AK65*H47*R47/36000+AK64*H47*20/36000+AK65*H47*10/36000)))</f>
        <v>#REF!</v>
      </c>
      <c r="AN65" s="132">
        <f t="shared" ca="1" si="31"/>
        <v>6</v>
      </c>
      <c r="AO65" s="132">
        <f t="shared" ca="1" si="11"/>
        <v>6</v>
      </c>
      <c r="AP65" s="2">
        <f t="shared" ca="1" si="32"/>
        <v>2024</v>
      </c>
      <c r="AQ65" s="2">
        <f t="shared" ca="1" si="12"/>
        <v>2024</v>
      </c>
      <c r="AR65" s="2">
        <f t="shared" ca="1" si="13"/>
        <v>1</v>
      </c>
      <c r="AS65" s="2">
        <f t="shared" ca="1" si="14"/>
        <v>30</v>
      </c>
      <c r="AT65" s="2">
        <f t="shared" si="15"/>
        <v>20</v>
      </c>
      <c r="AU65" s="2">
        <f t="shared" ca="1" si="33"/>
        <v>30</v>
      </c>
      <c r="AV65" s="2"/>
      <c r="AW65" s="2"/>
      <c r="AX65" s="2"/>
      <c r="AY65" s="2"/>
      <c r="AZ65" s="2"/>
      <c r="BA65" s="2">
        <f t="shared" ca="1" si="16"/>
        <v>1</v>
      </c>
      <c r="BB65" s="2"/>
      <c r="BC65" s="2"/>
      <c r="BD65" s="2"/>
      <c r="BE65" s="2"/>
      <c r="BF65" s="2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</row>
    <row r="66" spans="1:143" s="24" customFormat="1" ht="15" customHeight="1">
      <c r="A66" s="4">
        <f t="shared" si="17"/>
        <v>6</v>
      </c>
      <c r="B66" s="268">
        <f t="shared" ca="1" si="18"/>
        <v>45493</v>
      </c>
      <c r="C66" s="268"/>
      <c r="D66" s="269">
        <f ca="1">IF(O66=0,IF(O65=1,D61+D62+D63+D64+D65," "),IF(O66=0,0,IF(O67=1,D61,IF(O67=0,ROUNDUP((D4-D61*(N49-1)),2)," "))))</f>
        <v>125</v>
      </c>
      <c r="E66" s="269"/>
      <c r="F66" s="269"/>
      <c r="G66" s="87">
        <f ca="1">IF(O66=0,IF(O65=1,G61+G62+G63+G64+G65," "),IF(N36=1,Q66,IF(N36=2,R66," ")))</f>
        <v>32.982638888888886</v>
      </c>
      <c r="H66" s="87">
        <v>0</v>
      </c>
      <c r="I66" s="87">
        <f t="shared" ca="1" si="19"/>
        <v>157.98263888888889</v>
      </c>
      <c r="J66" s="87">
        <f t="shared" ca="1" si="20"/>
        <v>142.85999999999999</v>
      </c>
      <c r="K66" s="87">
        <f t="shared" ca="1" si="0"/>
        <v>37.694393333333338</v>
      </c>
      <c r="L66" s="87">
        <v>0</v>
      </c>
      <c r="M66" s="87">
        <f t="shared" ca="1" si="21"/>
        <v>180.55439333333334</v>
      </c>
      <c r="N66" s="2">
        <f t="shared" si="22"/>
        <v>6</v>
      </c>
      <c r="O66" s="2">
        <f ca="1">IF(N36=1,IF(N49&gt;5,1,0),IF(N36=2,IF(N49&gt;5,1,0),0))</f>
        <v>1</v>
      </c>
      <c r="P66" s="2">
        <f t="shared" ca="1" si="1"/>
        <v>20</v>
      </c>
      <c r="Q66" s="134">
        <f t="shared" ca="1" si="2"/>
        <v>32.982638888888886</v>
      </c>
      <c r="R66" s="134">
        <f t="shared" ca="1" si="3"/>
        <v>32.982638888888886</v>
      </c>
      <c r="S66" s="134">
        <f t="shared" ca="1" si="23"/>
        <v>2375</v>
      </c>
      <c r="T66" s="134">
        <f t="shared" ca="1" si="24"/>
        <v>125</v>
      </c>
      <c r="U66" s="134">
        <f t="shared" ca="1" si="25"/>
        <v>125</v>
      </c>
      <c r="V66" s="134">
        <f ca="1">IF(O67=1,S65*D5*20/36000+S66*D5*10/36000,IF(O67=0,IF(O66=0,0,S66*D5*R47/36000+S65*D5*20/36000+S66*D5*10/36000)))</f>
        <v>32.982638888888886</v>
      </c>
      <c r="W66" s="134">
        <f ca="1">IF(O67=1,S65*D5*20/36000+S66*D5*10/36000,IF(O67=0,IF(O66=0,0,S66*D5*R47/36000+S65*D5*20/36000+S66*D5*10/36000)))</f>
        <v>32.982638888888886</v>
      </c>
      <c r="X66" s="134">
        <f t="shared" ca="1" si="26"/>
        <v>40.25</v>
      </c>
      <c r="Y66" s="134">
        <f t="shared" ca="1" si="27"/>
        <v>40</v>
      </c>
      <c r="Z66" s="134">
        <f t="shared" ca="1" si="4"/>
        <v>2714.2799999999997</v>
      </c>
      <c r="AA66" s="134">
        <f ca="1">IF(O67=1,Z65*D$5*20/36000+Z66*D$5*10/36000,IF(O67=0,IF(O66=0,0,Z66*D$5*R$47/36000+Z65*D$5*20/36000+Z66*D$5*10/36000)))</f>
        <v>37.694393333333338</v>
      </c>
      <c r="AB66" s="134">
        <f t="shared" ca="1" si="5"/>
        <v>37.694393333333338</v>
      </c>
      <c r="AC66" s="134">
        <f ca="1">IF(S67=0,S66*R47,(S65*20+S66*10))</f>
        <v>73750</v>
      </c>
      <c r="AD66" s="134">
        <f t="shared" ca="1" si="28"/>
        <v>84285.599999999991</v>
      </c>
      <c r="AE66" s="134" t="e">
        <f t="shared" ca="1" si="6"/>
        <v>#REF!</v>
      </c>
      <c r="AF66" s="134" t="e">
        <f t="shared" ca="1" si="7"/>
        <v>#REF!</v>
      </c>
      <c r="AG66" s="134" t="e">
        <f t="shared" ca="1" si="29"/>
        <v>#REF!</v>
      </c>
      <c r="AH66" s="134" t="e">
        <f t="shared" ca="1" si="8"/>
        <v>#REF!</v>
      </c>
      <c r="AI66" s="134" t="e">
        <f t="shared" ca="1" si="30"/>
        <v>#REF!</v>
      </c>
      <c r="AJ66" s="134" t="e">
        <f t="shared" ca="1" si="9"/>
        <v>#REF!</v>
      </c>
      <c r="AK66" s="134">
        <f t="shared" ca="1" si="10"/>
        <v>2375</v>
      </c>
      <c r="AL66" s="134" t="e">
        <f ca="1">IF(O67=1,AK65*H47*20/36000+AK66*H47*10/36000,IF(O67=0,IF(O66=0,0,AK66*H47*R47/36000+AK65*H47*20/36000+AK66*H47*10/36000)))</f>
        <v>#REF!</v>
      </c>
      <c r="AM66" s="134" t="e">
        <f ca="1">IF(O67=1,AK65*H47*20/36000+AK66*H47*10/36000,IF(O67=0,IF(O66=0,0,AK66*H47*R47/36000+AK65*H47*20/36000+AK66*H47*10/36000)))</f>
        <v>#REF!</v>
      </c>
      <c r="AN66" s="132">
        <f t="shared" ca="1" si="31"/>
        <v>7</v>
      </c>
      <c r="AO66" s="132">
        <f t="shared" ca="1" si="11"/>
        <v>7</v>
      </c>
      <c r="AP66" s="2">
        <f t="shared" ca="1" si="32"/>
        <v>2024</v>
      </c>
      <c r="AQ66" s="2">
        <f t="shared" ca="1" si="12"/>
        <v>2024</v>
      </c>
      <c r="AR66" s="2">
        <f t="shared" ca="1" si="13"/>
        <v>1</v>
      </c>
      <c r="AS66" s="2">
        <f t="shared" ca="1" si="14"/>
        <v>30</v>
      </c>
      <c r="AT66" s="2">
        <f t="shared" si="15"/>
        <v>20</v>
      </c>
      <c r="AU66" s="2">
        <f t="shared" ca="1" si="33"/>
        <v>30</v>
      </c>
      <c r="AV66" s="2"/>
      <c r="AW66" s="2"/>
      <c r="AX66" s="2"/>
      <c r="AY66" s="2"/>
      <c r="AZ66" s="2"/>
      <c r="BA66" s="2">
        <f t="shared" ca="1" si="16"/>
        <v>1</v>
      </c>
      <c r="BB66" s="2"/>
      <c r="BC66" s="2"/>
      <c r="BD66" s="2"/>
      <c r="BE66" s="2"/>
      <c r="BF66" s="2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</row>
    <row r="67" spans="1:143" s="24" customFormat="1" ht="15" customHeight="1">
      <c r="A67" s="19">
        <f t="shared" si="17"/>
        <v>7</v>
      </c>
      <c r="B67" s="268">
        <f t="shared" ca="1" si="18"/>
        <v>45524</v>
      </c>
      <c r="C67" s="268"/>
      <c r="D67" s="269">
        <f ca="1">IF(O67=0,IF(O66=1,D61+D62+D63+D64+D65+D66," "),IF(O67=0," ",IF(O68=1,D61,IF(O68=0,ROUNDUP((D4-D61*(N49-1)),2)," "))))</f>
        <v>125</v>
      </c>
      <c r="E67" s="269"/>
      <c r="F67" s="269"/>
      <c r="G67" s="87">
        <f ca="1">IF(O67=0,IF(O66=1,G61+G62+G63+G64+G65+G66," "),IF(N36=1,Q67,IF(N36=2,R67," ")))</f>
        <v>31.305555555555557</v>
      </c>
      <c r="H67" s="87">
        <v>0</v>
      </c>
      <c r="I67" s="87">
        <f t="shared" ca="1" si="19"/>
        <v>156.30555555555554</v>
      </c>
      <c r="J67" s="87">
        <f t="shared" ca="1" si="20"/>
        <v>142.85999999999999</v>
      </c>
      <c r="K67" s="87">
        <f t="shared" ca="1" si="0"/>
        <v>35.77768833333333</v>
      </c>
      <c r="L67" s="87">
        <v>0</v>
      </c>
      <c r="M67" s="87">
        <f t="shared" ca="1" si="21"/>
        <v>178.6376883333333</v>
      </c>
      <c r="N67" s="2">
        <f t="shared" si="22"/>
        <v>7</v>
      </c>
      <c r="O67" s="2">
        <f ca="1">IF(N36=1,IF(N49&gt;6,1,0),IF(N36=2,IF(N49&gt;6,1,0),0))</f>
        <v>1</v>
      </c>
      <c r="P67" s="2">
        <f t="shared" ca="1" si="1"/>
        <v>20</v>
      </c>
      <c r="Q67" s="134">
        <f t="shared" ca="1" si="2"/>
        <v>31.305555555555557</v>
      </c>
      <c r="R67" s="134">
        <f t="shared" ca="1" si="3"/>
        <v>31.305555555555557</v>
      </c>
      <c r="S67" s="134">
        <f t="shared" ca="1" si="23"/>
        <v>2250</v>
      </c>
      <c r="T67" s="134">
        <f t="shared" ca="1" si="24"/>
        <v>125</v>
      </c>
      <c r="U67" s="134">
        <f t="shared" ca="1" si="25"/>
        <v>125</v>
      </c>
      <c r="V67" s="134">
        <f ca="1">IF(O68=1,S66*D$5*20/36000+S67*D$5*10/36000,IF(O68=0,IF(O67=0,0,IF(D$9&gt;20,S66*D$5*20/36000+S67*D$5*(R$47-20)/36000,S67*D$5*R$47/36000))))</f>
        <v>31.305555555555557</v>
      </c>
      <c r="W67" s="134">
        <f ca="1">IF(O68=1,S66*D5*20/36000+S67*D5*10/36000,IF(O68=0,IF(O67=0,0,IF(D9&gt;20,S66*D$5*20/36000+S67*D$5*(R$47-20)/36000,S67*D$5*R$47/36000))))</f>
        <v>31.305555555555557</v>
      </c>
      <c r="X67" s="134">
        <f t="shared" ca="1" si="26"/>
        <v>40.25</v>
      </c>
      <c r="Y67" s="134">
        <f t="shared" ca="1" si="27"/>
        <v>40</v>
      </c>
      <c r="Z67" s="134">
        <f t="shared" ca="1" si="4"/>
        <v>2571.4199999999996</v>
      </c>
      <c r="AA67" s="134">
        <f ca="1">IF(O68=1,Z66*D$5*20/36000+Z67*D$5*10/36000,IF(O68=0,IF(O67=0,0,IF(D$9&gt;20,Z66*D$5*20/36000+Z67*D$5*(R$47-20)/36000,Z67*D$5*R$47/36000))))</f>
        <v>35.77768833333333</v>
      </c>
      <c r="AB67" s="134">
        <f t="shared" ca="1" si="5"/>
        <v>35.77768833333333</v>
      </c>
      <c r="AC67" s="134">
        <f ca="1">IF(S68=0,S67*R47,(S66*20+S67*10))</f>
        <v>70000</v>
      </c>
      <c r="AD67" s="134">
        <f t="shared" ca="1" si="28"/>
        <v>79999.799999999988</v>
      </c>
      <c r="AE67" s="134" t="e">
        <f t="shared" ca="1" si="6"/>
        <v>#REF!</v>
      </c>
      <c r="AF67" s="134" t="e">
        <f t="shared" ca="1" si="7"/>
        <v>#REF!</v>
      </c>
      <c r="AG67" s="134" t="e">
        <f t="shared" ca="1" si="29"/>
        <v>#REF!</v>
      </c>
      <c r="AH67" s="134" t="e">
        <f t="shared" ca="1" si="8"/>
        <v>#REF!</v>
      </c>
      <c r="AI67" s="134" t="e">
        <f t="shared" ca="1" si="30"/>
        <v>#REF!</v>
      </c>
      <c r="AJ67" s="134" t="e">
        <f t="shared" ca="1" si="9"/>
        <v>#REF!</v>
      </c>
      <c r="AK67" s="134">
        <f t="shared" ca="1" si="10"/>
        <v>2250</v>
      </c>
      <c r="AL67" s="134" t="e">
        <f ca="1">IF(O68=1,AK66*H$47*20/36000+AK67*H$47*10/36000,IF(O68=0,IF(O67=0,0,AK67*H$47*R$47/36000)))</f>
        <v>#REF!</v>
      </c>
      <c r="AM67" s="134" t="e">
        <f ca="1">IF(O68=1,AK66*H$47*20/36000+AK67*H$47*10/36000,IF(O68=0,IF(O67=0,0,AK67*H$47*R$47/36000)))</f>
        <v>#REF!</v>
      </c>
      <c r="AN67" s="132">
        <f t="shared" ca="1" si="31"/>
        <v>8</v>
      </c>
      <c r="AO67" s="132">
        <f t="shared" ca="1" si="11"/>
        <v>8</v>
      </c>
      <c r="AP67" s="2">
        <f t="shared" ca="1" si="32"/>
        <v>2024</v>
      </c>
      <c r="AQ67" s="2">
        <f t="shared" ca="1" si="12"/>
        <v>2024</v>
      </c>
      <c r="AR67" s="2">
        <f t="shared" ca="1" si="13"/>
        <v>1</v>
      </c>
      <c r="AS67" s="2">
        <f t="shared" ca="1" si="14"/>
        <v>30</v>
      </c>
      <c r="AT67" s="2">
        <f t="shared" si="15"/>
        <v>20</v>
      </c>
      <c r="AU67" s="2">
        <f t="shared" ca="1" si="33"/>
        <v>30</v>
      </c>
      <c r="AV67" s="2"/>
      <c r="AW67" s="2"/>
      <c r="AX67" s="2"/>
      <c r="AY67" s="2"/>
      <c r="AZ67" s="2"/>
      <c r="BA67" s="2">
        <f t="shared" ca="1" si="16"/>
        <v>1</v>
      </c>
      <c r="BB67" s="2"/>
      <c r="BC67" s="2"/>
      <c r="BD67" s="2"/>
      <c r="BE67" s="2"/>
      <c r="BF67" s="2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</row>
    <row r="68" spans="1:143" s="24" customFormat="1" ht="15" customHeight="1">
      <c r="A68" s="4">
        <f t="shared" si="17"/>
        <v>8</v>
      </c>
      <c r="B68" s="268">
        <f t="shared" ca="1" si="18"/>
        <v>45555</v>
      </c>
      <c r="C68" s="268"/>
      <c r="D68" s="269">
        <f ca="1">IF(O68=0,IF(O67=1,D61+D62+D63+D64+D65+D66+D67," "),IF(O68=0," ",IF(O69=1,D61,IF(O69=0,ROUNDUP((D4-D61*(N49-1)),2)," "))))</f>
        <v>125</v>
      </c>
      <c r="E68" s="269"/>
      <c r="F68" s="269"/>
      <c r="G68" s="87">
        <f ca="1">IF(O68=0,IF(O67=1,G61+G62+G63+G64+G65+G66+G67," "),IF(N36=1,Q68,IF(N36=2,R68," ")))</f>
        <v>29.628472222222221</v>
      </c>
      <c r="H68" s="87">
        <v>0</v>
      </c>
      <c r="I68" s="87">
        <f t="shared" ca="1" si="19"/>
        <v>154.62847222222223</v>
      </c>
      <c r="J68" s="87">
        <f t="shared" ca="1" si="20"/>
        <v>142.85999999999999</v>
      </c>
      <c r="K68" s="87">
        <f t="shared" ca="1" si="0"/>
        <v>33.86098333333333</v>
      </c>
      <c r="L68" s="87">
        <v>0</v>
      </c>
      <c r="M68" s="87">
        <f t="shared" ca="1" si="21"/>
        <v>176.72098333333332</v>
      </c>
      <c r="N68" s="2">
        <f t="shared" si="22"/>
        <v>8</v>
      </c>
      <c r="O68" s="2">
        <f ca="1">IF(N36=1,IF(N49&gt;7,1,0),IF(N36=2,IF(N49&gt;7,1,0),0))</f>
        <v>1</v>
      </c>
      <c r="P68" s="2">
        <f t="shared" ca="1" si="1"/>
        <v>20</v>
      </c>
      <c r="Q68" s="134">
        <f t="shared" ca="1" si="2"/>
        <v>29.628472222222221</v>
      </c>
      <c r="R68" s="134">
        <f t="shared" ca="1" si="3"/>
        <v>29.628472222222221</v>
      </c>
      <c r="S68" s="134">
        <f t="shared" ca="1" si="23"/>
        <v>2125</v>
      </c>
      <c r="T68" s="134">
        <f t="shared" ca="1" si="24"/>
        <v>125</v>
      </c>
      <c r="U68" s="134">
        <f t="shared" ca="1" si="25"/>
        <v>125</v>
      </c>
      <c r="V68" s="134">
        <f ca="1">IF(O69=1,S67*D5*20/36000+S68*D5*10/36000,IF(O69=0,IF(O68=0,0,S68*D5*R47/36000+S67*D5*20/36000+S68*D5*10/36000)))</f>
        <v>29.628472222222221</v>
      </c>
      <c r="W68" s="134">
        <f ca="1">IF(O69=1,S67*D5*20/36000+S68*D5*10/36000,IF(O69=0,IF(O68=0,0,S68*D5*R47/36000+S67*D5*20/36000+S68*D5*10/36000)))</f>
        <v>29.628472222222221</v>
      </c>
      <c r="X68" s="134">
        <f t="shared" ca="1" si="26"/>
        <v>40.25</v>
      </c>
      <c r="Y68" s="134">
        <f t="shared" ca="1" si="27"/>
        <v>40</v>
      </c>
      <c r="Z68" s="134">
        <f t="shared" ca="1" si="4"/>
        <v>2428.5599999999995</v>
      </c>
      <c r="AA68" s="134">
        <f ca="1">IF(O69=1,Z67*D$5*20/36000+Z68*D$5*10/36000,IF(O69=0,IF(O68=0,0,Z68*D$5*R$47/36000+Z67*D$5*20/36000+Z68*D$5*10/36000)))</f>
        <v>33.86098333333333</v>
      </c>
      <c r="AB68" s="134">
        <f t="shared" ca="1" si="5"/>
        <v>33.86098333333333</v>
      </c>
      <c r="AC68" s="134">
        <f ca="1">IF(S69=0,S68*R47,(S67*20+S68*10))</f>
        <v>66250</v>
      </c>
      <c r="AD68" s="134">
        <f ca="1">IF(Z69=0,Z68*R54,(Z67*20+Z68*10))</f>
        <v>75713.999999999985</v>
      </c>
      <c r="AE68" s="134" t="e">
        <f t="shared" ca="1" si="6"/>
        <v>#REF!</v>
      </c>
      <c r="AF68" s="134" t="e">
        <f t="shared" ca="1" si="7"/>
        <v>#REF!</v>
      </c>
      <c r="AG68" s="134" t="e">
        <f t="shared" ca="1" si="29"/>
        <v>#REF!</v>
      </c>
      <c r="AH68" s="134" t="e">
        <f t="shared" ca="1" si="8"/>
        <v>#REF!</v>
      </c>
      <c r="AI68" s="134" t="e">
        <f t="shared" ca="1" si="30"/>
        <v>#REF!</v>
      </c>
      <c r="AJ68" s="134" t="e">
        <f t="shared" ca="1" si="9"/>
        <v>#REF!</v>
      </c>
      <c r="AK68" s="134">
        <f t="shared" ca="1" si="10"/>
        <v>2125</v>
      </c>
      <c r="AL68" s="134" t="e">
        <f ca="1">IF(O69=1,AK67*H47*20/36000+AK68*H47*10/36000,IF(O69=0,IF(O68=0,0,AK68*H47*R47/36000+AK67*H47*20/36000+AK68*H47*10/36000)))</f>
        <v>#REF!</v>
      </c>
      <c r="AM68" s="134" t="e">
        <f ca="1">IF(O69=1,AK67*H47*20/36000+AK68*H47*10/36000,IF(O69=0,IF(O68=0,0,AK68*H47*R47/36000+AK67*H47*20/36000+AK68*H47*10/36000)))</f>
        <v>#REF!</v>
      </c>
      <c r="AN68" s="132">
        <f t="shared" ca="1" si="31"/>
        <v>9</v>
      </c>
      <c r="AO68" s="132">
        <f t="shared" ca="1" si="11"/>
        <v>9</v>
      </c>
      <c r="AP68" s="2">
        <f t="shared" ca="1" si="32"/>
        <v>2024</v>
      </c>
      <c r="AQ68" s="2">
        <f t="shared" ca="1" si="12"/>
        <v>2024</v>
      </c>
      <c r="AR68" s="2">
        <f t="shared" ca="1" si="13"/>
        <v>1</v>
      </c>
      <c r="AS68" s="2">
        <f t="shared" ca="1" si="14"/>
        <v>30</v>
      </c>
      <c r="AT68" s="2">
        <f t="shared" si="15"/>
        <v>20</v>
      </c>
      <c r="AU68" s="2">
        <f t="shared" ca="1" si="33"/>
        <v>30</v>
      </c>
      <c r="AV68" s="2"/>
      <c r="AW68" s="2"/>
      <c r="AX68" s="2"/>
      <c r="AY68" s="2"/>
      <c r="AZ68" s="2"/>
      <c r="BA68" s="2">
        <f t="shared" ca="1" si="16"/>
        <v>1</v>
      </c>
      <c r="BB68" s="2"/>
      <c r="BC68" s="2"/>
      <c r="BD68" s="2"/>
      <c r="BE68" s="2"/>
      <c r="BF68" s="2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</row>
    <row r="69" spans="1:143" s="24" customFormat="1" ht="15" customHeight="1">
      <c r="A69" s="4">
        <f t="shared" si="17"/>
        <v>9</v>
      </c>
      <c r="B69" s="268">
        <f t="shared" ca="1" si="18"/>
        <v>45585</v>
      </c>
      <c r="C69" s="268"/>
      <c r="D69" s="269">
        <f ca="1">IF(O69=0,IF(O68=1,D61+D62+D63+D64+D65+D66+D67+D68," "),IF(O69=0," ",IF(O70=1,D61,IF(O70=0,D4-D61*(N49-1)," "))))</f>
        <v>125</v>
      </c>
      <c r="E69" s="269"/>
      <c r="F69" s="269"/>
      <c r="G69" s="87">
        <f ca="1">IF(O69=0,IF(O68=1,G61+G62+G63+G64+G65+G66+G67+G68," "),IF(N36=1,Q69,IF(N36=2,R69," ")))</f>
        <v>27.951388888888889</v>
      </c>
      <c r="H69" s="87">
        <v>0</v>
      </c>
      <c r="I69" s="87">
        <f t="shared" ca="1" si="19"/>
        <v>152.95138888888889</v>
      </c>
      <c r="J69" s="87">
        <f t="shared" ca="1" si="20"/>
        <v>142.85999999999999</v>
      </c>
      <c r="K69" s="87">
        <f t="shared" ca="1" si="0"/>
        <v>31.94427833333333</v>
      </c>
      <c r="L69" s="87">
        <v>0</v>
      </c>
      <c r="M69" s="87">
        <f t="shared" ca="1" si="21"/>
        <v>174.80427833333331</v>
      </c>
      <c r="N69" s="2">
        <f t="shared" si="22"/>
        <v>9</v>
      </c>
      <c r="O69" s="2">
        <f ca="1">IF(N36=1,IF(N49&gt;8,1,0),IF(N36=2,IF(N49&gt;8,1,0),0))</f>
        <v>1</v>
      </c>
      <c r="P69" s="2">
        <f t="shared" ca="1" si="1"/>
        <v>20</v>
      </c>
      <c r="Q69" s="134">
        <f t="shared" ca="1" si="2"/>
        <v>27.951388888888889</v>
      </c>
      <c r="R69" s="134">
        <f t="shared" ca="1" si="3"/>
        <v>27.951388888888889</v>
      </c>
      <c r="S69" s="134">
        <f t="shared" ca="1" si="23"/>
        <v>2000</v>
      </c>
      <c r="T69" s="134">
        <f t="shared" ca="1" si="24"/>
        <v>125</v>
      </c>
      <c r="U69" s="134">
        <f t="shared" ca="1" si="25"/>
        <v>125</v>
      </c>
      <c r="V69" s="134">
        <f ca="1">IF(O70=1,S68*D5*20/36000+S69*D5*10/36000,IF(O70=0,IF(O69=0,0,S69*D5*R47/36000+S68*D5*20/36000+S69*D5*10/36000)))</f>
        <v>27.951388888888889</v>
      </c>
      <c r="W69" s="134">
        <f ca="1">IF(O70=1,S68*D5*20/36000+S69*D5*10/36000,IF(O70=0,IF(O69=0,0,S69*D5*R47/36000+S68*D5*20/36000+S69*D5*10/36000)))</f>
        <v>27.951388888888889</v>
      </c>
      <c r="X69" s="134">
        <f t="shared" ca="1" si="26"/>
        <v>40.25</v>
      </c>
      <c r="Y69" s="134">
        <f t="shared" ca="1" si="27"/>
        <v>40</v>
      </c>
      <c r="Z69" s="134">
        <f t="shared" ca="1" si="4"/>
        <v>2285.6999999999994</v>
      </c>
      <c r="AA69" s="134">
        <f ca="1">IF(O70=1,Z68*D$5*20/36000+Z69*D$5*10/36000,IF(O70=0,IF(O69=0,0,Z69*D$5*R$47/36000+Z68*D$5*20/36000+Z69*D$5*10/36000)))</f>
        <v>31.94427833333333</v>
      </c>
      <c r="AB69" s="134">
        <f t="shared" ca="1" si="5"/>
        <v>31.94427833333333</v>
      </c>
      <c r="AC69" s="134">
        <f ca="1">IF(S70=0,S69*R47,(S68*20+S69*10))</f>
        <v>62500</v>
      </c>
      <c r="AD69" s="134">
        <f ca="1">IF(Z70=0,Z69*R55,(Z68*20+Z69*10))</f>
        <v>71428.199999999983</v>
      </c>
      <c r="AE69" s="134" t="e">
        <f t="shared" ca="1" si="6"/>
        <v>#REF!</v>
      </c>
      <c r="AF69" s="134" t="e">
        <f t="shared" ca="1" si="7"/>
        <v>#REF!</v>
      </c>
      <c r="AG69" s="134" t="e">
        <f t="shared" ca="1" si="29"/>
        <v>#REF!</v>
      </c>
      <c r="AH69" s="134" t="e">
        <f t="shared" ca="1" si="8"/>
        <v>#REF!</v>
      </c>
      <c r="AI69" s="134" t="e">
        <f t="shared" ca="1" si="30"/>
        <v>#REF!</v>
      </c>
      <c r="AJ69" s="134" t="e">
        <f t="shared" ca="1" si="9"/>
        <v>#REF!</v>
      </c>
      <c r="AK69" s="134">
        <f t="shared" ca="1" si="10"/>
        <v>2000</v>
      </c>
      <c r="AL69" s="134" t="e">
        <f ca="1">IF(O70=1,AK68*H47*20/36000+AK69*H47*10/36000,IF(O70=0,IF(O69=0,0,AK69*H47*R47/36000+AK68*H47*20/36000+AK69*H47*10/36000)))</f>
        <v>#REF!</v>
      </c>
      <c r="AM69" s="134" t="e">
        <f ca="1">IF(O70=1,AK68*H47*20/36000+AK69*H47*10/36000,IF(O70=0,IF(O69=0,0,AK69*H47*R47/36000+AK68*H47*20/36000+AK69*H47*10/36000)))</f>
        <v>#REF!</v>
      </c>
      <c r="AN69" s="132">
        <f t="shared" ca="1" si="31"/>
        <v>10</v>
      </c>
      <c r="AO69" s="132">
        <f t="shared" ca="1" si="11"/>
        <v>10</v>
      </c>
      <c r="AP69" s="2">
        <f t="shared" ca="1" si="32"/>
        <v>2024</v>
      </c>
      <c r="AQ69" s="2">
        <f t="shared" ca="1" si="12"/>
        <v>2024</v>
      </c>
      <c r="AR69" s="2">
        <f t="shared" ca="1" si="13"/>
        <v>1</v>
      </c>
      <c r="AS69" s="2">
        <f t="shared" ca="1" si="14"/>
        <v>30</v>
      </c>
      <c r="AT69" s="2">
        <f t="shared" si="15"/>
        <v>20</v>
      </c>
      <c r="AU69" s="2">
        <f t="shared" ca="1" si="33"/>
        <v>30</v>
      </c>
      <c r="AV69" s="2"/>
      <c r="AW69" s="2"/>
      <c r="AX69" s="2"/>
      <c r="AY69" s="2"/>
      <c r="AZ69" s="2"/>
      <c r="BA69" s="2">
        <f t="shared" ca="1" si="16"/>
        <v>1</v>
      </c>
      <c r="BB69" s="2"/>
      <c r="BC69" s="2"/>
      <c r="BD69" s="2"/>
      <c r="BE69" s="2"/>
      <c r="BF69" s="2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</row>
    <row r="70" spans="1:143" s="24" customFormat="1" ht="15" customHeight="1">
      <c r="A70" s="4">
        <f t="shared" si="17"/>
        <v>10</v>
      </c>
      <c r="B70" s="268">
        <f t="shared" ca="1" si="18"/>
        <v>45616</v>
      </c>
      <c r="C70" s="268"/>
      <c r="D70" s="269">
        <f ca="1">IF(O70=0,IF(O69=1,D61+D62+D63+D64+D65+D66+D67+D68+D69," "),IF(O70=0," ",IF(O71=1,D61,IF(O71=0,D4-D61*(N49-1)," "))))</f>
        <v>125</v>
      </c>
      <c r="E70" s="269"/>
      <c r="F70" s="269"/>
      <c r="G70" s="87">
        <f ca="1">IF(O70=0,IF(O69=1,G61+G62+G63+G64+G65+G66+G67+G68+G69," "),IF(N36=1,Q70,IF(N36=2,R70," ")))</f>
        <v>26.274305555555561</v>
      </c>
      <c r="H70" s="87">
        <v>0</v>
      </c>
      <c r="I70" s="87">
        <f t="shared" ca="1" si="19"/>
        <v>151.27430555555557</v>
      </c>
      <c r="J70" s="87">
        <f t="shared" ca="1" si="20"/>
        <v>142.85999999999999</v>
      </c>
      <c r="K70" s="87">
        <f t="shared" ca="1" si="0"/>
        <v>30.027573333333326</v>
      </c>
      <c r="L70" s="87">
        <v>0</v>
      </c>
      <c r="M70" s="87">
        <f t="shared" ca="1" si="21"/>
        <v>172.88757333333331</v>
      </c>
      <c r="N70" s="2">
        <f t="shared" si="22"/>
        <v>10</v>
      </c>
      <c r="O70" s="2">
        <f ca="1">IF(N36=1,IF(N49&gt;9,1,0),IF(N36=2,IF(N49&gt;9,1,0),0))</f>
        <v>1</v>
      </c>
      <c r="P70" s="2">
        <f t="shared" ca="1" si="1"/>
        <v>20</v>
      </c>
      <c r="Q70" s="134">
        <f t="shared" ca="1" si="2"/>
        <v>26.274305555555561</v>
      </c>
      <c r="R70" s="134">
        <f t="shared" ca="1" si="3"/>
        <v>26.274305555555561</v>
      </c>
      <c r="S70" s="134">
        <f t="shared" ca="1" si="23"/>
        <v>1875</v>
      </c>
      <c r="T70" s="134">
        <f t="shared" ca="1" si="24"/>
        <v>125</v>
      </c>
      <c r="U70" s="134">
        <f t="shared" ca="1" si="25"/>
        <v>125</v>
      </c>
      <c r="V70" s="134">
        <f ca="1">IF(O71=1,S69*D5*20/36000+S70*D5*10/36000,IF(O71=0,IF(O70=0,0,S70*D5*R47/36000+29*D5*20/36000+S70*D5*10/36000)))</f>
        <v>26.274305555555561</v>
      </c>
      <c r="W70" s="134">
        <f ca="1">IF(O71=1,S69*D5*20/36000+S70*D5*10/36000,IF(O71=0,IF(O70=0,0,S70*D5*R47/36000+29*D5*20/36000+S70*D5*10/36000)))</f>
        <v>26.274305555555561</v>
      </c>
      <c r="X70" s="134">
        <f t="shared" ca="1" si="26"/>
        <v>40.25</v>
      </c>
      <c r="Y70" s="134">
        <f t="shared" ca="1" si="27"/>
        <v>40</v>
      </c>
      <c r="Z70" s="134">
        <f t="shared" ca="1" si="4"/>
        <v>2142.8399999999992</v>
      </c>
      <c r="AA70" s="134">
        <f ca="1">IF(O71=1,Z69*D$5*20/36000+Z70*D$5*10/36000,IF(O71=0,IF(O70=0,0,Z70*D$5*R$47/36000+Z69*D$5*20/36000+Z70*D$5*10/36000)))</f>
        <v>30.027573333333326</v>
      </c>
      <c r="AB70" s="134">
        <f t="shared" ca="1" si="5"/>
        <v>30.027573333333326</v>
      </c>
      <c r="AC70" s="134">
        <f ca="1">IF(S71=0,S70*R47,(S69*20+S70*10))</f>
        <v>58750</v>
      </c>
      <c r="AD70" s="134">
        <f ca="1">IF(Z71=0,Z70*R56,(Z69*20+Z70*10))</f>
        <v>67142.39999999998</v>
      </c>
      <c r="AE70" s="134" t="e">
        <f t="shared" ca="1" si="6"/>
        <v>#REF!</v>
      </c>
      <c r="AF70" s="134" t="e">
        <f t="shared" ca="1" si="7"/>
        <v>#REF!</v>
      </c>
      <c r="AG70" s="134" t="e">
        <f t="shared" ca="1" si="29"/>
        <v>#REF!</v>
      </c>
      <c r="AH70" s="134" t="e">
        <f t="shared" ca="1" si="8"/>
        <v>#REF!</v>
      </c>
      <c r="AI70" s="134" t="e">
        <f t="shared" ca="1" si="30"/>
        <v>#REF!</v>
      </c>
      <c r="AJ70" s="134" t="e">
        <f t="shared" ca="1" si="9"/>
        <v>#REF!</v>
      </c>
      <c r="AK70" s="134">
        <f t="shared" ca="1" si="10"/>
        <v>1875</v>
      </c>
      <c r="AL70" s="134" t="e">
        <f ca="1">IF(O71=1,AK69*H47*20/36000+AK70*H47*10/36000,IF(O71=0,IF(O70=0,0,AK70*H47*R47/36000+29*H47*20/36000+AK70*H47*10/36000)))</f>
        <v>#REF!</v>
      </c>
      <c r="AM70" s="134" t="e">
        <f ca="1">IF(O71=1,AK69*H47*20/36000+AK70*H47*10/36000,IF(O71=0,IF(O70=0,0,AK70*H47*R47/36000+29*H47*20/36000+AK70*H47*10/36000)))</f>
        <v>#REF!</v>
      </c>
      <c r="AN70" s="132">
        <f t="shared" ca="1" si="31"/>
        <v>11</v>
      </c>
      <c r="AO70" s="132">
        <f t="shared" ca="1" si="11"/>
        <v>11</v>
      </c>
      <c r="AP70" s="2">
        <f t="shared" ca="1" si="32"/>
        <v>2024</v>
      </c>
      <c r="AQ70" s="2">
        <f t="shared" ca="1" si="12"/>
        <v>2024</v>
      </c>
      <c r="AR70" s="2">
        <f t="shared" ca="1" si="13"/>
        <v>1</v>
      </c>
      <c r="AS70" s="2">
        <f t="shared" ca="1" si="14"/>
        <v>30</v>
      </c>
      <c r="AT70" s="2">
        <f t="shared" si="15"/>
        <v>20</v>
      </c>
      <c r="AU70" s="2">
        <f t="shared" ca="1" si="33"/>
        <v>30</v>
      </c>
      <c r="AV70" s="2"/>
      <c r="AW70" s="2"/>
      <c r="AX70" s="2"/>
      <c r="AY70" s="2"/>
      <c r="AZ70" s="2"/>
      <c r="BA70" s="2">
        <f t="shared" ca="1" si="16"/>
        <v>1</v>
      </c>
      <c r="BB70" s="2"/>
      <c r="BC70" s="2"/>
      <c r="BD70" s="2"/>
      <c r="BE70" s="2"/>
      <c r="BF70" s="2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</row>
    <row r="71" spans="1:143" s="24" customFormat="1" ht="15" customHeight="1">
      <c r="A71" s="4">
        <f t="shared" si="17"/>
        <v>11</v>
      </c>
      <c r="B71" s="268">
        <f t="shared" ca="1" si="18"/>
        <v>45646</v>
      </c>
      <c r="C71" s="268"/>
      <c r="D71" s="269">
        <f ca="1">IF(O71=0,IF(O70=1,D61+D62+D63+D64+D65+D66+D67+D68+D69+D70," "),IF(O71=0," ",IF(O72=1,D61,IF(O72=0,D4-D61*(N49-1)," "))))</f>
        <v>125</v>
      </c>
      <c r="E71" s="269"/>
      <c r="F71" s="269"/>
      <c r="G71" s="87">
        <f ca="1">IF(O71=0,IF(O70=1,G61+G62+G63+G64+G65+G66+G67+G68+G69+G70," "),IF(N36=1,Q71,IF(N36=2,R71," ")))</f>
        <v>24.597222222222225</v>
      </c>
      <c r="H71" s="87">
        <v>0</v>
      </c>
      <c r="I71" s="87">
        <f t="shared" ca="1" si="19"/>
        <v>149.59722222222223</v>
      </c>
      <c r="J71" s="87">
        <f t="shared" ca="1" si="20"/>
        <v>142.85999999999999</v>
      </c>
      <c r="K71" s="87">
        <f t="shared" ca="1" si="0"/>
        <v>28.110868333333325</v>
      </c>
      <c r="L71" s="87">
        <v>0</v>
      </c>
      <c r="M71" s="87">
        <f t="shared" ca="1" si="21"/>
        <v>170.9708683333333</v>
      </c>
      <c r="N71" s="2">
        <f t="shared" si="22"/>
        <v>11</v>
      </c>
      <c r="O71" s="2">
        <f ca="1">IF(N36=1,IF(N49&gt;10,1,0),IF(N36=2,IF(N49&gt;10,1,0),0))</f>
        <v>1</v>
      </c>
      <c r="P71" s="2">
        <f t="shared" ca="1" si="1"/>
        <v>20</v>
      </c>
      <c r="Q71" s="134">
        <f t="shared" ca="1" si="2"/>
        <v>24.597222222222225</v>
      </c>
      <c r="R71" s="134">
        <f t="shared" ca="1" si="3"/>
        <v>24.597222222222225</v>
      </c>
      <c r="S71" s="134">
        <f t="shared" ca="1" si="23"/>
        <v>1750</v>
      </c>
      <c r="T71" s="134">
        <f t="shared" ca="1" si="24"/>
        <v>125</v>
      </c>
      <c r="U71" s="134">
        <f t="shared" ca="1" si="25"/>
        <v>125</v>
      </c>
      <c r="V71" s="134">
        <f ca="1">IF(O72=1,S70*D5*20/36000+S71*D5*10/36000,IF(O72=0,IF(O71=0,0,S71*D5*R47/36000+S70*D5*20/36000+S71*D5*10/36000)))</f>
        <v>24.597222222222225</v>
      </c>
      <c r="W71" s="134">
        <f ca="1">IF(O72=1,S70*D5*20/36000+S71*D5*10/36000,IF(O72=0,IF(O71=0,0,S71*D5*R47/36000+S70*D5*20/36000+S71*D5*10/36000)))</f>
        <v>24.597222222222225</v>
      </c>
      <c r="X71" s="134">
        <f t="shared" ca="1" si="26"/>
        <v>40.25</v>
      </c>
      <c r="Y71" s="134">
        <f t="shared" ca="1" si="27"/>
        <v>40</v>
      </c>
      <c r="Z71" s="134">
        <f t="shared" ca="1" si="4"/>
        <v>1999.9799999999993</v>
      </c>
      <c r="AA71" s="134">
        <f ca="1">IF(O72=1,Z70*D$5*20/36000+Z71*D$5*10/36000,IF(O72=0,IF(O71=0,0,Z71*D$5*R$47/36000+Z70*D$5*20/36000+Z71*D$5*10/36000)))</f>
        <v>28.110868333333325</v>
      </c>
      <c r="AB71" s="134">
        <f t="shared" ca="1" si="5"/>
        <v>28.110868333333325</v>
      </c>
      <c r="AC71" s="134">
        <f ca="1">IF(S72=0,S71*R47,(S70*20+S71*10))</f>
        <v>55000</v>
      </c>
      <c r="AD71" s="134"/>
      <c r="AE71" s="134" t="e">
        <f t="shared" ca="1" si="6"/>
        <v>#REF!</v>
      </c>
      <c r="AF71" s="134" t="e">
        <f t="shared" ca="1" si="7"/>
        <v>#REF!</v>
      </c>
      <c r="AG71" s="134" t="e">
        <f t="shared" ca="1" si="29"/>
        <v>#REF!</v>
      </c>
      <c r="AH71" s="134" t="e">
        <f t="shared" ca="1" si="8"/>
        <v>#REF!</v>
      </c>
      <c r="AI71" s="134" t="e">
        <f t="shared" ca="1" si="30"/>
        <v>#REF!</v>
      </c>
      <c r="AJ71" s="134" t="e">
        <f t="shared" ca="1" si="9"/>
        <v>#REF!</v>
      </c>
      <c r="AK71" s="134">
        <f t="shared" ca="1" si="10"/>
        <v>1750</v>
      </c>
      <c r="AL71" s="134" t="e">
        <f ca="1">IF(O72=1,AK70*H47*20/36000+AK71*H47*10/36000,IF(O72=0,IF(O71=0,0,AK71*H47*R47/36000+AK70*H47*20/36000+AK71*H47*10/36000)))</f>
        <v>#REF!</v>
      </c>
      <c r="AM71" s="134" t="e">
        <f ca="1">IF(O72=1,AK70*H47*20/36000+AK71*H47*10/36000,IF(O72=0,IF(O71=0,0,AK71*H47*R47/36000+AK70*H47*20/36000+AK71*H47*10/36000)))</f>
        <v>#REF!</v>
      </c>
      <c r="AN71" s="132">
        <f t="shared" ca="1" si="31"/>
        <v>12</v>
      </c>
      <c r="AO71" s="132">
        <f t="shared" ca="1" si="11"/>
        <v>12</v>
      </c>
      <c r="AP71" s="2">
        <f t="shared" ca="1" si="32"/>
        <v>2024</v>
      </c>
      <c r="AQ71" s="2">
        <f t="shared" ca="1" si="12"/>
        <v>2024</v>
      </c>
      <c r="AR71" s="2">
        <f t="shared" ca="1" si="13"/>
        <v>1</v>
      </c>
      <c r="AS71" s="2">
        <f t="shared" ca="1" si="14"/>
        <v>30</v>
      </c>
      <c r="AT71" s="2">
        <f t="shared" si="15"/>
        <v>20</v>
      </c>
      <c r="AU71" s="2">
        <f t="shared" ca="1" si="33"/>
        <v>30</v>
      </c>
      <c r="AV71" s="2"/>
      <c r="AW71" s="2"/>
      <c r="AX71" s="2"/>
      <c r="AY71" s="2"/>
      <c r="AZ71" s="2"/>
      <c r="BA71" s="2">
        <f t="shared" ca="1" si="16"/>
        <v>1</v>
      </c>
      <c r="BB71" s="2"/>
      <c r="BC71" s="2"/>
      <c r="BD71" s="2"/>
      <c r="BE71" s="2"/>
      <c r="BF71" s="2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</row>
    <row r="72" spans="1:143" s="24" customFormat="1" ht="15" customHeight="1">
      <c r="A72" s="4">
        <f t="shared" si="17"/>
        <v>12</v>
      </c>
      <c r="B72" s="268">
        <f t="shared" ca="1" si="18"/>
        <v>45677</v>
      </c>
      <c r="C72" s="268"/>
      <c r="D72" s="269">
        <f ca="1">IF(O72=0,IF(O71=1,D61+D62+D63+D64+D65+D66+D67+D68+D69+D70+D71," "),IF(O72=0," ",IF(O73=1,D61,IF(O73=0,D4-D61*(N49-1)," "))))</f>
        <v>125</v>
      </c>
      <c r="E72" s="269"/>
      <c r="F72" s="269"/>
      <c r="G72" s="87">
        <f ca="1">IF(O72=0,IF(O71=1,G61+G62+G63+G64+G65+G66+G67+G68+G69+G70+G71," "),IF(N36=1,Q72,IF(N36=2,R72," ")))</f>
        <v>22.920138888888893</v>
      </c>
      <c r="H72" s="87">
        <v>0</v>
      </c>
      <c r="I72" s="87">
        <f t="shared" ca="1" si="19"/>
        <v>147.92013888888889</v>
      </c>
      <c r="J72" s="87">
        <f t="shared" ca="1" si="20"/>
        <v>142.85999999999999</v>
      </c>
      <c r="K72" s="87">
        <f t="shared" ca="1" si="0"/>
        <v>26.194163333333329</v>
      </c>
      <c r="L72" s="87">
        <v>0</v>
      </c>
      <c r="M72" s="87">
        <f t="shared" ca="1" si="21"/>
        <v>169.05416333333332</v>
      </c>
      <c r="N72" s="2">
        <f t="shared" si="22"/>
        <v>12</v>
      </c>
      <c r="O72" s="2">
        <f ca="1">IF(N36=1,IF(N49&gt;11,1,0),IF(N36=2,IF(N49&gt;11,1,0),0))</f>
        <v>1</v>
      </c>
      <c r="P72" s="2">
        <f t="shared" ca="1" si="1"/>
        <v>20</v>
      </c>
      <c r="Q72" s="134">
        <f t="shared" ca="1" si="2"/>
        <v>22.920138888888893</v>
      </c>
      <c r="R72" s="134">
        <f t="shared" ca="1" si="3"/>
        <v>22.920138888888893</v>
      </c>
      <c r="S72" s="134">
        <f t="shared" ca="1" si="23"/>
        <v>1625</v>
      </c>
      <c r="T72" s="134">
        <f t="shared" ca="1" si="24"/>
        <v>125</v>
      </c>
      <c r="U72" s="134">
        <f t="shared" ca="1" si="25"/>
        <v>125</v>
      </c>
      <c r="V72" s="134">
        <f ca="1">IF(O73=1,S71*D5*20/36000+S72*D5*10/36000,IF(O73=0,IF(O72=0,0,S72*D5*R47/36000+S71*D5*20/36000+S72*D5*10/36000)))</f>
        <v>22.920138888888893</v>
      </c>
      <c r="W72" s="134">
        <f ca="1">IF(O73=1,S71*D5*20/36000+S72*D5*10/36000,IF(O73=0,IF(O72=0,0,S72*D5*R47/36000+S71*D5*20/36000+S72*D5*10/36000)))</f>
        <v>22.920138888888893</v>
      </c>
      <c r="X72" s="134">
        <f t="shared" ca="1" si="26"/>
        <v>40.25</v>
      </c>
      <c r="Y72" s="134">
        <f t="shared" ca="1" si="27"/>
        <v>40</v>
      </c>
      <c r="Z72" s="134">
        <f t="shared" ca="1" si="4"/>
        <v>1857.1199999999994</v>
      </c>
      <c r="AA72" s="134">
        <f ca="1">IF(O73=1,Z71*D$5*20/36000+Z72*D$5*10/36000,IF(O73=0,IF(O72=0,0,Z72*D$5*R$47/36000+Z71*D$5*20/36000+Z72*D$5*10/36000)))</f>
        <v>26.194163333333329</v>
      </c>
      <c r="AB72" s="134">
        <f t="shared" ca="1" si="5"/>
        <v>26.194163333333329</v>
      </c>
      <c r="AC72" s="134">
        <f ca="1">IF(S73=0,S72*R47,(S71*20+S72*10))</f>
        <v>51250</v>
      </c>
      <c r="AD72" s="134"/>
      <c r="AE72" s="134" t="e">
        <f t="shared" ca="1" si="6"/>
        <v>#REF!</v>
      </c>
      <c r="AF72" s="134" t="e">
        <f t="shared" ca="1" si="7"/>
        <v>#REF!</v>
      </c>
      <c r="AG72" s="134" t="e">
        <f t="shared" ca="1" si="29"/>
        <v>#REF!</v>
      </c>
      <c r="AH72" s="134" t="e">
        <f t="shared" ca="1" si="8"/>
        <v>#REF!</v>
      </c>
      <c r="AI72" s="134" t="e">
        <f t="shared" ca="1" si="30"/>
        <v>#REF!</v>
      </c>
      <c r="AJ72" s="134" t="e">
        <f t="shared" ca="1" si="9"/>
        <v>#REF!</v>
      </c>
      <c r="AK72" s="134">
        <f t="shared" ca="1" si="10"/>
        <v>1625</v>
      </c>
      <c r="AL72" s="134" t="e">
        <f ca="1">IF(O73=1,AK71*H47*20/36000+AK72*H47*10/36000,IF(O73=0,IF(O72=0,0,AK72*H47*R47/36000+AK71*H47*20/36000+AK72*H47*10/36000)))</f>
        <v>#REF!</v>
      </c>
      <c r="AM72" s="134" t="e">
        <f ca="1">IF(O73=1,AK71*H47*20/36000+AK72*H47*10/36000,IF(O73=0,IF(O72=0,0,AK72*H47*R47/36000+AK71*H47*20/36000+AK72*H47*10/36000)))</f>
        <v>#REF!</v>
      </c>
      <c r="AN72" s="132">
        <f t="shared" ca="1" si="31"/>
        <v>13</v>
      </c>
      <c r="AO72" s="132">
        <f t="shared" ca="1" si="11"/>
        <v>1</v>
      </c>
      <c r="AP72" s="2">
        <f t="shared" ca="1" si="32"/>
        <v>2024</v>
      </c>
      <c r="AQ72" s="2">
        <f t="shared" ca="1" si="12"/>
        <v>2025</v>
      </c>
      <c r="AR72" s="2">
        <f t="shared" ca="1" si="13"/>
        <v>1</v>
      </c>
      <c r="AS72" s="2">
        <f t="shared" ca="1" si="14"/>
        <v>30</v>
      </c>
      <c r="AT72" s="2">
        <f t="shared" si="15"/>
        <v>20</v>
      </c>
      <c r="AU72" s="2">
        <f t="shared" ca="1" si="33"/>
        <v>30</v>
      </c>
      <c r="AV72" s="2"/>
      <c r="AW72" s="2"/>
      <c r="AX72" s="2"/>
      <c r="AY72" s="2"/>
      <c r="AZ72" s="2"/>
      <c r="BA72" s="2">
        <f t="shared" ca="1" si="16"/>
        <v>1</v>
      </c>
      <c r="BB72" s="2"/>
      <c r="BC72" s="2"/>
      <c r="BD72" s="2"/>
      <c r="BE72" s="2"/>
      <c r="BF72" s="2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19">
        <f t="shared" si="17"/>
        <v>13</v>
      </c>
      <c r="B73" s="268">
        <f t="shared" ca="1" si="18"/>
        <v>45708</v>
      </c>
      <c r="C73" s="268"/>
      <c r="D73" s="269">
        <f ca="1">IF(O73=0,IF(O72=1,D61+D62+D63+D64+D65+D66+D67+D68+D69+D70+D71+D72," "),IF(O73=0," ",IF(O74=1,D61,IF(O74=0,D4-D61*(N49-1)," "))))</f>
        <v>125</v>
      </c>
      <c r="E73" s="269"/>
      <c r="F73" s="269"/>
      <c r="G73" s="87">
        <f ca="1">IF(O73=0,IF(O72=1,G61+G62+G63+G64+G65+G66+G67+G68+G69+G70+G71+G72," "),IF(N36=1,Q73,IF(N36=2,R73," ")))</f>
        <v>21.243055555555557</v>
      </c>
      <c r="H73" s="87">
        <v>0</v>
      </c>
      <c r="I73" s="87">
        <f t="shared" ca="1" si="19"/>
        <v>146.24305555555554</v>
      </c>
      <c r="J73" s="87">
        <f t="shared" ca="1" si="20"/>
        <v>142.85999999999999</v>
      </c>
      <c r="K73" s="87">
        <f t="shared" ca="1" si="0"/>
        <v>24.277458333333332</v>
      </c>
      <c r="L73" s="87">
        <v>0</v>
      </c>
      <c r="M73" s="87">
        <f t="shared" ca="1" si="21"/>
        <v>167.13745833333331</v>
      </c>
      <c r="N73" s="2">
        <f t="shared" si="22"/>
        <v>13</v>
      </c>
      <c r="O73" s="2">
        <f ca="1">IF(N36=1,IF(N49&gt;12,1,0),IF(N36=2,IF(N49&gt;12,1,0),0))</f>
        <v>1</v>
      </c>
      <c r="P73" s="2">
        <f t="shared" ca="1" si="1"/>
        <v>20</v>
      </c>
      <c r="Q73" s="134">
        <f t="shared" ca="1" si="2"/>
        <v>21.243055555555557</v>
      </c>
      <c r="R73" s="134">
        <f t="shared" ca="1" si="3"/>
        <v>21.243055555555557</v>
      </c>
      <c r="S73" s="134">
        <f t="shared" ca="1" si="23"/>
        <v>1500</v>
      </c>
      <c r="T73" s="134">
        <f t="shared" ca="1" si="24"/>
        <v>125</v>
      </c>
      <c r="U73" s="134">
        <f t="shared" ca="1" si="25"/>
        <v>125</v>
      </c>
      <c r="V73" s="134">
        <f ca="1">IF(O74=1,S72*D$5*20/36000+S73*D$5*10/36000,IF(O74=0,IF(O73=0,0,IF(D9&gt;20,S72*D$5*20/36000+S73*D$5*(R$47-20)/36000,S73*D$5*R$47/36000))))</f>
        <v>21.243055555555557</v>
      </c>
      <c r="W73" s="134">
        <f ca="1">IF(O74=1,S72*D$5*20/36000+S73*D$5*10/36000,IF(O74=0,IF(O73=0,0,IF(D9&gt;20,S72*D$5*20/36000+S73*D$5*(R$47-20)/36000,S73*D$5*R$47/36000))))</f>
        <v>21.243055555555557</v>
      </c>
      <c r="X73" s="134">
        <f t="shared" ca="1" si="26"/>
        <v>40.25</v>
      </c>
      <c r="Y73" s="134">
        <f t="shared" ca="1" si="27"/>
        <v>40</v>
      </c>
      <c r="Z73" s="134">
        <f t="shared" ca="1" si="4"/>
        <v>1714.2599999999995</v>
      </c>
      <c r="AA73" s="134">
        <f ca="1">IF(O74=1,Z72*D$5*20/36000+Z73*D$5*10/36000,IF(O74=0,IF(O73=0,0,IF(D$9&gt;20,Z72*D$5*20/36000+Z73*D$5*(R$47-20)/36000,Z73*D$5*R$47/36000))))</f>
        <v>24.277458333333332</v>
      </c>
      <c r="AB73" s="134">
        <f t="shared" ca="1" si="5"/>
        <v>24.277458333333332</v>
      </c>
      <c r="AC73" s="134">
        <f ca="1">IF(S74=0,S73*R47,(S72*20+S73*10))</f>
        <v>47500</v>
      </c>
      <c r="AD73" s="134"/>
      <c r="AE73" s="134" t="e">
        <f t="shared" ca="1" si="6"/>
        <v>#REF!</v>
      </c>
      <c r="AF73" s="134" t="e">
        <f t="shared" ca="1" si="7"/>
        <v>#REF!</v>
      </c>
      <c r="AG73" s="134" t="e">
        <f t="shared" ca="1" si="29"/>
        <v>#REF!</v>
      </c>
      <c r="AH73" s="134" t="e">
        <f t="shared" ca="1" si="8"/>
        <v>#REF!</v>
      </c>
      <c r="AI73" s="134" t="e">
        <f t="shared" ca="1" si="30"/>
        <v>#REF!</v>
      </c>
      <c r="AJ73" s="134" t="e">
        <f t="shared" ca="1" si="9"/>
        <v>#REF!</v>
      </c>
      <c r="AK73" s="134">
        <f t="shared" ca="1" si="10"/>
        <v>1500</v>
      </c>
      <c r="AL73" s="134" t="e">
        <f ca="1">IF(O74=1,AK72*H47*20/36000+AK73*H47*10/36000,IF(O74=0,IF(O73=0,0,AK73*H47*R47/36000)))</f>
        <v>#REF!</v>
      </c>
      <c r="AM73" s="134" t="e">
        <f ca="1">IF(O74=1,AK72*H47*20/36000+AK73*H47*10/36000,IF(O74=0,IF(O73=0,0,AK73*H47*R47/36000)))</f>
        <v>#REF!</v>
      </c>
      <c r="AN73" s="132">
        <f t="shared" ca="1" si="31"/>
        <v>2</v>
      </c>
      <c r="AO73" s="132">
        <f t="shared" ca="1" si="11"/>
        <v>2</v>
      </c>
      <c r="AP73" s="2">
        <f t="shared" ca="1" si="32"/>
        <v>2025</v>
      </c>
      <c r="AQ73" s="2">
        <f t="shared" ca="1" si="12"/>
        <v>2025</v>
      </c>
      <c r="AR73" s="2">
        <f t="shared" ca="1" si="13"/>
        <v>0</v>
      </c>
      <c r="AS73" s="2">
        <f t="shared" ca="1" si="14"/>
        <v>28</v>
      </c>
      <c r="AT73" s="2">
        <f t="shared" si="15"/>
        <v>20</v>
      </c>
      <c r="AU73" s="2">
        <f t="shared" ca="1" si="33"/>
        <v>30</v>
      </c>
      <c r="AV73" s="2"/>
      <c r="AW73" s="2"/>
      <c r="AX73" s="2"/>
      <c r="AY73" s="2"/>
      <c r="AZ73" s="2"/>
      <c r="BA73" s="2">
        <f t="shared" ca="1" si="16"/>
        <v>1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4">
        <f t="shared" si="17"/>
        <v>14</v>
      </c>
      <c r="B74" s="268">
        <f t="shared" ca="1" si="18"/>
        <v>45736</v>
      </c>
      <c r="C74" s="268"/>
      <c r="D74" s="269">
        <f ca="1">IF(O74=0,IF(O73=1,D61+D62+D63+D64+D65+D66+D67+D68+D69+D70+D71+D72+D73," "),IF(O74=0," ",IF(O75=1,D61,IF(O75=0,D4-D61*(N49-1)," "))))</f>
        <v>125</v>
      </c>
      <c r="E74" s="269"/>
      <c r="F74" s="269"/>
      <c r="G74" s="87">
        <f ca="1">IF(O74=0,IF(O73=1,G61+G62+G63+G64+G65+G66+G67+G68+G69+G70+G71+G72+G73," "),IF(N36=1,Q74,IF(N36=2,R74," ")))</f>
        <v>19.565972222222225</v>
      </c>
      <c r="H74" s="87">
        <v>0</v>
      </c>
      <c r="I74" s="87">
        <f t="shared" ca="1" si="19"/>
        <v>144.56597222222223</v>
      </c>
      <c r="J74" s="87">
        <f t="shared" ca="1" si="20"/>
        <v>142.85999999999999</v>
      </c>
      <c r="K74" s="87">
        <f t="shared" ca="1" si="0"/>
        <v>22.360753333333331</v>
      </c>
      <c r="L74" s="87">
        <v>0</v>
      </c>
      <c r="M74" s="87">
        <f t="shared" ca="1" si="21"/>
        <v>165.22075333333331</v>
      </c>
      <c r="N74" s="2">
        <f t="shared" si="22"/>
        <v>14</v>
      </c>
      <c r="O74" s="2">
        <f ca="1">IF(N36=1,IF(N49&gt;13,1,0),IF(N36=2,IF(N49&gt;13,1,0),0))</f>
        <v>1</v>
      </c>
      <c r="P74" s="2">
        <f t="shared" ca="1" si="1"/>
        <v>20</v>
      </c>
      <c r="Q74" s="134">
        <f t="shared" ca="1" si="2"/>
        <v>19.565972222222225</v>
      </c>
      <c r="R74" s="134">
        <f t="shared" ca="1" si="3"/>
        <v>19.565972222222225</v>
      </c>
      <c r="S74" s="134">
        <f t="shared" ca="1" si="23"/>
        <v>1375</v>
      </c>
      <c r="T74" s="134">
        <f t="shared" ca="1" si="24"/>
        <v>125</v>
      </c>
      <c r="U74" s="134">
        <f t="shared" ca="1" si="25"/>
        <v>125</v>
      </c>
      <c r="V74" s="134">
        <f ca="1">IF(O75=1,S73*D5*20/36000+S74*D5*10/36000,IF(O75=0,IF(O74=0,0,S74*D5*R47/36000+S73*D5*20/36000+S74*D5*10/36000)))</f>
        <v>19.565972222222225</v>
      </c>
      <c r="W74" s="134">
        <f ca="1">IF(O75=1,S73*D5*20/36000+S74*D5*10/36000,IF(O75=0,IF(O74=0,0,S74*D5*R47/36000+S73*D5*20/36000+S74*D5*10/36000)))</f>
        <v>19.565972222222225</v>
      </c>
      <c r="X74" s="134">
        <f t="shared" ca="1" si="26"/>
        <v>40.25</v>
      </c>
      <c r="Y74" s="134">
        <f t="shared" ca="1" si="27"/>
        <v>40</v>
      </c>
      <c r="Z74" s="134">
        <f t="shared" ca="1" si="4"/>
        <v>1571.3999999999996</v>
      </c>
      <c r="AA74" s="134">
        <f ca="1">IF(O75=1,Z73*D$5*20/36000+Z74*D$5*10/36000,IF(O75=0,IF(O74=0,0,Z74*D$5*R$47/36000+Z73*D$5*20/36000+Z74*D$5*10/36000)))</f>
        <v>22.360753333333331</v>
      </c>
      <c r="AB74" s="134">
        <f t="shared" ca="1" si="5"/>
        <v>22.360753333333331</v>
      </c>
      <c r="AC74" s="134">
        <f ca="1">IF(S75=0,S74*R47,(S73*20+S74*10))</f>
        <v>43750</v>
      </c>
      <c r="AD74" s="134"/>
      <c r="AE74" s="134" t="e">
        <f t="shared" ca="1" si="6"/>
        <v>#REF!</v>
      </c>
      <c r="AF74" s="134" t="e">
        <f t="shared" ca="1" si="7"/>
        <v>#REF!</v>
      </c>
      <c r="AG74" s="134" t="e">
        <f t="shared" ca="1" si="29"/>
        <v>#REF!</v>
      </c>
      <c r="AH74" s="134" t="e">
        <f t="shared" ca="1" si="8"/>
        <v>#REF!</v>
      </c>
      <c r="AI74" s="134" t="e">
        <f t="shared" ca="1" si="30"/>
        <v>#REF!</v>
      </c>
      <c r="AJ74" s="134" t="e">
        <f t="shared" ca="1" si="9"/>
        <v>#REF!</v>
      </c>
      <c r="AK74" s="134">
        <f t="shared" ca="1" si="10"/>
        <v>1375</v>
      </c>
      <c r="AL74" s="134" t="e">
        <f ca="1">IF(O75=1,AK73*H47*20/36000+AK74*H47*10/36000,IF(O75=0,IF(O74=0,0,AK74*H47*R47/36000+AK73*H47*20/36000+AK74*H47*10/36000)))</f>
        <v>#REF!</v>
      </c>
      <c r="AM74" s="134" t="e">
        <f ca="1">IF(O75=1,AK73*H47*20/36000+AK74*H47*10/36000,IF(O75=0,IF(O74=0,0,AK74*H47*R47/36000+AK73*H47*20/36000+AK74*H47*10/36000)))</f>
        <v>#REF!</v>
      </c>
      <c r="AN74" s="132">
        <f t="shared" ca="1" si="31"/>
        <v>3</v>
      </c>
      <c r="AO74" s="132">
        <f t="shared" ca="1" si="11"/>
        <v>3</v>
      </c>
      <c r="AP74" s="2">
        <f t="shared" ca="1" si="32"/>
        <v>2025</v>
      </c>
      <c r="AQ74" s="2">
        <f t="shared" ca="1" si="12"/>
        <v>2025</v>
      </c>
      <c r="AR74" s="2">
        <f t="shared" ca="1" si="13"/>
        <v>0</v>
      </c>
      <c r="AS74" s="2">
        <f t="shared" ca="1" si="14"/>
        <v>30</v>
      </c>
      <c r="AT74" s="2">
        <f t="shared" si="15"/>
        <v>20</v>
      </c>
      <c r="AU74" s="2">
        <f t="shared" ca="1" si="33"/>
        <v>28</v>
      </c>
      <c r="AV74" s="2"/>
      <c r="AW74" s="2"/>
      <c r="AX74" s="2"/>
      <c r="AY74" s="2"/>
      <c r="AZ74" s="2"/>
      <c r="BA74" s="2">
        <f t="shared" ca="1" si="16"/>
        <v>1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7"/>
        <v>15</v>
      </c>
      <c r="B75" s="268">
        <f t="shared" ca="1" si="18"/>
        <v>45767</v>
      </c>
      <c r="C75" s="268"/>
      <c r="D75" s="269">
        <f ca="1">IF(O75=0,IF(O74=1,D61+D62+D63+D64+D65+D66+D67+D68+D69+D70+D71+D72+D73+D74," "),IF(O75=0," ",IF(O76=1,D61,IF(O76=0,D4-D61*(N49-1)," "))))</f>
        <v>125</v>
      </c>
      <c r="E75" s="269"/>
      <c r="F75" s="269"/>
      <c r="G75" s="87">
        <f ca="1">IF(O75=0,IF(O74=1,G61+G62+G63+G64+G65+G66+G67+G68+G69+G70+G71+G72+G73+G74," "),IF(N36=1,Q75,IF(N36=2,R75," ")))</f>
        <v>17.888888888888889</v>
      </c>
      <c r="H75" s="87">
        <v>0</v>
      </c>
      <c r="I75" s="87">
        <f t="shared" ca="1" si="19"/>
        <v>142.88888888888889</v>
      </c>
      <c r="J75" s="87">
        <f t="shared" ca="1" si="20"/>
        <v>142.85999999999999</v>
      </c>
      <c r="K75" s="87">
        <f t="shared" ca="1" si="0"/>
        <v>20.444048333333331</v>
      </c>
      <c r="L75" s="87">
        <v>0</v>
      </c>
      <c r="M75" s="87">
        <f t="shared" ca="1" si="21"/>
        <v>163.30404833333333</v>
      </c>
      <c r="N75" s="2">
        <f t="shared" si="22"/>
        <v>15</v>
      </c>
      <c r="O75" s="2">
        <f ca="1">IF(N36=1,IF(N49&gt;14,1,0),IF(N36=2,IF(N49&gt;14,1,0),0))</f>
        <v>1</v>
      </c>
      <c r="P75" s="2">
        <f t="shared" ca="1" si="1"/>
        <v>20</v>
      </c>
      <c r="Q75" s="134">
        <f t="shared" ca="1" si="2"/>
        <v>17.888888888888889</v>
      </c>
      <c r="R75" s="134">
        <f t="shared" ca="1" si="3"/>
        <v>17.888888888888889</v>
      </c>
      <c r="S75" s="134">
        <f t="shared" ca="1" si="23"/>
        <v>1250</v>
      </c>
      <c r="T75" s="134">
        <f t="shared" ca="1" si="24"/>
        <v>125</v>
      </c>
      <c r="U75" s="134">
        <f t="shared" ca="1" si="25"/>
        <v>125</v>
      </c>
      <c r="V75" s="134">
        <f ca="1">IF(O76=1,S74*D5*20/36000+S75*D5*10/36000,IF(O76=0,IF(O75=0,0,S75*D5*R47/36000+S74*D5*20/36000+S75*D5*10/36000)))</f>
        <v>17.888888888888889</v>
      </c>
      <c r="W75" s="134">
        <f ca="1">IF(O76=1,S74*D5*20/36000+S75*D5*10/36000,IF(O76=0,IF(O75=0,0,S75*D5*R47/36000+S74*D5*20/36000+S75*D5*10/36000)))</f>
        <v>17.888888888888889</v>
      </c>
      <c r="X75" s="134">
        <f t="shared" ca="1" si="26"/>
        <v>40.25</v>
      </c>
      <c r="Y75" s="134">
        <f t="shared" ca="1" si="27"/>
        <v>40</v>
      </c>
      <c r="Z75" s="134">
        <f t="shared" ca="1" si="4"/>
        <v>1428.5399999999997</v>
      </c>
      <c r="AA75" s="134">
        <f ca="1">IF(O76=1,Z74*D$5*20/36000+Z75*D$5*10/36000,IF(O76=0,IF(O75=0,0,Z75*D$5*R$47/36000+Z74*D$5*20/36000+Z75*D$5*10/36000)))</f>
        <v>20.444048333333331</v>
      </c>
      <c r="AB75" s="134">
        <f t="shared" ca="1" si="5"/>
        <v>20.444048333333331</v>
      </c>
      <c r="AC75" s="134">
        <f ca="1">IF(S76=0,S75*R47,(S74*20+S75*10))</f>
        <v>40000</v>
      </c>
      <c r="AD75" s="134"/>
      <c r="AE75" s="134" t="e">
        <f t="shared" ca="1" si="6"/>
        <v>#REF!</v>
      </c>
      <c r="AF75" s="134" t="e">
        <f t="shared" ca="1" si="7"/>
        <v>#REF!</v>
      </c>
      <c r="AG75" s="134" t="e">
        <f t="shared" ca="1" si="29"/>
        <v>#REF!</v>
      </c>
      <c r="AH75" s="134" t="e">
        <f t="shared" ca="1" si="8"/>
        <v>#REF!</v>
      </c>
      <c r="AI75" s="134" t="e">
        <f t="shared" ca="1" si="30"/>
        <v>#REF!</v>
      </c>
      <c r="AJ75" s="134" t="e">
        <f t="shared" ca="1" si="9"/>
        <v>#REF!</v>
      </c>
      <c r="AK75" s="134">
        <f t="shared" ca="1" si="10"/>
        <v>1250</v>
      </c>
      <c r="AL75" s="134" t="e">
        <f ca="1">IF(O76=1,AK74*H47*20/36000+AK75*H47*10/36000,IF(O76=0,IF(O75=0,0,AK75*H47*R47/36000+AK74*H47*20/36000+AK75*H47*10/36000)))</f>
        <v>#REF!</v>
      </c>
      <c r="AM75" s="134" t="e">
        <f ca="1">IF(O76=1,AK74*H47*20/36000+AK75*H47*10/36000,IF(O76=0,IF(O75=0,0,AK75*H47*R47/36000+AK74*H47*20/36000+AK75*H47*10/36000)))</f>
        <v>#REF!</v>
      </c>
      <c r="AN75" s="132">
        <f t="shared" ca="1" si="31"/>
        <v>4</v>
      </c>
      <c r="AO75" s="132">
        <f t="shared" ca="1" si="11"/>
        <v>4</v>
      </c>
      <c r="AP75" s="2">
        <f t="shared" ca="1" si="32"/>
        <v>2025</v>
      </c>
      <c r="AQ75" s="2">
        <f t="shared" ca="1" si="12"/>
        <v>2025</v>
      </c>
      <c r="AR75" s="2">
        <f t="shared" ca="1" si="13"/>
        <v>0</v>
      </c>
      <c r="AS75" s="2">
        <f t="shared" ca="1" si="14"/>
        <v>30</v>
      </c>
      <c r="AT75" s="2">
        <f t="shared" si="15"/>
        <v>20</v>
      </c>
      <c r="AU75" s="2">
        <f t="shared" ca="1" si="33"/>
        <v>30</v>
      </c>
      <c r="AV75" s="2"/>
      <c r="AW75" s="2"/>
      <c r="AX75" s="2"/>
      <c r="AY75" s="2"/>
      <c r="AZ75" s="2"/>
      <c r="BA75" s="2">
        <f t="shared" ca="1" si="16"/>
        <v>1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4">
        <f t="shared" si="17"/>
        <v>16</v>
      </c>
      <c r="B76" s="268">
        <f t="shared" ca="1" si="18"/>
        <v>45797</v>
      </c>
      <c r="C76" s="268"/>
      <c r="D76" s="269">
        <f ca="1">IF(O76=0,IF(O75=1,D61+D62+D63+D64+D65+D66+D67+D68+D69+D70+D71+D72+D73+D74+D75," "),IF(O76=0," ",IF(O77=1,D61,IF(O77=0,D4-D61*(N49-1)," "))))</f>
        <v>125</v>
      </c>
      <c r="E76" s="269"/>
      <c r="F76" s="269"/>
      <c r="G76" s="87">
        <f ca="1">IF(O76=0,IF(O75=1,G61+G62+G63+G64+G65+G66+G67+G68+G69+G70+G71+G72+G73+G74+G75," "),IF(N36=1,Q76,IF(N36=2,R76," ")))</f>
        <v>16.211805555555557</v>
      </c>
      <c r="H76" s="87">
        <v>0</v>
      </c>
      <c r="I76" s="87">
        <f t="shared" ca="1" si="19"/>
        <v>141.21180555555554</v>
      </c>
      <c r="J76" s="87">
        <f t="shared" ca="1" si="20"/>
        <v>142.85999999999999</v>
      </c>
      <c r="K76" s="87">
        <f t="shared" ca="1" si="0"/>
        <v>18.527343333333334</v>
      </c>
      <c r="L76" s="87">
        <v>0</v>
      </c>
      <c r="M76" s="87">
        <f t="shared" ca="1" si="21"/>
        <v>161.38734333333332</v>
      </c>
      <c r="N76" s="2">
        <f t="shared" si="22"/>
        <v>16</v>
      </c>
      <c r="O76" s="2">
        <f ca="1">IF(N36=1,IF(N49&gt;15,1,0),IF(N36=2,IF(N49&gt;15,1,0),0))</f>
        <v>1</v>
      </c>
      <c r="P76" s="2">
        <f t="shared" ca="1" si="1"/>
        <v>20</v>
      </c>
      <c r="Q76" s="134">
        <f t="shared" ca="1" si="2"/>
        <v>16.211805555555557</v>
      </c>
      <c r="R76" s="134">
        <f t="shared" ca="1" si="3"/>
        <v>16.211805555555557</v>
      </c>
      <c r="S76" s="134">
        <f t="shared" ca="1" si="23"/>
        <v>1125</v>
      </c>
      <c r="T76" s="134">
        <f t="shared" ca="1" si="24"/>
        <v>125</v>
      </c>
      <c r="U76" s="134">
        <f t="shared" ca="1" si="25"/>
        <v>125</v>
      </c>
      <c r="V76" s="134">
        <f ca="1">IF(O77=1,S75*D5*20/36000+S76*D5*10/36000,IF(O77=0,IF(O76=0,0,S76*D5*R47/36000+S75*D5*20/36000+S76*D5*10/36000)))</f>
        <v>16.211805555555557</v>
      </c>
      <c r="W76" s="134">
        <f ca="1">IF(O77=1,S75*D5*20/36000+S76*D5*10/36000,IF(O77=0,IF(O76=0,0,S76*D5*R47/36000+S75*D5*20/36000+S76*D5*10/36000)))</f>
        <v>16.211805555555557</v>
      </c>
      <c r="X76" s="134">
        <f t="shared" ca="1" si="26"/>
        <v>40.25</v>
      </c>
      <c r="Y76" s="134">
        <f t="shared" ca="1" si="27"/>
        <v>40</v>
      </c>
      <c r="Z76" s="134">
        <f t="shared" ca="1" si="4"/>
        <v>1285.6799999999998</v>
      </c>
      <c r="AA76" s="134">
        <f ca="1">IF(O77=1,Z75*D$5*20/36000+Z76*D$5*10/36000,IF(O77=0,IF(O76=0,0,Z76*D$5*R$47/36000+Z75*D$5*20/36000+Z76*D$5*10/36000)))</f>
        <v>18.527343333333334</v>
      </c>
      <c r="AB76" s="134">
        <f t="shared" ca="1" si="5"/>
        <v>18.527343333333334</v>
      </c>
      <c r="AC76" s="134">
        <f ca="1">IF(S77=0,S76*R47,(S75*20+S76*10))</f>
        <v>36250</v>
      </c>
      <c r="AD76" s="134"/>
      <c r="AE76" s="134" t="e">
        <f t="shared" ca="1" si="6"/>
        <v>#REF!</v>
      </c>
      <c r="AF76" s="134" t="e">
        <f t="shared" ca="1" si="7"/>
        <v>#REF!</v>
      </c>
      <c r="AG76" s="134" t="e">
        <f t="shared" ca="1" si="29"/>
        <v>#REF!</v>
      </c>
      <c r="AH76" s="134" t="e">
        <f t="shared" ca="1" si="8"/>
        <v>#REF!</v>
      </c>
      <c r="AI76" s="134" t="e">
        <f t="shared" ca="1" si="30"/>
        <v>#REF!</v>
      </c>
      <c r="AJ76" s="134" t="e">
        <f t="shared" ca="1" si="9"/>
        <v>#REF!</v>
      </c>
      <c r="AK76" s="134">
        <f t="shared" ca="1" si="10"/>
        <v>1125</v>
      </c>
      <c r="AL76" s="134" t="e">
        <f ca="1">IF(O77=1,AK75*H47*20/36000+AK76*H47*10/36000,IF(O77=0,IF(O76=0,0,AK76*H47*R47/36000+AK75*H47*20/36000+AK76*H47*10/36000)))</f>
        <v>#REF!</v>
      </c>
      <c r="AM76" s="134" t="e">
        <f ca="1">IF(O77=1,AK75*H47*20/36000+AK76*H47*10/36000,IF(O77=0,IF(O76=0,0,AK76*H47*R47/36000+AK75*H47*20/36000+AK76*H47*10/36000)))</f>
        <v>#REF!</v>
      </c>
      <c r="AN76" s="132">
        <f t="shared" ca="1" si="31"/>
        <v>5</v>
      </c>
      <c r="AO76" s="132">
        <f t="shared" ca="1" si="11"/>
        <v>5</v>
      </c>
      <c r="AP76" s="2">
        <f t="shared" ca="1" si="32"/>
        <v>2025</v>
      </c>
      <c r="AQ76" s="2">
        <f t="shared" ca="1" si="12"/>
        <v>2025</v>
      </c>
      <c r="AR76" s="2">
        <f t="shared" ca="1" si="13"/>
        <v>0</v>
      </c>
      <c r="AS76" s="2">
        <f t="shared" ca="1" si="14"/>
        <v>30</v>
      </c>
      <c r="AT76" s="2">
        <f t="shared" si="15"/>
        <v>20</v>
      </c>
      <c r="AU76" s="2">
        <f t="shared" ca="1" si="33"/>
        <v>30</v>
      </c>
      <c r="AV76" s="2"/>
      <c r="AW76" s="2"/>
      <c r="AX76" s="2"/>
      <c r="AY76" s="2"/>
      <c r="AZ76" s="2"/>
      <c r="BA76" s="2">
        <f t="shared" ca="1" si="16"/>
        <v>1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7"/>
        <v>17</v>
      </c>
      <c r="B77" s="268">
        <f t="shared" ca="1" si="18"/>
        <v>45828</v>
      </c>
      <c r="C77" s="268"/>
      <c r="D77" s="269">
        <f ca="1">IF(O77=0,IF(O76=1,D61+D62+D63+D64+D65+D66+D67+D68+D69+D70+D71+D72+D73+D74+D75+D76," "),IF(O77=0," ",IF(O78=1,D61,IF(O78=0,D4-D61*(N49-1)," "))))</f>
        <v>125</v>
      </c>
      <c r="E77" s="269"/>
      <c r="F77" s="269"/>
      <c r="G77" s="87">
        <f ca="1">IF(O77=0,IF(O76=1,G61+G62+G63+G64+G65+G66+G67+G68+G69+G70+G72+G71+G73+G74+G75+G76," "),IF(N36=1,Q77,IF(N36=2,R77," ")))</f>
        <v>14.534722222222223</v>
      </c>
      <c r="H77" s="87">
        <v>0</v>
      </c>
      <c r="I77" s="87">
        <f t="shared" ca="1" si="19"/>
        <v>139.53472222222223</v>
      </c>
      <c r="J77" s="87">
        <f t="shared" ca="1" si="20"/>
        <v>142.85999999999999</v>
      </c>
      <c r="K77" s="87">
        <f t="shared" ca="1" si="0"/>
        <v>16.610638333333334</v>
      </c>
      <c r="L77" s="87">
        <v>0</v>
      </c>
      <c r="M77" s="87">
        <f t="shared" ca="1" si="21"/>
        <v>159.47063833333331</v>
      </c>
      <c r="N77" s="2">
        <f t="shared" si="22"/>
        <v>17</v>
      </c>
      <c r="O77" s="2">
        <f ca="1">IF(N36=1,IF(N49&gt;16,1,0),IF(N36=2,IF(N49&gt;16,1,0),0))</f>
        <v>1</v>
      </c>
      <c r="P77" s="2">
        <f t="shared" ca="1" si="1"/>
        <v>20</v>
      </c>
      <c r="Q77" s="134">
        <f t="shared" ca="1" si="2"/>
        <v>14.534722222222223</v>
      </c>
      <c r="R77" s="134">
        <f t="shared" ca="1" si="3"/>
        <v>14.534722222222223</v>
      </c>
      <c r="S77" s="134">
        <f t="shared" ca="1" si="23"/>
        <v>1000</v>
      </c>
      <c r="T77" s="134">
        <f t="shared" ca="1" si="24"/>
        <v>125</v>
      </c>
      <c r="U77" s="134">
        <f t="shared" ca="1" si="25"/>
        <v>125</v>
      </c>
      <c r="V77" s="134">
        <f ca="1">IF(O78=1,S76*D5*20/36000+S77*D5*10/36000,IF(O78=0,IF(O77=0,0,S77*D5*R47/36000+S76*D5*20/36000+S77*D5*10/36000)))</f>
        <v>14.534722222222223</v>
      </c>
      <c r="W77" s="134">
        <f ca="1">IF(O78=1,S76*D5*20/36000+S77*D5*10/36000,IF(O78=0,IF(O77=0,0,S77*D5*R47/36000+S76*D5*20/36000+S77*D5*10/36000)))</f>
        <v>14.534722222222223</v>
      </c>
      <c r="X77" s="134">
        <f t="shared" ca="1" si="26"/>
        <v>40.25</v>
      </c>
      <c r="Y77" s="134">
        <f t="shared" ca="1" si="27"/>
        <v>40</v>
      </c>
      <c r="Z77" s="134">
        <f t="shared" ca="1" si="4"/>
        <v>1142.82</v>
      </c>
      <c r="AA77" s="134">
        <f ca="1">IF(O78=1,Z76*D$5*20/36000+Z77*D$5*10/36000,IF(O78=0,IF(O77=0,0,Z77*D$5*R$47/36000+Z76*D$5*20/36000+Z77*D$5*10/36000)))</f>
        <v>16.610638333333334</v>
      </c>
      <c r="AB77" s="134">
        <f t="shared" ca="1" si="5"/>
        <v>16.610638333333334</v>
      </c>
      <c r="AC77" s="134">
        <f ca="1">IF(S78=0,S77*R47,(S76*20+S77*10))</f>
        <v>32500</v>
      </c>
      <c r="AD77" s="134"/>
      <c r="AE77" s="134" t="e">
        <f t="shared" ca="1" si="6"/>
        <v>#REF!</v>
      </c>
      <c r="AF77" s="134" t="e">
        <f t="shared" ca="1" si="7"/>
        <v>#REF!</v>
      </c>
      <c r="AG77" s="134" t="e">
        <f t="shared" ca="1" si="29"/>
        <v>#REF!</v>
      </c>
      <c r="AH77" s="134" t="e">
        <f t="shared" ca="1" si="8"/>
        <v>#REF!</v>
      </c>
      <c r="AI77" s="134" t="e">
        <f t="shared" ca="1" si="30"/>
        <v>#REF!</v>
      </c>
      <c r="AJ77" s="134" t="e">
        <f t="shared" ca="1" si="9"/>
        <v>#REF!</v>
      </c>
      <c r="AK77" s="134">
        <f t="shared" ca="1" si="10"/>
        <v>1000</v>
      </c>
      <c r="AL77" s="134" t="e">
        <f ca="1">IF(O78=1,AK76*H47*20/36000+AK77*H47*10/36000,IF(O78=0,IF(O77=0,0,AK77*H47*R47/36000+AK76*H47*20/36000+AK77*H47*10/36000)))</f>
        <v>#REF!</v>
      </c>
      <c r="AM77" s="134" t="e">
        <f ca="1">IF(O78=1,AK76*H47*20/36000+AK77*H47*10/36000,IF(O78=0,IF(O77=0,0,AK77*H47*R47/36000+AK76*H47*20/36000+AK77*H47*10/36000)))</f>
        <v>#REF!</v>
      </c>
      <c r="AN77" s="132">
        <f t="shared" ca="1" si="31"/>
        <v>6</v>
      </c>
      <c r="AO77" s="132">
        <f t="shared" ca="1" si="11"/>
        <v>6</v>
      </c>
      <c r="AP77" s="2">
        <f t="shared" ca="1" si="32"/>
        <v>2025</v>
      </c>
      <c r="AQ77" s="2">
        <f t="shared" ca="1" si="12"/>
        <v>2025</v>
      </c>
      <c r="AR77" s="2">
        <f t="shared" ca="1" si="13"/>
        <v>0</v>
      </c>
      <c r="AS77" s="2">
        <f t="shared" ca="1" si="14"/>
        <v>30</v>
      </c>
      <c r="AT77" s="2">
        <f t="shared" si="15"/>
        <v>20</v>
      </c>
      <c r="AU77" s="2">
        <f t="shared" ca="1" si="33"/>
        <v>30</v>
      </c>
      <c r="AV77" s="2"/>
      <c r="AW77" s="2"/>
      <c r="AX77" s="2"/>
      <c r="AY77" s="2"/>
      <c r="AZ77" s="2"/>
      <c r="BA77" s="2">
        <f t="shared" ca="1" si="16"/>
        <v>1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4">
        <f t="shared" si="17"/>
        <v>18</v>
      </c>
      <c r="B78" s="268">
        <f t="shared" ca="1" si="18"/>
        <v>45858</v>
      </c>
      <c r="C78" s="268"/>
      <c r="D78" s="269">
        <f ca="1">IF(O78=0,IF(O77=1,D61+D62+D63+D64+D65+D66+D67+D68+D69+D70+D71+D72+D73+D74+D75+D76+D77," "),IF(O78=0," ",IF(O79=1,D61,IF(O79=0,D4-D61*(N49-1)," "))))</f>
        <v>125</v>
      </c>
      <c r="E78" s="269"/>
      <c r="F78" s="269"/>
      <c r="G78" s="87">
        <f ca="1">IF(O78=0,IF(O77=1,G61+G62+G63+G64+G65+G66+G67+G68+G69+G70+G71+G72+G73+G74+G75+G76+G77," "),IF(N36=1,Q78,IF(N36=2,R78," ")))</f>
        <v>12.857638888888891</v>
      </c>
      <c r="H78" s="87">
        <v>0</v>
      </c>
      <c r="I78" s="87">
        <f t="shared" ca="1" si="19"/>
        <v>137.85763888888889</v>
      </c>
      <c r="J78" s="87">
        <f t="shared" ca="1" si="20"/>
        <v>142.85999999999999</v>
      </c>
      <c r="K78" s="87">
        <f t="shared" ca="1" si="0"/>
        <v>14.693933333333336</v>
      </c>
      <c r="L78" s="87">
        <v>0</v>
      </c>
      <c r="M78" s="87">
        <f t="shared" ca="1" si="21"/>
        <v>157.55393333333333</v>
      </c>
      <c r="N78" s="2">
        <f t="shared" si="22"/>
        <v>18</v>
      </c>
      <c r="O78" s="2">
        <f ca="1">IF(N36=1,IF(N49&gt;17,1,0),IF(N36=2,IF(N49&gt;17,1,0),0))</f>
        <v>1</v>
      </c>
      <c r="P78" s="2">
        <f t="shared" ca="1" si="1"/>
        <v>20</v>
      </c>
      <c r="Q78" s="134">
        <f t="shared" ca="1" si="2"/>
        <v>12.857638888888891</v>
      </c>
      <c r="R78" s="134">
        <f t="shared" ca="1" si="3"/>
        <v>12.857638888888891</v>
      </c>
      <c r="S78" s="134">
        <f t="shared" ca="1" si="23"/>
        <v>875</v>
      </c>
      <c r="T78" s="134">
        <f t="shared" ca="1" si="24"/>
        <v>125</v>
      </c>
      <c r="U78" s="134">
        <f t="shared" ca="1" si="25"/>
        <v>125</v>
      </c>
      <c r="V78" s="134">
        <f ca="1">IF(O79=1,S77*D5*20/36000+S78*D5*10/36000,IF(O79=0,IF(O78=0,0,S78*D5*R47/36000+S77*D5*20/36000+S78*D5*10/36000)))</f>
        <v>12.857638888888891</v>
      </c>
      <c r="W78" s="134">
        <f ca="1">IF(O79=1,S77*D5*20/36000+S78*D5*10/36000,IF(O79=0,IF(O78=0,0,S78*D5*R47/36000+S77*D5*20/36000+S78*D5*10/36000)))</f>
        <v>12.857638888888891</v>
      </c>
      <c r="X78" s="134">
        <f t="shared" ca="1" si="26"/>
        <v>40.25</v>
      </c>
      <c r="Y78" s="134">
        <f t="shared" ca="1" si="27"/>
        <v>40</v>
      </c>
      <c r="Z78" s="134">
        <f t="shared" ca="1" si="4"/>
        <v>999.95999999999992</v>
      </c>
      <c r="AA78" s="134">
        <f ca="1">IF(O79=1,Z77*D$5*20/36000+Z78*D$5*10/36000,IF(O79=0,IF(O78=0,0,Z78*D$5*R$47/36000+Z77*D$5*20/36000+Z78*D$5*10/36000)))</f>
        <v>14.693933333333336</v>
      </c>
      <c r="AB78" s="134">
        <f t="shared" ca="1" si="5"/>
        <v>14.693933333333336</v>
      </c>
      <c r="AC78" s="134">
        <f ca="1">IF(S79=0,S78*R47,(S77*20+S78*10))</f>
        <v>28750</v>
      </c>
      <c r="AD78" s="134"/>
      <c r="AE78" s="134" t="e">
        <f t="shared" ca="1" si="6"/>
        <v>#REF!</v>
      </c>
      <c r="AF78" s="134" t="e">
        <f t="shared" ca="1" si="7"/>
        <v>#REF!</v>
      </c>
      <c r="AG78" s="134" t="e">
        <f t="shared" ca="1" si="29"/>
        <v>#REF!</v>
      </c>
      <c r="AH78" s="134" t="e">
        <f t="shared" ca="1" si="8"/>
        <v>#REF!</v>
      </c>
      <c r="AI78" s="134" t="e">
        <f t="shared" ca="1" si="30"/>
        <v>#REF!</v>
      </c>
      <c r="AJ78" s="134" t="e">
        <f t="shared" ca="1" si="9"/>
        <v>#REF!</v>
      </c>
      <c r="AK78" s="134">
        <f t="shared" ca="1" si="10"/>
        <v>875</v>
      </c>
      <c r="AL78" s="134" t="e">
        <f ca="1">IF(O79=1,AK77*H47*20/36000+AK78*H47*10/36000,IF(O79=0,IF(O78=0,0,AK78*H47*R47/36000+AK77*H47*20/36000+AK78*H47*10/36000)))</f>
        <v>#REF!</v>
      </c>
      <c r="AM78" s="134" t="e">
        <f ca="1">IF(O79=1,AK77*H47*20/36000+AK78*H47*10/36000,IF(O79=0,IF(O78=0,0,AK78*H47*R47/36000+AK77*H47*20/36000+AK78*H47*10/36000)))</f>
        <v>#REF!</v>
      </c>
      <c r="AN78" s="132">
        <f t="shared" ca="1" si="31"/>
        <v>7</v>
      </c>
      <c r="AO78" s="132">
        <f t="shared" ca="1" si="11"/>
        <v>7</v>
      </c>
      <c r="AP78" s="2">
        <f t="shared" ca="1" si="32"/>
        <v>2025</v>
      </c>
      <c r="AQ78" s="2">
        <f t="shared" ca="1" si="12"/>
        <v>2025</v>
      </c>
      <c r="AR78" s="2">
        <f t="shared" ca="1" si="13"/>
        <v>0</v>
      </c>
      <c r="AS78" s="2">
        <f t="shared" ca="1" si="14"/>
        <v>30</v>
      </c>
      <c r="AT78" s="2">
        <f t="shared" si="15"/>
        <v>20</v>
      </c>
      <c r="AU78" s="2">
        <f t="shared" ca="1" si="33"/>
        <v>30</v>
      </c>
      <c r="AV78" s="2"/>
      <c r="AW78" s="2"/>
      <c r="AX78" s="2"/>
      <c r="AY78" s="2"/>
      <c r="AZ78" s="2"/>
      <c r="BA78" s="2">
        <f t="shared" ca="1" si="16"/>
        <v>1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19">
        <f t="shared" si="17"/>
        <v>19</v>
      </c>
      <c r="B79" s="268">
        <f t="shared" ca="1" si="18"/>
        <v>45889</v>
      </c>
      <c r="C79" s="268"/>
      <c r="D79" s="269">
        <f ca="1">IF(O79=0,IF(O78=1,D61+D62+D63+D64+D65+D66+D67+D68+D69+D70+D71+D72+D73+D74+D75+D76+D77+D78," "),IF(O79=0," ",IF(O80=1,D61,IF(O80=0,D4-D61*(N49-1)," "))))</f>
        <v>125</v>
      </c>
      <c r="E79" s="269"/>
      <c r="F79" s="269"/>
      <c r="G79" s="87">
        <f ca="1">IF(O79=0,IF(O78=1,G61+G62+G63+G64+G65+G66+G67+G68+G69+G70+G71+G72+G73+G74+G75+G76+G77+G78," "),IF(N36=1,Q79,IF(N36=2,R79," ")))</f>
        <v>11.180555555555557</v>
      </c>
      <c r="H79" s="87">
        <v>0</v>
      </c>
      <c r="I79" s="87">
        <f t="shared" ca="1" si="19"/>
        <v>136.18055555555554</v>
      </c>
      <c r="J79" s="87">
        <f t="shared" ca="1" si="20"/>
        <v>142.85999999999999</v>
      </c>
      <c r="K79" s="87">
        <f t="shared" ca="1" si="0"/>
        <v>12.777228333333333</v>
      </c>
      <c r="L79" s="87">
        <v>0</v>
      </c>
      <c r="M79" s="87">
        <f t="shared" ca="1" si="21"/>
        <v>155.63722833333333</v>
      </c>
      <c r="N79" s="2">
        <f t="shared" si="22"/>
        <v>19</v>
      </c>
      <c r="O79" s="2">
        <f ca="1">IF(N36=1,IF(N49&gt;18,1,0),IF(N36=2,IF(N49&gt;18,1,0),0))</f>
        <v>1</v>
      </c>
      <c r="P79" s="2">
        <f t="shared" ca="1" si="1"/>
        <v>20</v>
      </c>
      <c r="Q79" s="134">
        <f t="shared" ca="1" si="2"/>
        <v>11.180555555555557</v>
      </c>
      <c r="R79" s="134">
        <f t="shared" ca="1" si="3"/>
        <v>11.180555555555557</v>
      </c>
      <c r="S79" s="134">
        <f t="shared" ca="1" si="23"/>
        <v>750</v>
      </c>
      <c r="T79" s="134">
        <f t="shared" ca="1" si="24"/>
        <v>125</v>
      </c>
      <c r="U79" s="134">
        <f t="shared" ca="1" si="25"/>
        <v>125</v>
      </c>
      <c r="V79" s="134">
        <f ca="1">IF(O80=1,S78*D$5*20/36000+S79*D$5*10/36000,IF(O80=0,IF(O79=0,0,IF(D9&gt;20,S78*D$5*20/36000+S79*D$5*(R$47-20)/36000,S79*D$5*R$47/36000))))</f>
        <v>11.180555555555557</v>
      </c>
      <c r="W79" s="134">
        <f ca="1">IF(O80=1,S78*D$5*20/36000+S79*D$5*10/36000,IF(O80=0,IF(O79=0,0,IF(D9&gt;20,S78*D$5*20/36000+S79*D$5*(R$47-20)/36000,S79*D$5*R$47/36000))))</f>
        <v>11.180555555555557</v>
      </c>
      <c r="X79" s="134">
        <f t="shared" ca="1" si="26"/>
        <v>40.25</v>
      </c>
      <c r="Y79" s="134">
        <f t="shared" ca="1" si="27"/>
        <v>40</v>
      </c>
      <c r="Z79" s="134">
        <f t="shared" ca="1" si="4"/>
        <v>857.09999999999991</v>
      </c>
      <c r="AA79" s="134">
        <f ca="1">IF(O80=1,Z78*D$5*20/36000+Z79*D$5*10/36000,IF(O80=0,IF(O79=0,0,IF(D$9&gt;20,Z78*D$5*20/36000+Z79*D$5*(R$47-20)/36000,Z79*D$5*R$47/36000))))</f>
        <v>12.777228333333333</v>
      </c>
      <c r="AB79" s="134">
        <f t="shared" ca="1" si="5"/>
        <v>12.777228333333333</v>
      </c>
      <c r="AC79" s="134">
        <f ca="1">IF(S80=0,S79*R47,(S78*20+S79*10))</f>
        <v>25000</v>
      </c>
      <c r="AD79" s="134"/>
      <c r="AE79" s="134" t="e">
        <f t="shared" ca="1" si="6"/>
        <v>#REF!</v>
      </c>
      <c r="AF79" s="134" t="e">
        <f t="shared" ca="1" si="7"/>
        <v>#REF!</v>
      </c>
      <c r="AG79" s="134" t="e">
        <f t="shared" ca="1" si="29"/>
        <v>#REF!</v>
      </c>
      <c r="AH79" s="134" t="e">
        <f t="shared" ca="1" si="8"/>
        <v>#REF!</v>
      </c>
      <c r="AI79" s="134" t="e">
        <f t="shared" ca="1" si="30"/>
        <v>#REF!</v>
      </c>
      <c r="AJ79" s="134" t="e">
        <f t="shared" ca="1" si="9"/>
        <v>#REF!</v>
      </c>
      <c r="AK79" s="134">
        <f t="shared" ca="1" si="10"/>
        <v>750</v>
      </c>
      <c r="AL79" s="134" t="e">
        <f ca="1">IF(O80=1,AK78*H$47*20/36000+AK79*H$47*10/36000,IF(O80=0,IF(O79=0,0,AK79*H$47*R$47/36000)))</f>
        <v>#REF!</v>
      </c>
      <c r="AM79" s="134" t="e">
        <f ca="1">IF(O80=1,AK78*H$47*20/36000+AK79*H$47*10/36000,IF(O80=0,IF(O79=0,0,AK79*H$47*R$47/36000)))</f>
        <v>#REF!</v>
      </c>
      <c r="AN79" s="132">
        <f t="shared" ca="1" si="31"/>
        <v>8</v>
      </c>
      <c r="AO79" s="132">
        <f t="shared" ca="1" si="11"/>
        <v>8</v>
      </c>
      <c r="AP79" s="2">
        <f t="shared" ca="1" si="32"/>
        <v>2025</v>
      </c>
      <c r="AQ79" s="2">
        <f t="shared" ca="1" si="12"/>
        <v>2025</v>
      </c>
      <c r="AR79" s="2">
        <f t="shared" ca="1" si="13"/>
        <v>0</v>
      </c>
      <c r="AS79" s="2">
        <f t="shared" ca="1" si="14"/>
        <v>30</v>
      </c>
      <c r="AT79" s="2">
        <f t="shared" si="15"/>
        <v>20</v>
      </c>
      <c r="AU79" s="2">
        <f t="shared" ca="1" si="33"/>
        <v>30</v>
      </c>
      <c r="AV79" s="2"/>
      <c r="AW79" s="2"/>
      <c r="AX79" s="2"/>
      <c r="AY79" s="2"/>
      <c r="AZ79" s="2"/>
      <c r="BA79" s="2">
        <f t="shared" ca="1" si="16"/>
        <v>1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4">
        <f t="shared" si="17"/>
        <v>20</v>
      </c>
      <c r="B80" s="268">
        <f t="shared" ca="1" si="18"/>
        <v>45920</v>
      </c>
      <c r="C80" s="268"/>
      <c r="D80" s="269">
        <f ca="1">IF(O80=0,IF(O79=1,D61+D62+D63+D64+D65+D66+D67+D68+D69+D70+D71+D72+D73+D74+D75+D76+D77+D78+D79," "),IF(O80=0," ",IF(O81=1,D61,IF(O81=0,D4-D61*(N49-1)," "))))</f>
        <v>125</v>
      </c>
      <c r="E80" s="269"/>
      <c r="F80" s="269"/>
      <c r="G80" s="87">
        <f ca="1">IF(O80=0,IF(O79=1,G61+G62+G63+G64+G65+G66+G67+G68+G69+G70+G71+G72+G73+G74+G75+G76+G77+G78+G79," "),IF(N36=1,Q80,IF(N36=2,R80," ")))</f>
        <v>9.5034722222222232</v>
      </c>
      <c r="H80" s="87">
        <v>0</v>
      </c>
      <c r="I80" s="87">
        <f t="shared" ca="1" si="19"/>
        <v>134.50347222222223</v>
      </c>
      <c r="J80" s="87">
        <f t="shared" ca="1" si="20"/>
        <v>142.85999999999999</v>
      </c>
      <c r="K80" s="87">
        <f t="shared" ca="1" si="0"/>
        <v>10.860523333333333</v>
      </c>
      <c r="L80" s="87">
        <v>0</v>
      </c>
      <c r="M80" s="87">
        <f t="shared" ca="1" si="21"/>
        <v>153.72052333333332</v>
      </c>
      <c r="N80" s="2">
        <f t="shared" si="22"/>
        <v>20</v>
      </c>
      <c r="O80" s="2">
        <f ca="1">IF(N36=1,IF(N49&gt;19,1,0),IF(N36=2,IF(N49&gt;19,1,0),0))</f>
        <v>1</v>
      </c>
      <c r="P80" s="2">
        <f t="shared" ca="1" si="1"/>
        <v>20</v>
      </c>
      <c r="Q80" s="134">
        <f t="shared" ca="1" si="2"/>
        <v>9.5034722222222232</v>
      </c>
      <c r="R80" s="134">
        <f t="shared" ca="1" si="3"/>
        <v>9.5034722222222232</v>
      </c>
      <c r="S80" s="134">
        <f t="shared" ca="1" si="23"/>
        <v>625</v>
      </c>
      <c r="T80" s="134">
        <f t="shared" ca="1" si="24"/>
        <v>125</v>
      </c>
      <c r="U80" s="134">
        <f t="shared" ca="1" si="25"/>
        <v>125</v>
      </c>
      <c r="V80" s="134">
        <f ca="1">IF(O81=1,S79*D5*20/36000+S80*D5*10/36000,IF(O81=0,IF(O80=0,0,S80*D5*R47/36000+S79*D5*20/36000+S80*D5*10/36000)))</f>
        <v>9.5034722222222232</v>
      </c>
      <c r="W80" s="134">
        <f ca="1">IF(O81=1,S79*D5*20/36000+S80*D5*10/36000,IF(O81=0,IF(O80=0,0,S80*D5*R47/36000+S79*D5*20/36000+S80*D5*10/36000)))</f>
        <v>9.5034722222222232</v>
      </c>
      <c r="X80" s="134">
        <f t="shared" ca="1" si="26"/>
        <v>40.25</v>
      </c>
      <c r="Y80" s="134">
        <f t="shared" ca="1" si="27"/>
        <v>40</v>
      </c>
      <c r="Z80" s="134">
        <f t="shared" ca="1" si="4"/>
        <v>714.2399999999999</v>
      </c>
      <c r="AA80" s="134">
        <f ca="1">IF(O81=1,Z79*D$5*20/36000+Z80*D$5*10/36000,IF(O81=0,IF(O80=0,0,Z80*D$5*R$47/36000+Z79*D$5*20/36000+Z80*D$5*10/36000)))</f>
        <v>10.860523333333333</v>
      </c>
      <c r="AB80" s="134">
        <f t="shared" ca="1" si="5"/>
        <v>10.860523333333333</v>
      </c>
      <c r="AC80" s="134">
        <f ca="1">IF(S81=0,S80*R47,(S79*20+S80*10))</f>
        <v>21250</v>
      </c>
      <c r="AD80" s="134"/>
      <c r="AE80" s="134" t="e">
        <f t="shared" ca="1" si="6"/>
        <v>#REF!</v>
      </c>
      <c r="AF80" s="134" t="e">
        <f t="shared" ca="1" si="7"/>
        <v>#REF!</v>
      </c>
      <c r="AG80" s="134" t="e">
        <f t="shared" ca="1" si="29"/>
        <v>#REF!</v>
      </c>
      <c r="AH80" s="134" t="e">
        <f t="shared" ca="1" si="8"/>
        <v>#REF!</v>
      </c>
      <c r="AI80" s="134" t="e">
        <f t="shared" ca="1" si="30"/>
        <v>#REF!</v>
      </c>
      <c r="AJ80" s="134" t="e">
        <f t="shared" ca="1" si="9"/>
        <v>#REF!</v>
      </c>
      <c r="AK80" s="134">
        <f t="shared" ca="1" si="10"/>
        <v>625</v>
      </c>
      <c r="AL80" s="134" t="e">
        <f ca="1">IF(O81=1,AK79*H47*20/36000+AK80*H47*10/36000,IF(O81=0,IF(O80=0,0,AK80*H47*R47/36000+AK79*H47*20/36000+AK80*H47*10/36000)))</f>
        <v>#REF!</v>
      </c>
      <c r="AM80" s="134" t="e">
        <f ca="1">IF(O81=1,AK79*H47*20/36000+AK80*H47*10/36000,IF(O81=0,IF(O80=0,0,AK80*H47*R47/36000+AK79*H47*20/36000+AK80*H47*10/36000)))</f>
        <v>#REF!</v>
      </c>
      <c r="AN80" s="132">
        <f t="shared" ca="1" si="31"/>
        <v>9</v>
      </c>
      <c r="AO80" s="132">
        <f t="shared" ca="1" si="11"/>
        <v>9</v>
      </c>
      <c r="AP80" s="2">
        <f t="shared" ca="1" si="32"/>
        <v>2025</v>
      </c>
      <c r="AQ80" s="2">
        <f t="shared" ca="1" si="12"/>
        <v>2025</v>
      </c>
      <c r="AR80" s="2">
        <f t="shared" ca="1" si="13"/>
        <v>0</v>
      </c>
      <c r="AS80" s="2">
        <f t="shared" ca="1" si="14"/>
        <v>30</v>
      </c>
      <c r="AT80" s="2">
        <f t="shared" si="15"/>
        <v>20</v>
      </c>
      <c r="AU80" s="2">
        <f t="shared" ca="1" si="33"/>
        <v>30</v>
      </c>
      <c r="AV80" s="2"/>
      <c r="AW80" s="2"/>
      <c r="AX80" s="2"/>
      <c r="AY80" s="2"/>
      <c r="AZ80" s="2"/>
      <c r="BA80" s="2">
        <f t="shared" ca="1" si="16"/>
        <v>1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7"/>
        <v>21</v>
      </c>
      <c r="B81" s="268">
        <f t="shared" ca="1" si="18"/>
        <v>45950</v>
      </c>
      <c r="C81" s="268"/>
      <c r="D81" s="269">
        <f ca="1">IF(O81=0,IF(O80=1,D61+D62+D63+D64+D65+D66+D67+D68+D69+D70+D71+D72+D73+D74+D75+D76+D77+D78+D79+D80," "),IF(O81=0," ",IF(O82=1,D61,IF(O82=0,D4-D61*(N49-1)," "))))</f>
        <v>125</v>
      </c>
      <c r="E81" s="269"/>
      <c r="F81" s="269"/>
      <c r="G81" s="87">
        <f ca="1">IF(O81=0,IF(O80=1,G61+G62+G63+G64+G65+G66+G67+G68+G69+G70+G71+G72+G73+G74+G75+G76+G77+G78+G79+G80," "),IF(N36=1,Q81,IF(N36=2,R81," ")))</f>
        <v>7.8263888888888893</v>
      </c>
      <c r="H81" s="87">
        <v>0</v>
      </c>
      <c r="I81" s="87">
        <f t="shared" ca="1" si="19"/>
        <v>132.82638888888889</v>
      </c>
      <c r="J81" s="87">
        <f t="shared" ca="1" si="20"/>
        <v>142.85999999999999</v>
      </c>
      <c r="K81" s="87">
        <f t="shared" ca="1" si="0"/>
        <v>8.9438183333333328</v>
      </c>
      <c r="L81" s="87">
        <v>0</v>
      </c>
      <c r="M81" s="87">
        <f t="shared" ca="1" si="21"/>
        <v>151.80381833333331</v>
      </c>
      <c r="N81" s="2">
        <f t="shared" si="22"/>
        <v>21</v>
      </c>
      <c r="O81" s="2">
        <f ca="1">IF(N36=1,IF(N49&gt;20,1,0),IF(N36=2,IF(N49&gt;20,1,0),0))</f>
        <v>1</v>
      </c>
      <c r="P81" s="2">
        <f t="shared" ca="1" si="1"/>
        <v>20</v>
      </c>
      <c r="Q81" s="134">
        <f t="shared" ca="1" si="2"/>
        <v>7.8263888888888893</v>
      </c>
      <c r="R81" s="134">
        <f t="shared" ca="1" si="3"/>
        <v>7.8263888888888893</v>
      </c>
      <c r="S81" s="134">
        <f t="shared" ca="1" si="23"/>
        <v>500</v>
      </c>
      <c r="T81" s="134">
        <f t="shared" ca="1" si="24"/>
        <v>125</v>
      </c>
      <c r="U81" s="134">
        <f t="shared" ca="1" si="25"/>
        <v>125</v>
      </c>
      <c r="V81" s="134">
        <f ca="1">IF(O82=1,S80*D5*20/36000+S81*D5*10/36000,IF(O82=0,IF(O81=0,0,S81*D5*R47/36000+S80*D5*20/36000+S81*D5*10/36000)))</f>
        <v>7.8263888888888893</v>
      </c>
      <c r="W81" s="134">
        <f ca="1">IF(O82=1,S80*D5*20/36000+S81*D5*10/36000,IF(O82=0,IF(O81=0,0,S81*D5*R47/36000+S80*D5*20/36000+S81*D5*10/36000)))</f>
        <v>7.8263888888888893</v>
      </c>
      <c r="X81" s="134">
        <f t="shared" ca="1" si="26"/>
        <v>40.25</v>
      </c>
      <c r="Y81" s="134">
        <f t="shared" ca="1" si="27"/>
        <v>40</v>
      </c>
      <c r="Z81" s="134">
        <f t="shared" ca="1" si="4"/>
        <v>571.37999999999988</v>
      </c>
      <c r="AA81" s="134">
        <f ca="1">IF(O82=1,Z80*D$5*20/36000+Z81*D$5*10/36000,IF(O82=0,IF(O81=0,0,Z81*D$5*R$47/36000+Z80*D$5*20/36000+Z81*D$5*10/36000)))</f>
        <v>8.9438183333333328</v>
      </c>
      <c r="AB81" s="134">
        <f t="shared" ca="1" si="5"/>
        <v>8.9438183333333328</v>
      </c>
      <c r="AC81" s="134">
        <f ca="1">IF(S82=0,S81*R47,(S80*20+S81*10))</f>
        <v>17500</v>
      </c>
      <c r="AD81" s="134"/>
      <c r="AE81" s="134" t="e">
        <f t="shared" ca="1" si="6"/>
        <v>#REF!</v>
      </c>
      <c r="AF81" s="134" t="e">
        <f t="shared" ca="1" si="7"/>
        <v>#REF!</v>
      </c>
      <c r="AG81" s="134" t="e">
        <f t="shared" ca="1" si="29"/>
        <v>#REF!</v>
      </c>
      <c r="AH81" s="134" t="e">
        <f t="shared" ca="1" si="8"/>
        <v>#REF!</v>
      </c>
      <c r="AI81" s="134" t="e">
        <f t="shared" ca="1" si="30"/>
        <v>#REF!</v>
      </c>
      <c r="AJ81" s="134" t="e">
        <f t="shared" ca="1" si="9"/>
        <v>#REF!</v>
      </c>
      <c r="AK81" s="134">
        <f t="shared" ca="1" si="10"/>
        <v>500</v>
      </c>
      <c r="AL81" s="134" t="e">
        <f ca="1">IF(O82=1,AK80*H47*20/36000+AK81*H47*10/36000,IF(O82=0,IF(O81=0,0,AK81*H47*R47/36000+AK80*H47*20/36000+AK81*H47*10/36000)))</f>
        <v>#REF!</v>
      </c>
      <c r="AM81" s="134" t="e">
        <f ca="1">IF(O82=1,AK80*H47*20/36000+AK81*H47*10/36000,IF(O82=0,IF(O81=0,0,AK81*H47*R47/36000+AK80*H47*20/36000+AK81*H47*10/36000)))</f>
        <v>#REF!</v>
      </c>
      <c r="AN81" s="132">
        <f t="shared" ca="1" si="31"/>
        <v>10</v>
      </c>
      <c r="AO81" s="132">
        <f t="shared" ca="1" si="11"/>
        <v>10</v>
      </c>
      <c r="AP81" s="2">
        <f t="shared" ca="1" si="32"/>
        <v>2025</v>
      </c>
      <c r="AQ81" s="2">
        <f t="shared" ca="1" si="12"/>
        <v>2025</v>
      </c>
      <c r="AR81" s="2">
        <f t="shared" ca="1" si="13"/>
        <v>0</v>
      </c>
      <c r="AS81" s="2">
        <f t="shared" ca="1" si="14"/>
        <v>30</v>
      </c>
      <c r="AT81" s="2">
        <f t="shared" si="15"/>
        <v>20</v>
      </c>
      <c r="AU81" s="2">
        <f t="shared" ca="1" si="33"/>
        <v>30</v>
      </c>
      <c r="AV81" s="2"/>
      <c r="AW81" s="2"/>
      <c r="AX81" s="2"/>
      <c r="AY81" s="2"/>
      <c r="AZ81" s="2"/>
      <c r="BA81" s="2">
        <f t="shared" ca="1" si="16"/>
        <v>1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4">
        <f t="shared" si="17"/>
        <v>22</v>
      </c>
      <c r="B82" s="268">
        <f t="shared" ca="1" si="18"/>
        <v>45981</v>
      </c>
      <c r="C82" s="268"/>
      <c r="D82" s="269">
        <f ca="1">IF(O82=0,IF(O81=1,D61+D62+D63+D64+D65+D66+D67+D68+D69+D70+D71+D72+D73+D74+D75+D76+D77+D78+D79+D80+D81," "),IF(O82=0," ",IF(O83=1,D61,IF(O83=0,D4-D61*(N49-1)," "))))</f>
        <v>125</v>
      </c>
      <c r="E82" s="269"/>
      <c r="F82" s="269"/>
      <c r="G82" s="87">
        <f ca="1">IF(O82=0,IF(O81=1,G61+G62+G63+G64+G65+G66+G67+G68+G69+G70+G71+G72+G73+G74+G75+G76+G77+G78+G79+G80+G81," "),IF(N36=1,Q82,IF(N36=2,R82," ")))</f>
        <v>6.1493055555555571</v>
      </c>
      <c r="H82" s="87">
        <v>0</v>
      </c>
      <c r="I82" s="87">
        <f t="shared" ca="1" si="19"/>
        <v>131.14930555555554</v>
      </c>
      <c r="J82" s="87">
        <f t="shared" ca="1" si="20"/>
        <v>142.85999999999999</v>
      </c>
      <c r="K82" s="87">
        <f t="shared" ca="1" si="0"/>
        <v>7.0271133333333324</v>
      </c>
      <c r="L82" s="87">
        <v>0</v>
      </c>
      <c r="M82" s="87">
        <f t="shared" ca="1" si="21"/>
        <v>149.88711333333333</v>
      </c>
      <c r="N82" s="2">
        <f t="shared" si="22"/>
        <v>22</v>
      </c>
      <c r="O82" s="2">
        <f ca="1">IF(N36=1,IF(N49&gt;21,1,0),IF(N36=2,IF(N49&gt;21,1,0),0))</f>
        <v>1</v>
      </c>
      <c r="P82" s="2">
        <f t="shared" ca="1" si="1"/>
        <v>20</v>
      </c>
      <c r="Q82" s="134">
        <f t="shared" ca="1" si="2"/>
        <v>6.1493055555555571</v>
      </c>
      <c r="R82" s="134">
        <f t="shared" ca="1" si="3"/>
        <v>6.1493055555555571</v>
      </c>
      <c r="S82" s="134">
        <f t="shared" ca="1" si="23"/>
        <v>375</v>
      </c>
      <c r="T82" s="134">
        <f t="shared" ca="1" si="24"/>
        <v>125</v>
      </c>
      <c r="U82" s="134">
        <f t="shared" ca="1" si="25"/>
        <v>125</v>
      </c>
      <c r="V82" s="134">
        <f ca="1">IF(O83=1,S81*D5*20/36000+S82*D5*10/36000,IF(O83=0,IF(O82=0,0,S82*D5*R47/36000+S81*D5*20/36000+S82*D5*10/36000)))</f>
        <v>6.1493055555555571</v>
      </c>
      <c r="W82" s="134">
        <f ca="1">IF(O83=1,S81*D5*20/36000+S82*D5*10/36000,IF(O83=0,IF(O82=0,0,S82*D5*R47/36000+S81*D5*20/36000+S82*D5*10/36000)))</f>
        <v>6.1493055555555571</v>
      </c>
      <c r="X82" s="134">
        <f t="shared" ca="1" si="26"/>
        <v>40.25</v>
      </c>
      <c r="Y82" s="134">
        <f t="shared" ca="1" si="27"/>
        <v>40</v>
      </c>
      <c r="Z82" s="134">
        <f t="shared" ca="1" si="4"/>
        <v>428.51999999999987</v>
      </c>
      <c r="AA82" s="134">
        <f ca="1">IF(O83=1,Z81*D$5*20/36000+Z82*D$5*10/36000,IF(O83=0,IF(O82=0,0,Z82*D$5*R$47/36000+Z81*D$5*20/36000+Z82*D$5*10/36000)))</f>
        <v>7.0271133333333324</v>
      </c>
      <c r="AB82" s="134">
        <f t="shared" ca="1" si="5"/>
        <v>7.0271133333333324</v>
      </c>
      <c r="AC82" s="134">
        <f ca="1">IF(S83=0,S82*R47,(S81*20+S82*10))</f>
        <v>13750</v>
      </c>
      <c r="AD82" s="134"/>
      <c r="AE82" s="134" t="e">
        <f t="shared" ca="1" si="6"/>
        <v>#REF!</v>
      </c>
      <c r="AF82" s="134" t="e">
        <f t="shared" ca="1" si="7"/>
        <v>#REF!</v>
      </c>
      <c r="AG82" s="134" t="e">
        <f t="shared" ca="1" si="29"/>
        <v>#REF!</v>
      </c>
      <c r="AH82" s="134" t="e">
        <f t="shared" ca="1" si="8"/>
        <v>#REF!</v>
      </c>
      <c r="AI82" s="134" t="e">
        <f t="shared" ca="1" si="30"/>
        <v>#REF!</v>
      </c>
      <c r="AJ82" s="134" t="e">
        <f t="shared" ca="1" si="9"/>
        <v>#REF!</v>
      </c>
      <c r="AK82" s="134">
        <f t="shared" ca="1" si="10"/>
        <v>375</v>
      </c>
      <c r="AL82" s="134" t="e">
        <f ca="1">IF(O83=1,AK81*H47*20/36000+AK82*H47*10/36000,IF(O83=0,IF(O82=0,0,AK82*H47*R47/36000+AK81*H47*20/36000+AK82*H47*10/36000)))</f>
        <v>#REF!</v>
      </c>
      <c r="AM82" s="134" t="e">
        <f ca="1">IF(O83=1,AK81*H47*20/36000+AK82*H47*10/36000,IF(O83=0,IF(O82=0,0,AK82*H47*R47/36000+AK81*H47*20/36000+AK82*H47*10/36000)))</f>
        <v>#REF!</v>
      </c>
      <c r="AN82" s="132">
        <f t="shared" ca="1" si="31"/>
        <v>11</v>
      </c>
      <c r="AO82" s="132">
        <f t="shared" ca="1" si="11"/>
        <v>11</v>
      </c>
      <c r="AP82" s="2">
        <f t="shared" ca="1" si="32"/>
        <v>2025</v>
      </c>
      <c r="AQ82" s="2">
        <f t="shared" ca="1" si="12"/>
        <v>2025</v>
      </c>
      <c r="AR82" s="2">
        <f t="shared" ca="1" si="13"/>
        <v>0</v>
      </c>
      <c r="AS82" s="2">
        <f t="shared" ca="1" si="14"/>
        <v>30</v>
      </c>
      <c r="AT82" s="2">
        <f t="shared" si="15"/>
        <v>20</v>
      </c>
      <c r="AU82" s="2">
        <f t="shared" ca="1" si="33"/>
        <v>30</v>
      </c>
      <c r="AV82" s="2"/>
      <c r="AW82" s="2"/>
      <c r="AX82" s="2"/>
      <c r="AY82" s="2"/>
      <c r="AZ82" s="2"/>
      <c r="BA82" s="2">
        <f t="shared" ca="1" si="16"/>
        <v>1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7"/>
        <v>23</v>
      </c>
      <c r="B83" s="268">
        <f t="shared" ca="1" si="18"/>
        <v>46011</v>
      </c>
      <c r="C83" s="268"/>
      <c r="D83" s="269">
        <f ca="1">IF(O83=0,IF(O82=1,D61+D62+D63+D64+D65+D66+D67+D68+D69+D70+D71+D72+D73+D74+D75+D76+D77+D78+D79+D80+D81+D82," "),IF(O83=0," ",IF(O84=1,D61,IF(O84=0,D4-D61*(N49-1)," "))))</f>
        <v>125</v>
      </c>
      <c r="E83" s="269"/>
      <c r="F83" s="269"/>
      <c r="G83" s="87">
        <f ca="1">IF(O83=0,IF(O82=1,G61+G62+G63+G64+G65+G66+G67+G68+G69+G70+G71+G72+G73+G74+G75+G76+G77+G78+G79+G80+G81+G82," "),IF(N36=1,Q83,IF(N36=2,R83," ")))</f>
        <v>4.4722222222222232</v>
      </c>
      <c r="H83" s="87">
        <v>0</v>
      </c>
      <c r="I83" s="87">
        <f t="shared" ca="1" si="19"/>
        <v>129.47222222222223</v>
      </c>
      <c r="J83" s="87">
        <f t="shared" ca="1" si="20"/>
        <v>142.85999999999999</v>
      </c>
      <c r="K83" s="87">
        <f t="shared" ca="1" si="0"/>
        <v>5.1104083333333321</v>
      </c>
      <c r="L83" s="87">
        <v>0</v>
      </c>
      <c r="M83" s="87">
        <f t="shared" ca="1" si="21"/>
        <v>147.97040833333332</v>
      </c>
      <c r="N83" s="2">
        <f t="shared" si="22"/>
        <v>23</v>
      </c>
      <c r="O83" s="2">
        <f ca="1">IF(N36=1,IF(N49&gt;22,1,0),IF(N36=2,IF(N49&gt;22,1,0),0))</f>
        <v>1</v>
      </c>
      <c r="P83" s="2">
        <f t="shared" ca="1" si="1"/>
        <v>20</v>
      </c>
      <c r="Q83" s="134">
        <f t="shared" ca="1" si="2"/>
        <v>4.4722222222222232</v>
      </c>
      <c r="R83" s="134">
        <f t="shared" ca="1" si="3"/>
        <v>4.4722222222222232</v>
      </c>
      <c r="S83" s="134">
        <f t="shared" ca="1" si="23"/>
        <v>250</v>
      </c>
      <c r="T83" s="134">
        <f t="shared" ca="1" si="24"/>
        <v>125</v>
      </c>
      <c r="U83" s="134">
        <f t="shared" ca="1" si="25"/>
        <v>125</v>
      </c>
      <c r="V83" s="134">
        <f ca="1">IF(O84=1,S82*D5*20/36000+S83*D5*10/36000,IF(O84=0,IF(O83=0,0,S83*D5*R47/36000+S82*D5*20/36000+S83*D5*10/36000)))</f>
        <v>4.4722222222222232</v>
      </c>
      <c r="W83" s="134">
        <f ca="1">IF(O84=1,S82*D5*20/36000+S83*D5*10/36000,IF(O84=0,IF(O83=0,0,S83*D5*R47/36000+S82*D5*20/36000+S83*D5*10/36000)))</f>
        <v>4.4722222222222232</v>
      </c>
      <c r="X83" s="134">
        <f t="shared" ca="1" si="26"/>
        <v>40.25</v>
      </c>
      <c r="Y83" s="134">
        <f t="shared" ca="1" si="27"/>
        <v>40</v>
      </c>
      <c r="Z83" s="134">
        <f t="shared" ca="1" si="4"/>
        <v>285.65999999999985</v>
      </c>
      <c r="AA83" s="134">
        <f ca="1">IF(O84=1,Z82*D$5*20/36000+Z83*D$5*10/36000,IF(O84=0,IF(O83=0,0,Z83*D$5*R$47/36000+Z82*D$5*20/36000+Z83*D$5*10/36000)))</f>
        <v>5.1104083333333321</v>
      </c>
      <c r="AB83" s="134">
        <f t="shared" ca="1" si="5"/>
        <v>5.1104083333333321</v>
      </c>
      <c r="AC83" s="134">
        <f ca="1">IF(S84=0,S83*R47,(S82*20+S83*10))</f>
        <v>10000</v>
      </c>
      <c r="AD83" s="134"/>
      <c r="AE83" s="134" t="e">
        <f t="shared" ca="1" si="6"/>
        <v>#REF!</v>
      </c>
      <c r="AF83" s="134" t="e">
        <f t="shared" ca="1" si="7"/>
        <v>#REF!</v>
      </c>
      <c r="AG83" s="134" t="e">
        <f t="shared" ca="1" si="29"/>
        <v>#REF!</v>
      </c>
      <c r="AH83" s="134" t="e">
        <f t="shared" ca="1" si="8"/>
        <v>#REF!</v>
      </c>
      <c r="AI83" s="134" t="e">
        <f t="shared" ca="1" si="30"/>
        <v>#REF!</v>
      </c>
      <c r="AJ83" s="134" t="e">
        <f t="shared" ca="1" si="9"/>
        <v>#REF!</v>
      </c>
      <c r="AK83" s="134">
        <f t="shared" ca="1" si="10"/>
        <v>250</v>
      </c>
      <c r="AL83" s="134" t="e">
        <f ca="1">IF(O84=1,AK82*H47*20/36000+AK83*H47*10/36000,IF(O84=0,IF(O83=0,0,AK83*H47*R47/36000+AK82*H47*20/36000+AK83*H47*10/36000)))</f>
        <v>#REF!</v>
      </c>
      <c r="AM83" s="134" t="e">
        <f ca="1">IF(O84=1,AK82*H47*20/36000+AK83*H47*10/36000,IF(O84=0,IF(O83=0,0,AK83*H47*R47/36000+AK82*H47*20/36000+AK83*H47*10/36000)))</f>
        <v>#REF!</v>
      </c>
      <c r="AN83" s="132">
        <f t="shared" ca="1" si="31"/>
        <v>12</v>
      </c>
      <c r="AO83" s="132">
        <f t="shared" ca="1" si="11"/>
        <v>12</v>
      </c>
      <c r="AP83" s="2">
        <f t="shared" ca="1" si="32"/>
        <v>2025</v>
      </c>
      <c r="AQ83" s="2">
        <f t="shared" ca="1" si="12"/>
        <v>2025</v>
      </c>
      <c r="AR83" s="2">
        <f t="shared" ca="1" si="13"/>
        <v>0</v>
      </c>
      <c r="AS83" s="2">
        <f t="shared" ca="1" si="14"/>
        <v>30</v>
      </c>
      <c r="AT83" s="2">
        <f t="shared" si="15"/>
        <v>20</v>
      </c>
      <c r="AU83" s="2">
        <f t="shared" ca="1" si="33"/>
        <v>30</v>
      </c>
      <c r="AV83" s="2"/>
      <c r="AW83" s="2"/>
      <c r="AX83" s="2"/>
      <c r="AY83" s="2"/>
      <c r="AZ83" s="2"/>
      <c r="BA83" s="2">
        <f t="shared" ca="1" si="16"/>
        <v>1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4">
        <f t="shared" si="17"/>
        <v>24</v>
      </c>
      <c r="B84" s="268">
        <f t="shared" ca="1" si="18"/>
        <v>46024</v>
      </c>
      <c r="C84" s="268"/>
      <c r="D84" s="269">
        <f ca="1">IF(O84=0,IF(O83=1,SUM(D$61:F83)," "),IF(O84=0," ",IF(O85=1,D$61,IF(O85=0,D$4-D$61*(N$49-1)," "))))</f>
        <v>125</v>
      </c>
      <c r="E84" s="269"/>
      <c r="F84" s="269"/>
      <c r="G84" s="87">
        <f ca="1">IF(O84=0,IF(O83=1,SUM(G$61:G83)," "),IF(N$36=1,Q84,IF(N$36=2,R84," ")))</f>
        <v>2.906944444444445</v>
      </c>
      <c r="H84" s="87">
        <v>0</v>
      </c>
      <c r="I84" s="87">
        <f t="shared" ca="1" si="19"/>
        <v>127.90694444444445</v>
      </c>
      <c r="J84" s="87">
        <f t="shared" ca="1" si="20"/>
        <v>142.80000000000049</v>
      </c>
      <c r="K84" s="87">
        <f t="shared" ca="1" si="0"/>
        <v>3.3214299999999986</v>
      </c>
      <c r="L84" s="87">
        <v>0</v>
      </c>
      <c r="M84" s="87">
        <f t="shared" ca="1" si="21"/>
        <v>146.12143000000049</v>
      </c>
      <c r="N84" s="2">
        <f t="shared" si="22"/>
        <v>24</v>
      </c>
      <c r="O84" s="2">
        <f t="shared" ref="O84:O121" ca="1" si="34">IF(N$36=1,IF(N$49&gt;N83,1,0),IF(N$36=2,IF(N$49&gt;N83,1,0),0))</f>
        <v>1</v>
      </c>
      <c r="P84" s="2">
        <f t="shared" ca="1" si="1"/>
        <v>2</v>
      </c>
      <c r="Q84" s="134">
        <f t="shared" ca="1" si="2"/>
        <v>2.906944444444445</v>
      </c>
      <c r="R84" s="134">
        <f t="shared" ca="1" si="3"/>
        <v>2.906944444444445</v>
      </c>
      <c r="S84" s="134">
        <f t="shared" ca="1" si="23"/>
        <v>125</v>
      </c>
      <c r="T84" s="134">
        <f t="shared" ca="1" si="24"/>
        <v>125</v>
      </c>
      <c r="U84" s="134">
        <f t="shared" ca="1" si="25"/>
        <v>125</v>
      </c>
      <c r="V84" s="134">
        <f ca="1">IF(O85=1,S83*D$5*20/36000+S84*D$5*10/36000,IF(O85=0,IF(O84=0,0,S84*D$5*R$47/36000+S83*D$5*20/36000+S84*D$5*10/36000)))</f>
        <v>2.906944444444445</v>
      </c>
      <c r="W84" s="134">
        <f ca="1">IF(O85=1,S83*D$5*20/36000+S84*D$5*10/36000,IF(O85=0,IF(O84=0,0,S84*D$5*R$47/36000+S83*D$5*20/36000+S84*D$5*10/36000)))</f>
        <v>2.906944444444445</v>
      </c>
      <c r="X84" s="134">
        <f t="shared" ca="1" si="26"/>
        <v>42.933333333333337</v>
      </c>
      <c r="Y84" s="134">
        <f t="shared" ca="1" si="27"/>
        <v>40</v>
      </c>
      <c r="Z84" s="134">
        <f t="shared" ca="1" si="4"/>
        <v>142.79999999999987</v>
      </c>
      <c r="AA84" s="134">
        <f ca="1">IF(O85=1,Z83*D$5*20/36000+Z84*D$5*10/36000,IF(O85=0,IF(O84=0,0,Z84*D$5*R$47/36000+Z83*D$5*20/36000+Z84*D$5*10/36000)))</f>
        <v>3.3214299999999986</v>
      </c>
      <c r="AB84" s="134">
        <f t="shared" ca="1" si="5"/>
        <v>3.3214299999999986</v>
      </c>
      <c r="AC84" s="134">
        <f t="shared" ref="AC84:AC120" ca="1" si="35">IF(S85=0,S84*R$47,(S83*20+S84*10))</f>
        <v>250</v>
      </c>
      <c r="AD84" s="134"/>
      <c r="AE84" s="134" t="e">
        <f t="shared" ca="1" si="6"/>
        <v>#REF!</v>
      </c>
      <c r="AF84" s="134" t="e">
        <f t="shared" ca="1" si="7"/>
        <v>#REF!</v>
      </c>
      <c r="AG84" s="134" t="e">
        <f t="shared" ca="1" si="29"/>
        <v>#REF!</v>
      </c>
      <c r="AH84" s="134" t="e">
        <f t="shared" ca="1" si="8"/>
        <v>#REF!</v>
      </c>
      <c r="AI84" s="134" t="e">
        <f t="shared" ca="1" si="30"/>
        <v>#REF!</v>
      </c>
      <c r="AJ84" s="134" t="e">
        <f t="shared" ca="1" si="9"/>
        <v>#REF!</v>
      </c>
      <c r="AK84" s="134">
        <f t="shared" ca="1" si="10"/>
        <v>125</v>
      </c>
      <c r="AL84" s="134" t="e">
        <f ca="1">IF(O85=1,AK83*H$47*20/36000+AK84*H$47*10/36000,IF(O85=0,IF(O84=0,0,AK84*H$47*R$47/36000+AK83*H$47*20/36000+AK84*H$47*10/36000)))</f>
        <v>#REF!</v>
      </c>
      <c r="AM84" s="134" t="e">
        <f ca="1">IF(O85=1,AK83*H$47*20/36000+AK84*H$47*10/36000,IF(O85=0,IF(O84=0,0,AK84*H$47*R$47/36000+AK83*H$47*20/36000+AK84*H$47*10/36000)))</f>
        <v>#REF!</v>
      </c>
      <c r="AN84" s="132">
        <f t="shared" ca="1" si="31"/>
        <v>13</v>
      </c>
      <c r="AO84" s="132">
        <f t="shared" ca="1" si="11"/>
        <v>1</v>
      </c>
      <c r="AP84" s="2">
        <f t="shared" ca="1" si="32"/>
        <v>2025</v>
      </c>
      <c r="AQ84" s="2">
        <f t="shared" ca="1" si="12"/>
        <v>2026</v>
      </c>
      <c r="AR84" s="2">
        <f t="shared" ca="1" si="13"/>
        <v>0</v>
      </c>
      <c r="AS84" s="2">
        <f t="shared" ca="1" si="14"/>
        <v>30</v>
      </c>
      <c r="AT84" s="2">
        <f t="shared" si="15"/>
        <v>20</v>
      </c>
      <c r="AU84" s="2">
        <f t="shared" ca="1" si="33"/>
        <v>30</v>
      </c>
      <c r="AV84" s="2"/>
      <c r="AW84" s="2"/>
      <c r="AX84" s="2"/>
      <c r="AY84" s="2"/>
      <c r="AZ84" s="2"/>
      <c r="BA84" s="2">
        <f t="shared" ca="1" si="16"/>
        <v>1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5" customFormat="1" ht="15" customHeight="1">
      <c r="A85" s="4">
        <v>25</v>
      </c>
      <c r="B85" s="268" t="str">
        <f t="shared" ca="1" si="18"/>
        <v>ИТОГО</v>
      </c>
      <c r="C85" s="268"/>
      <c r="D85" s="269">
        <f ca="1">IF(O85=0,IF(O84=1,SUM(D$61:F84)," "),IF(O85=0," ",IF(O86=1,D$61,IF(O86=0,D$4-D$61*(N$49-1)," "))))</f>
        <v>3000</v>
      </c>
      <c r="E85" s="269"/>
      <c r="F85" s="269"/>
      <c r="G85" s="87">
        <f ca="1">IF(O85=0,IF(O84=1,SUM(G$61:G84)," "),IF(N$36=1,Q85,IF(N$36=2,R85," ")))</f>
        <v>524.92708333333337</v>
      </c>
      <c r="H85" s="87">
        <v>0</v>
      </c>
      <c r="I85" s="87">
        <f t="shared" ca="1" si="19"/>
        <v>3524.9270833333335</v>
      </c>
      <c r="J85" s="87">
        <f t="shared" ca="1" si="20"/>
        <v>0</v>
      </c>
      <c r="K85" s="87">
        <f t="shared" ca="1" si="0"/>
        <v>0</v>
      </c>
      <c r="L85" s="87">
        <v>0</v>
      </c>
      <c r="M85" s="87" t="str">
        <f t="shared" ca="1" si="21"/>
        <v xml:space="preserve"> </v>
      </c>
      <c r="N85" s="2">
        <v>25</v>
      </c>
      <c r="O85" s="2">
        <f t="shared" ca="1" si="34"/>
        <v>0</v>
      </c>
      <c r="P85" s="2">
        <f t="shared" ca="1" si="1"/>
        <v>20</v>
      </c>
      <c r="Q85" s="134">
        <f t="shared" ca="1" si="2"/>
        <v>0</v>
      </c>
      <c r="R85" s="134">
        <f t="shared" ca="1" si="3"/>
        <v>0</v>
      </c>
      <c r="S85" s="134">
        <f t="shared" ca="1" si="23"/>
        <v>0</v>
      </c>
      <c r="T85" s="134">
        <f t="shared" ca="1" si="24"/>
        <v>3000</v>
      </c>
      <c r="U85" s="134">
        <f t="shared" ca="1" si="25"/>
        <v>3000</v>
      </c>
      <c r="V85" s="134">
        <f ca="1">IF(O86=1,S84*D$5*20/36000+S85*D$5*10/36000,IF(O86=0,IF(O85=0,0,IF(D$9&gt;20,S84*D$5*20/36000+S85*D$5*(R$47-20)/36000,S85*D$5*R$47/36000))))</f>
        <v>0</v>
      </c>
      <c r="W85" s="134">
        <f ca="1">IF(O86=1,S84*D$5*20/36000+S85*D$5*10/36000,IF(O86=0,IF(O85=0,0,IF(D$9&gt;20,S84*D$5*20/36000+S85*D$5*(R$47-20)/36000,S85*D$5*R$47/36000))))</f>
        <v>0</v>
      </c>
      <c r="X85" s="134">
        <f t="shared" ca="1" si="26"/>
        <v>0</v>
      </c>
      <c r="Y85" s="134">
        <f t="shared" ca="1" si="27"/>
        <v>0</v>
      </c>
      <c r="Z85" s="134">
        <f t="shared" ca="1" si="4"/>
        <v>-6.2527760746888816E-13</v>
      </c>
      <c r="AA85" s="134">
        <f ca="1">IF(O86=1,Z84*D$5*20/36000+Z85*D$5*10/36000,IF(O86=0,IF(O85=0,0,IF(D$9&gt;20,Z84*D$5*20/36000+Z85*D$5*(R$47-20)/36000,Z85*D$5*R$47/36000))))</f>
        <v>0</v>
      </c>
      <c r="AB85" s="134">
        <f t="shared" ca="1" si="5"/>
        <v>0</v>
      </c>
      <c r="AC85" s="134">
        <f t="shared" ca="1" si="35"/>
        <v>0</v>
      </c>
      <c r="AD85" s="134"/>
      <c r="AE85" s="134">
        <f t="shared" ca="1" si="6"/>
        <v>0</v>
      </c>
      <c r="AF85" s="134">
        <f t="shared" ca="1" si="7"/>
        <v>0</v>
      </c>
      <c r="AG85" s="134">
        <f t="shared" ca="1" si="29"/>
        <v>0</v>
      </c>
      <c r="AH85" s="134">
        <f t="shared" ca="1" si="8"/>
        <v>0</v>
      </c>
      <c r="AI85" s="134">
        <f t="shared" ca="1" si="30"/>
        <v>0</v>
      </c>
      <c r="AJ85" s="134">
        <f t="shared" ca="1" si="9"/>
        <v>0</v>
      </c>
      <c r="AK85" s="134">
        <f t="shared" ca="1" si="10"/>
        <v>0</v>
      </c>
      <c r="AL85" s="134">
        <f ca="1">IF(O86=1,AK84*H$47*20/36000+AK85*H$47*10/36000,IF(O86=0,IF(O85=0,0,AK85*H$47*R$47/36000)))</f>
        <v>0</v>
      </c>
      <c r="AM85" s="134">
        <f ca="1">IF(O86=1,AK84*H$47*20/36000+AK85*H$47*10/36000,IF(O86=0,IF(O85=0,0,AK85*H$47*R$47/36000)))</f>
        <v>0</v>
      </c>
      <c r="AN85" s="132">
        <f t="shared" ca="1" si="31"/>
        <v>0</v>
      </c>
      <c r="AO85" s="132">
        <f t="shared" ca="1" si="11"/>
        <v>0</v>
      </c>
      <c r="AP85" s="2">
        <f t="shared" ca="1" si="32"/>
        <v>0</v>
      </c>
      <c r="AQ85" s="2">
        <f t="shared" ca="1" si="12"/>
        <v>0</v>
      </c>
      <c r="AR85" s="2">
        <f t="shared" ca="1" si="13"/>
        <v>0</v>
      </c>
      <c r="AS85" s="2">
        <f t="shared" ca="1" si="14"/>
        <v>30</v>
      </c>
      <c r="AT85" s="2">
        <f t="shared" si="15"/>
        <v>20</v>
      </c>
      <c r="AU85" s="2">
        <f t="shared" ca="1" si="33"/>
        <v>30</v>
      </c>
      <c r="AV85" s="2"/>
      <c r="AW85" s="2"/>
      <c r="AX85" s="2"/>
      <c r="AY85" s="2"/>
      <c r="AZ85" s="2"/>
      <c r="BA85" s="2">
        <f t="shared" ca="1" si="16"/>
        <v>0</v>
      </c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</row>
    <row r="86" spans="1:143" s="24" customFormat="1" ht="15" customHeight="1">
      <c r="A86" s="4">
        <v>26</v>
      </c>
      <c r="B86" s="268" t="str">
        <f t="shared" ca="1" si="18"/>
        <v xml:space="preserve"> </v>
      </c>
      <c r="C86" s="268"/>
      <c r="D86" s="269" t="str">
        <f ca="1">IF(O86=0,IF(O85=1,SUM(D$61:F85)," "),IF(O86=0," ",IF(O87=1,D$61,IF(O87=0,D$4-D$61*(N$49-1)," "))))</f>
        <v xml:space="preserve"> </v>
      </c>
      <c r="E86" s="269"/>
      <c r="F86" s="269"/>
      <c r="G86" s="87" t="str">
        <f ca="1">IF(O86=0,IF(O85=1,SUM(G$61:G85)," "),IF(N$36=1,Q86,IF(N$36=2,R86," ")))</f>
        <v xml:space="preserve"> </v>
      </c>
      <c r="H86" s="87">
        <v>0</v>
      </c>
      <c r="I86" s="87" t="str">
        <f t="shared" ca="1" si="19"/>
        <v xml:space="preserve"> </v>
      </c>
      <c r="J86" s="87">
        <f t="shared" ca="1" si="20"/>
        <v>0</v>
      </c>
      <c r="K86" s="87">
        <f t="shared" ca="1" si="0"/>
        <v>0</v>
      </c>
      <c r="L86" s="87">
        <v>0</v>
      </c>
      <c r="M86" s="87" t="str">
        <f t="shared" ca="1" si="21"/>
        <v xml:space="preserve"> </v>
      </c>
      <c r="N86" s="2">
        <v>26</v>
      </c>
      <c r="O86" s="2">
        <f t="shared" ca="1" si="34"/>
        <v>0</v>
      </c>
      <c r="P86" s="2">
        <f t="shared" ca="1" si="1"/>
        <v>20</v>
      </c>
      <c r="Q86" s="134">
        <f t="shared" ca="1" si="2"/>
        <v>0</v>
      </c>
      <c r="R86" s="134">
        <f t="shared" ca="1" si="3"/>
        <v>0</v>
      </c>
      <c r="S86" s="134">
        <f t="shared" ca="1" si="23"/>
        <v>0</v>
      </c>
      <c r="T86" s="134" t="str">
        <f t="shared" ca="1" si="24"/>
        <v xml:space="preserve"> </v>
      </c>
      <c r="U86" s="134" t="str">
        <f t="shared" ca="1" si="25"/>
        <v xml:space="preserve"> </v>
      </c>
      <c r="V86" s="134">
        <f t="shared" ref="V86:V96" ca="1" si="36">IF(O87=1,S85*D$5*20/36000+S86*D$5*10/36000,IF(O87=0,IF(O86=0,0,S86*D$5*R$47/36000+S85*D$5*20/36000+S86*D$5*10/36000)))</f>
        <v>0</v>
      </c>
      <c r="W86" s="134">
        <f t="shared" ref="W86:W96" ca="1" si="37">IF(O87=1,S85*D$5*20/36000+S86*D$5*10/36000,IF(O87=0,IF(O86=0,0,S86*D$5*R$47/36000+S85*D$5*20/36000+S86*D$5*10/36000)))</f>
        <v>0</v>
      </c>
      <c r="X86" s="134">
        <f t="shared" ca="1" si="26"/>
        <v>0</v>
      </c>
      <c r="Y86" s="134">
        <f t="shared" ca="1" si="27"/>
        <v>0</v>
      </c>
      <c r="Z86" s="134">
        <f t="shared" ca="1" si="4"/>
        <v>-6.2527760746888816E-13</v>
      </c>
      <c r="AA86" s="134">
        <f t="shared" ref="AA86:AA96" ca="1" si="38">IF(O87=1,Z85*D$5*20/36000+Z86*D$5*10/36000,IF(O87=0,IF(O86=0,0,Z86*D$5*R$47/36000+Z85*D$5*20/36000+Z86*D$5*10/36000)))</f>
        <v>0</v>
      </c>
      <c r="AB86" s="134">
        <f t="shared" ca="1" si="5"/>
        <v>0</v>
      </c>
      <c r="AC86" s="134">
        <f t="shared" ca="1" si="35"/>
        <v>0</v>
      </c>
      <c r="AD86" s="134"/>
      <c r="AE86" s="134">
        <f t="shared" ca="1" si="6"/>
        <v>0</v>
      </c>
      <c r="AF86" s="134">
        <f t="shared" ca="1" si="7"/>
        <v>0</v>
      </c>
      <c r="AG86" s="134">
        <f t="shared" ca="1" si="29"/>
        <v>0</v>
      </c>
      <c r="AH86" s="134">
        <f t="shared" ca="1" si="8"/>
        <v>0</v>
      </c>
      <c r="AI86" s="134">
        <f t="shared" ca="1" si="30"/>
        <v>0</v>
      </c>
      <c r="AJ86" s="134">
        <f t="shared" ca="1" si="9"/>
        <v>0</v>
      </c>
      <c r="AK86" s="134">
        <f t="shared" ca="1" si="10"/>
        <v>0</v>
      </c>
      <c r="AL86" s="134">
        <f t="shared" ref="AL86:AL96" ca="1" si="39">IF(O87=1,AK85*H$47*20/36000+AK86*H$47*10/36000,IF(O87=0,IF(O86=0,0,AK86*H$47*R$47/36000+AK85*H$47*20/36000+AK86*H$47*10/36000)))</f>
        <v>0</v>
      </c>
      <c r="AM86" s="134">
        <f t="shared" ref="AM86:AM96" ca="1" si="40">IF(O87=1,AK85*H$47*20/36000+AK86*H$47*10/36000,IF(O87=0,IF(O86=0,0,AK86*H$47*R$47/36000+AK85*H$47*20/36000+AK86*H$47*10/36000)))</f>
        <v>0</v>
      </c>
      <c r="AN86" s="132">
        <f t="shared" ca="1" si="31"/>
        <v>0</v>
      </c>
      <c r="AO86" s="132">
        <f t="shared" ca="1" si="11"/>
        <v>0</v>
      </c>
      <c r="AP86" s="2">
        <f t="shared" ca="1" si="32"/>
        <v>0</v>
      </c>
      <c r="AQ86" s="2">
        <f t="shared" ca="1" si="12"/>
        <v>0</v>
      </c>
      <c r="AR86" s="2">
        <f t="shared" ca="1" si="13"/>
        <v>0</v>
      </c>
      <c r="AS86" s="2">
        <f t="shared" ca="1" si="14"/>
        <v>30</v>
      </c>
      <c r="AT86" s="2">
        <f t="shared" si="15"/>
        <v>20</v>
      </c>
      <c r="AU86" s="2">
        <f t="shared" ca="1" si="33"/>
        <v>30</v>
      </c>
      <c r="AV86" s="2"/>
      <c r="AW86" s="2"/>
      <c r="AX86" s="2"/>
      <c r="AY86" s="2"/>
      <c r="AZ86" s="2"/>
      <c r="BA86" s="2">
        <f t="shared" ca="1" si="16"/>
        <v>0</v>
      </c>
      <c r="BB86" s="2"/>
      <c r="BC86" s="2"/>
      <c r="BD86" s="2"/>
      <c r="BE86" s="2"/>
      <c r="BF86" s="2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</row>
    <row r="87" spans="1:143" s="24" customFormat="1" ht="15" customHeight="1">
      <c r="A87" s="4">
        <v>27</v>
      </c>
      <c r="B87" s="268" t="str">
        <f t="shared" ca="1" si="18"/>
        <v xml:space="preserve"> </v>
      </c>
      <c r="C87" s="268"/>
      <c r="D87" s="269" t="str">
        <f ca="1">IF(O87=0,IF(O86=1,SUM(D$61:F86)," "),IF(O87=0," ",IF(O88=1,D$61,IF(O88=0,D$4-D$61*(N$49-1)," "))))</f>
        <v xml:space="preserve"> </v>
      </c>
      <c r="E87" s="269"/>
      <c r="F87" s="269"/>
      <c r="G87" s="87" t="str">
        <f ca="1">IF(O87=0,IF(O86=1,SUM(G$61:G86)," "),IF(N$36=1,Q87,IF(N$36=2,R87," ")))</f>
        <v xml:space="preserve"> </v>
      </c>
      <c r="H87" s="87">
        <v>0</v>
      </c>
      <c r="I87" s="87" t="str">
        <f t="shared" ca="1" si="19"/>
        <v xml:space="preserve"> </v>
      </c>
      <c r="J87" s="87">
        <f t="shared" ca="1" si="20"/>
        <v>0</v>
      </c>
      <c r="K87" s="87">
        <f t="shared" ca="1" si="0"/>
        <v>0</v>
      </c>
      <c r="L87" s="87">
        <v>0</v>
      </c>
      <c r="M87" s="87" t="str">
        <f t="shared" ca="1" si="21"/>
        <v xml:space="preserve"> </v>
      </c>
      <c r="N87" s="2">
        <v>27</v>
      </c>
      <c r="O87" s="2">
        <f t="shared" ca="1" si="34"/>
        <v>0</v>
      </c>
      <c r="P87" s="2">
        <f t="shared" ca="1" si="1"/>
        <v>20</v>
      </c>
      <c r="Q87" s="134">
        <f t="shared" ca="1" si="2"/>
        <v>0</v>
      </c>
      <c r="R87" s="134">
        <f t="shared" ca="1" si="3"/>
        <v>0</v>
      </c>
      <c r="S87" s="134">
        <f t="shared" ca="1" si="23"/>
        <v>0</v>
      </c>
      <c r="T87" s="134" t="str">
        <f t="shared" ca="1" si="24"/>
        <v xml:space="preserve"> </v>
      </c>
      <c r="U87" s="134" t="str">
        <f t="shared" ca="1" si="25"/>
        <v xml:space="preserve"> </v>
      </c>
      <c r="V87" s="134">
        <f t="shared" ca="1" si="36"/>
        <v>0</v>
      </c>
      <c r="W87" s="134">
        <f t="shared" ca="1" si="37"/>
        <v>0</v>
      </c>
      <c r="X87" s="134">
        <f t="shared" ca="1" si="26"/>
        <v>0</v>
      </c>
      <c r="Y87" s="134">
        <f t="shared" ca="1" si="27"/>
        <v>0</v>
      </c>
      <c r="Z87" s="134">
        <f t="shared" ca="1" si="4"/>
        <v>-6.2527760746888816E-13</v>
      </c>
      <c r="AA87" s="134">
        <f t="shared" ca="1" si="38"/>
        <v>0</v>
      </c>
      <c r="AB87" s="134">
        <f t="shared" ca="1" si="5"/>
        <v>0</v>
      </c>
      <c r="AC87" s="134">
        <f t="shared" ca="1" si="35"/>
        <v>0</v>
      </c>
      <c r="AD87" s="134"/>
      <c r="AE87" s="134">
        <f t="shared" ca="1" si="6"/>
        <v>0</v>
      </c>
      <c r="AF87" s="134">
        <f t="shared" ca="1" si="7"/>
        <v>0</v>
      </c>
      <c r="AG87" s="134">
        <f t="shared" ca="1" si="29"/>
        <v>0</v>
      </c>
      <c r="AH87" s="134">
        <f t="shared" ca="1" si="8"/>
        <v>0</v>
      </c>
      <c r="AI87" s="134">
        <f t="shared" ca="1" si="30"/>
        <v>0</v>
      </c>
      <c r="AJ87" s="134">
        <f t="shared" ca="1" si="9"/>
        <v>0</v>
      </c>
      <c r="AK87" s="134">
        <f t="shared" ca="1" si="10"/>
        <v>0</v>
      </c>
      <c r="AL87" s="134">
        <f t="shared" ca="1" si="39"/>
        <v>0</v>
      </c>
      <c r="AM87" s="134">
        <f t="shared" ca="1" si="40"/>
        <v>0</v>
      </c>
      <c r="AN87" s="132">
        <f t="shared" ca="1" si="31"/>
        <v>0</v>
      </c>
      <c r="AO87" s="132">
        <f t="shared" ca="1" si="11"/>
        <v>0</v>
      </c>
      <c r="AP87" s="2">
        <f t="shared" ca="1" si="32"/>
        <v>0</v>
      </c>
      <c r="AQ87" s="2">
        <f t="shared" ca="1" si="12"/>
        <v>0</v>
      </c>
      <c r="AR87" s="2">
        <f t="shared" ca="1" si="13"/>
        <v>0</v>
      </c>
      <c r="AS87" s="2">
        <f t="shared" ca="1" si="14"/>
        <v>30</v>
      </c>
      <c r="AT87" s="2">
        <f t="shared" si="15"/>
        <v>20</v>
      </c>
      <c r="AU87" s="2">
        <f t="shared" ca="1" si="33"/>
        <v>30</v>
      </c>
      <c r="AV87" s="2"/>
      <c r="AW87" s="2"/>
      <c r="AX87" s="2"/>
      <c r="AY87" s="2"/>
      <c r="AZ87" s="2"/>
      <c r="BA87" s="2">
        <f t="shared" ca="1" si="16"/>
        <v>0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4">
        <v>28</v>
      </c>
      <c r="B88" s="268" t="str">
        <f t="shared" ca="1" si="18"/>
        <v xml:space="preserve"> </v>
      </c>
      <c r="C88" s="268"/>
      <c r="D88" s="269" t="str">
        <f ca="1">IF(O88=0,IF(O87=1,SUM(D$61:F87)," "),IF(O88=0," ",IF(O89=1,D$61,IF(O89=0,D$4-D$61*(N$49-1)," "))))</f>
        <v xml:space="preserve"> </v>
      </c>
      <c r="E88" s="269"/>
      <c r="F88" s="269"/>
      <c r="G88" s="87" t="str">
        <f ca="1">IF(O88=0,IF(O87=1,SUM(G$61:G87)," "),IF(N$36=1,Q88,IF(N$36=2,R88," ")))</f>
        <v xml:space="preserve"> </v>
      </c>
      <c r="H88" s="87">
        <v>0</v>
      </c>
      <c r="I88" s="87" t="str">
        <f t="shared" ca="1" si="19"/>
        <v xml:space="preserve"> </v>
      </c>
      <c r="J88" s="87">
        <f t="shared" ca="1" si="20"/>
        <v>0</v>
      </c>
      <c r="K88" s="87">
        <f t="shared" ca="1" si="0"/>
        <v>0</v>
      </c>
      <c r="L88" s="87">
        <v>0</v>
      </c>
      <c r="M88" s="87" t="str">
        <f t="shared" ca="1" si="21"/>
        <v xml:space="preserve"> </v>
      </c>
      <c r="N88" s="2">
        <v>28</v>
      </c>
      <c r="O88" s="2">
        <f t="shared" ca="1" si="34"/>
        <v>0</v>
      </c>
      <c r="P88" s="2">
        <f t="shared" ca="1" si="1"/>
        <v>20</v>
      </c>
      <c r="Q88" s="134">
        <f t="shared" ca="1" si="2"/>
        <v>0</v>
      </c>
      <c r="R88" s="134">
        <f t="shared" ca="1" si="3"/>
        <v>0</v>
      </c>
      <c r="S88" s="134">
        <f t="shared" ca="1" si="23"/>
        <v>0</v>
      </c>
      <c r="T88" s="134" t="str">
        <f t="shared" ca="1" si="24"/>
        <v xml:space="preserve"> </v>
      </c>
      <c r="U88" s="134" t="str">
        <f t="shared" ca="1" si="25"/>
        <v xml:space="preserve"> </v>
      </c>
      <c r="V88" s="134">
        <f t="shared" ca="1" si="36"/>
        <v>0</v>
      </c>
      <c r="W88" s="134">
        <f t="shared" ca="1" si="37"/>
        <v>0</v>
      </c>
      <c r="X88" s="134">
        <f t="shared" ca="1" si="26"/>
        <v>0</v>
      </c>
      <c r="Y88" s="134">
        <f t="shared" ca="1" si="27"/>
        <v>0</v>
      </c>
      <c r="Z88" s="134">
        <f t="shared" ca="1" si="4"/>
        <v>-6.2527760746888816E-13</v>
      </c>
      <c r="AA88" s="134">
        <f t="shared" ca="1" si="38"/>
        <v>0</v>
      </c>
      <c r="AB88" s="134">
        <f t="shared" ca="1" si="5"/>
        <v>0</v>
      </c>
      <c r="AC88" s="134">
        <f t="shared" ca="1" si="35"/>
        <v>0</v>
      </c>
      <c r="AD88" s="134"/>
      <c r="AE88" s="134">
        <f t="shared" ca="1" si="6"/>
        <v>0</v>
      </c>
      <c r="AF88" s="134">
        <f t="shared" ca="1" si="7"/>
        <v>0</v>
      </c>
      <c r="AG88" s="134">
        <f t="shared" ca="1" si="29"/>
        <v>0</v>
      </c>
      <c r="AH88" s="134">
        <f t="shared" ca="1" si="8"/>
        <v>0</v>
      </c>
      <c r="AI88" s="134">
        <f t="shared" ca="1" si="30"/>
        <v>0</v>
      </c>
      <c r="AJ88" s="134">
        <f t="shared" ca="1" si="9"/>
        <v>0</v>
      </c>
      <c r="AK88" s="134">
        <f t="shared" ca="1" si="10"/>
        <v>0</v>
      </c>
      <c r="AL88" s="134">
        <f t="shared" ca="1" si="39"/>
        <v>0</v>
      </c>
      <c r="AM88" s="134">
        <f t="shared" ca="1" si="40"/>
        <v>0</v>
      </c>
      <c r="AN88" s="132">
        <f t="shared" ca="1" si="31"/>
        <v>0</v>
      </c>
      <c r="AO88" s="132">
        <f t="shared" ca="1" si="11"/>
        <v>0</v>
      </c>
      <c r="AP88" s="2">
        <f t="shared" ca="1" si="32"/>
        <v>0</v>
      </c>
      <c r="AQ88" s="2">
        <f t="shared" ca="1" si="12"/>
        <v>0</v>
      </c>
      <c r="AR88" s="2">
        <f t="shared" ca="1" si="13"/>
        <v>0</v>
      </c>
      <c r="AS88" s="2">
        <f t="shared" ca="1" si="14"/>
        <v>30</v>
      </c>
      <c r="AT88" s="2">
        <f t="shared" si="15"/>
        <v>20</v>
      </c>
      <c r="AU88" s="2">
        <f t="shared" ca="1" si="33"/>
        <v>30</v>
      </c>
      <c r="AV88" s="2"/>
      <c r="AW88" s="2"/>
      <c r="AX88" s="2"/>
      <c r="AY88" s="2"/>
      <c r="AZ88" s="2"/>
      <c r="BA88" s="2">
        <f t="shared" ca="1" si="16"/>
        <v>0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v>29</v>
      </c>
      <c r="B89" s="268" t="str">
        <f t="shared" ca="1" si="18"/>
        <v xml:space="preserve"> </v>
      </c>
      <c r="C89" s="268"/>
      <c r="D89" s="269" t="str">
        <f ca="1">IF(O89=0,IF(O88=1,SUM(D$61:F88)," "),IF(O89=0," ",IF(O90=1,D$61,IF(O90=0,D$4-D$61*(N$49-1)," "))))</f>
        <v xml:space="preserve"> </v>
      </c>
      <c r="E89" s="269"/>
      <c r="F89" s="269"/>
      <c r="G89" s="87" t="str">
        <f ca="1">IF(O89=0,IF(O88=1,SUM(G$61:G88)," "),IF(N$36=1,Q89,IF(N$36=2,R89," ")))</f>
        <v xml:space="preserve"> </v>
      </c>
      <c r="H89" s="87">
        <v>0</v>
      </c>
      <c r="I89" s="87" t="str">
        <f t="shared" ca="1" si="19"/>
        <v xml:space="preserve"> </v>
      </c>
      <c r="J89" s="87">
        <f t="shared" ca="1" si="20"/>
        <v>0</v>
      </c>
      <c r="K89" s="87">
        <f t="shared" ca="1" si="0"/>
        <v>0</v>
      </c>
      <c r="L89" s="87">
        <v>0</v>
      </c>
      <c r="M89" s="87" t="str">
        <f t="shared" ca="1" si="21"/>
        <v xml:space="preserve"> </v>
      </c>
      <c r="N89" s="2">
        <v>29</v>
      </c>
      <c r="O89" s="2">
        <f t="shared" ca="1" si="34"/>
        <v>0</v>
      </c>
      <c r="P89" s="2">
        <f t="shared" ca="1" si="1"/>
        <v>20</v>
      </c>
      <c r="Q89" s="134">
        <f t="shared" ca="1" si="2"/>
        <v>0</v>
      </c>
      <c r="R89" s="134">
        <f t="shared" ca="1" si="3"/>
        <v>0</v>
      </c>
      <c r="S89" s="134">
        <f t="shared" ca="1" si="23"/>
        <v>0</v>
      </c>
      <c r="T89" s="134" t="str">
        <f t="shared" ca="1" si="24"/>
        <v xml:space="preserve"> </v>
      </c>
      <c r="U89" s="134" t="str">
        <f t="shared" ca="1" si="25"/>
        <v xml:space="preserve"> </v>
      </c>
      <c r="V89" s="134">
        <f t="shared" ca="1" si="36"/>
        <v>0</v>
      </c>
      <c r="W89" s="134">
        <f t="shared" ca="1" si="37"/>
        <v>0</v>
      </c>
      <c r="X89" s="134">
        <f t="shared" ca="1" si="26"/>
        <v>0</v>
      </c>
      <c r="Y89" s="134">
        <f t="shared" ca="1" si="27"/>
        <v>0</v>
      </c>
      <c r="Z89" s="134">
        <f t="shared" ca="1" si="4"/>
        <v>-6.2527760746888816E-13</v>
      </c>
      <c r="AA89" s="134">
        <f t="shared" ca="1" si="38"/>
        <v>0</v>
      </c>
      <c r="AB89" s="134">
        <f t="shared" ca="1" si="5"/>
        <v>0</v>
      </c>
      <c r="AC89" s="134">
        <f t="shared" ca="1" si="35"/>
        <v>0</v>
      </c>
      <c r="AD89" s="134"/>
      <c r="AE89" s="134">
        <f t="shared" ca="1" si="6"/>
        <v>0</v>
      </c>
      <c r="AF89" s="134">
        <f t="shared" ca="1" si="7"/>
        <v>0</v>
      </c>
      <c r="AG89" s="134">
        <f t="shared" ca="1" si="29"/>
        <v>0</v>
      </c>
      <c r="AH89" s="134">
        <f t="shared" ca="1" si="8"/>
        <v>0</v>
      </c>
      <c r="AI89" s="134">
        <f t="shared" ca="1" si="30"/>
        <v>0</v>
      </c>
      <c r="AJ89" s="134">
        <f t="shared" ca="1" si="9"/>
        <v>0</v>
      </c>
      <c r="AK89" s="134">
        <f t="shared" ca="1" si="10"/>
        <v>0</v>
      </c>
      <c r="AL89" s="134">
        <f t="shared" ca="1" si="39"/>
        <v>0</v>
      </c>
      <c r="AM89" s="134">
        <f t="shared" ca="1" si="40"/>
        <v>0</v>
      </c>
      <c r="AN89" s="132">
        <f t="shared" ca="1" si="31"/>
        <v>0</v>
      </c>
      <c r="AO89" s="132">
        <f t="shared" ca="1" si="11"/>
        <v>0</v>
      </c>
      <c r="AP89" s="2">
        <f t="shared" ca="1" si="32"/>
        <v>0</v>
      </c>
      <c r="AQ89" s="2">
        <f t="shared" ca="1" si="12"/>
        <v>0</v>
      </c>
      <c r="AR89" s="2">
        <f t="shared" ca="1" si="13"/>
        <v>0</v>
      </c>
      <c r="AS89" s="2">
        <f t="shared" ca="1" si="14"/>
        <v>30</v>
      </c>
      <c r="AT89" s="2">
        <f t="shared" si="15"/>
        <v>20</v>
      </c>
      <c r="AU89" s="2">
        <f t="shared" ca="1" si="33"/>
        <v>30</v>
      </c>
      <c r="AV89" s="2"/>
      <c r="AW89" s="2"/>
      <c r="AX89" s="2"/>
      <c r="AY89" s="2"/>
      <c r="AZ89" s="2"/>
      <c r="BA89" s="2">
        <f t="shared" ca="1" si="16"/>
        <v>0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4">
        <v>30</v>
      </c>
      <c r="B90" s="268" t="str">
        <f t="shared" ca="1" si="18"/>
        <v xml:space="preserve"> </v>
      </c>
      <c r="C90" s="268"/>
      <c r="D90" s="269" t="str">
        <f ca="1">IF(O90=0,IF(O89=1,SUM(D$61:F89)," "),IF(O90=0," ",IF(O91=1,D$61,IF(O91=0,D$4-D$61*(N$49-1)," "))))</f>
        <v xml:space="preserve"> </v>
      </c>
      <c r="E90" s="269"/>
      <c r="F90" s="269"/>
      <c r="G90" s="87" t="str">
        <f ca="1">IF(O90=0,IF(O89=1,SUM(G$61:G89)," "),IF(N$36=1,Q90,IF(N$36=2,R90," ")))</f>
        <v xml:space="preserve"> </v>
      </c>
      <c r="H90" s="87">
        <v>0</v>
      </c>
      <c r="I90" s="87" t="str">
        <f t="shared" ca="1" si="19"/>
        <v xml:space="preserve"> </v>
      </c>
      <c r="J90" s="87">
        <f t="shared" ca="1" si="20"/>
        <v>0</v>
      </c>
      <c r="K90" s="87">
        <f t="shared" ca="1" si="0"/>
        <v>0</v>
      </c>
      <c r="L90" s="87">
        <v>0</v>
      </c>
      <c r="M90" s="87" t="str">
        <f t="shared" ca="1" si="21"/>
        <v xml:space="preserve"> </v>
      </c>
      <c r="N90" s="2">
        <v>30</v>
      </c>
      <c r="O90" s="2">
        <f t="shared" ca="1" si="34"/>
        <v>0</v>
      </c>
      <c r="P90" s="2">
        <f t="shared" ca="1" si="1"/>
        <v>20</v>
      </c>
      <c r="Q90" s="134">
        <f t="shared" ca="1" si="2"/>
        <v>0</v>
      </c>
      <c r="R90" s="134">
        <f t="shared" ca="1" si="3"/>
        <v>0</v>
      </c>
      <c r="S90" s="134">
        <f t="shared" ca="1" si="23"/>
        <v>0</v>
      </c>
      <c r="T90" s="134" t="str">
        <f t="shared" ca="1" si="24"/>
        <v xml:space="preserve"> </v>
      </c>
      <c r="U90" s="134" t="str">
        <f t="shared" ca="1" si="25"/>
        <v xml:space="preserve"> </v>
      </c>
      <c r="V90" s="134">
        <f t="shared" ca="1" si="36"/>
        <v>0</v>
      </c>
      <c r="W90" s="134">
        <f t="shared" ca="1" si="37"/>
        <v>0</v>
      </c>
      <c r="X90" s="134">
        <f t="shared" ca="1" si="26"/>
        <v>0</v>
      </c>
      <c r="Y90" s="134">
        <f t="shared" ca="1" si="27"/>
        <v>0</v>
      </c>
      <c r="Z90" s="134">
        <f t="shared" ca="1" si="4"/>
        <v>-6.2527760746888816E-13</v>
      </c>
      <c r="AA90" s="134">
        <f t="shared" ca="1" si="38"/>
        <v>0</v>
      </c>
      <c r="AB90" s="134">
        <f t="shared" ca="1" si="5"/>
        <v>0</v>
      </c>
      <c r="AC90" s="134">
        <f t="shared" ca="1" si="35"/>
        <v>0</v>
      </c>
      <c r="AD90" s="134"/>
      <c r="AE90" s="134">
        <f t="shared" ca="1" si="6"/>
        <v>0</v>
      </c>
      <c r="AF90" s="134">
        <f t="shared" ca="1" si="7"/>
        <v>0</v>
      </c>
      <c r="AG90" s="134">
        <f t="shared" ca="1" si="29"/>
        <v>0</v>
      </c>
      <c r="AH90" s="134">
        <f t="shared" ca="1" si="8"/>
        <v>0</v>
      </c>
      <c r="AI90" s="134">
        <f t="shared" ca="1" si="30"/>
        <v>0</v>
      </c>
      <c r="AJ90" s="134">
        <f t="shared" ca="1" si="9"/>
        <v>0</v>
      </c>
      <c r="AK90" s="134">
        <f t="shared" ca="1" si="10"/>
        <v>0</v>
      </c>
      <c r="AL90" s="134">
        <f t="shared" ca="1" si="39"/>
        <v>0</v>
      </c>
      <c r="AM90" s="134">
        <f t="shared" ca="1" si="40"/>
        <v>0</v>
      </c>
      <c r="AN90" s="132">
        <f t="shared" ca="1" si="31"/>
        <v>0</v>
      </c>
      <c r="AO90" s="132">
        <f t="shared" ca="1" si="11"/>
        <v>0</v>
      </c>
      <c r="AP90" s="2">
        <f t="shared" ca="1" si="32"/>
        <v>0</v>
      </c>
      <c r="AQ90" s="2">
        <f t="shared" ca="1" si="12"/>
        <v>0</v>
      </c>
      <c r="AR90" s="2">
        <f t="shared" ca="1" si="13"/>
        <v>0</v>
      </c>
      <c r="AS90" s="2">
        <f t="shared" ca="1" si="14"/>
        <v>30</v>
      </c>
      <c r="AT90" s="2">
        <f t="shared" si="15"/>
        <v>20</v>
      </c>
      <c r="AU90" s="2">
        <f t="shared" ca="1" si="33"/>
        <v>30</v>
      </c>
      <c r="AV90" s="2"/>
      <c r="AW90" s="2"/>
      <c r="AX90" s="2"/>
      <c r="AY90" s="2"/>
      <c r="AZ90" s="2"/>
      <c r="BA90" s="2">
        <f t="shared" ca="1" si="16"/>
        <v>0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v>31</v>
      </c>
      <c r="B91" s="268" t="str">
        <f t="shared" ca="1" si="18"/>
        <v xml:space="preserve"> </v>
      </c>
      <c r="C91" s="268"/>
      <c r="D91" s="269" t="str">
        <f ca="1">IF(O91=0,IF(O90=1,SUM(D$61:F90)," "),IF(O91=0," ",IF(O92=1,D$61,IF(O92=0,D$4-D$61*(N$49-1)," "))))</f>
        <v xml:space="preserve"> </v>
      </c>
      <c r="E91" s="269"/>
      <c r="F91" s="269"/>
      <c r="G91" s="87" t="str">
        <f ca="1">IF(O91=0,IF(O90=1,SUM(G$61:G90)," "),IF(N$36=1,Q91,IF(N$36=2,R91," ")))</f>
        <v xml:space="preserve"> </v>
      </c>
      <c r="H91" s="87">
        <v>0</v>
      </c>
      <c r="I91" s="87" t="str">
        <f t="shared" ca="1" si="19"/>
        <v xml:space="preserve"> </v>
      </c>
      <c r="J91" s="87">
        <f t="shared" ca="1" si="20"/>
        <v>0</v>
      </c>
      <c r="K91" s="87">
        <f t="shared" ca="1" si="0"/>
        <v>0</v>
      </c>
      <c r="L91" s="87">
        <v>0</v>
      </c>
      <c r="M91" s="87" t="str">
        <f t="shared" ca="1" si="21"/>
        <v xml:space="preserve"> </v>
      </c>
      <c r="N91" s="2">
        <v>31</v>
      </c>
      <c r="O91" s="2">
        <f t="shared" ca="1" si="34"/>
        <v>0</v>
      </c>
      <c r="P91" s="2">
        <f t="shared" ca="1" si="1"/>
        <v>20</v>
      </c>
      <c r="Q91" s="134">
        <f t="shared" ca="1" si="2"/>
        <v>0</v>
      </c>
      <c r="R91" s="134">
        <f t="shared" ca="1" si="3"/>
        <v>0</v>
      </c>
      <c r="S91" s="134">
        <f t="shared" ca="1" si="23"/>
        <v>0</v>
      </c>
      <c r="T91" s="134" t="str">
        <f t="shared" ca="1" si="24"/>
        <v xml:space="preserve"> </v>
      </c>
      <c r="U91" s="134" t="str">
        <f t="shared" ca="1" si="25"/>
        <v xml:space="preserve"> </v>
      </c>
      <c r="V91" s="134">
        <f t="shared" ca="1" si="36"/>
        <v>0</v>
      </c>
      <c r="W91" s="134">
        <f t="shared" ca="1" si="37"/>
        <v>0</v>
      </c>
      <c r="X91" s="134">
        <f t="shared" ca="1" si="26"/>
        <v>0</v>
      </c>
      <c r="Y91" s="134">
        <f t="shared" ca="1" si="27"/>
        <v>0</v>
      </c>
      <c r="Z91" s="134">
        <f t="shared" ca="1" si="4"/>
        <v>-6.2527760746888816E-13</v>
      </c>
      <c r="AA91" s="134">
        <f t="shared" ca="1" si="38"/>
        <v>0</v>
      </c>
      <c r="AB91" s="134">
        <f t="shared" ca="1" si="5"/>
        <v>0</v>
      </c>
      <c r="AC91" s="134">
        <f t="shared" ca="1" si="35"/>
        <v>0</v>
      </c>
      <c r="AD91" s="134"/>
      <c r="AE91" s="134">
        <f t="shared" ca="1" si="6"/>
        <v>0</v>
      </c>
      <c r="AF91" s="134">
        <f t="shared" ca="1" si="7"/>
        <v>0</v>
      </c>
      <c r="AG91" s="134">
        <f t="shared" ca="1" si="29"/>
        <v>0</v>
      </c>
      <c r="AH91" s="134">
        <f t="shared" ca="1" si="8"/>
        <v>0</v>
      </c>
      <c r="AI91" s="134">
        <f t="shared" ca="1" si="30"/>
        <v>0</v>
      </c>
      <c r="AJ91" s="134">
        <f t="shared" ca="1" si="9"/>
        <v>0</v>
      </c>
      <c r="AK91" s="134">
        <f t="shared" ca="1" si="10"/>
        <v>0</v>
      </c>
      <c r="AL91" s="134">
        <f t="shared" ca="1" si="39"/>
        <v>0</v>
      </c>
      <c r="AM91" s="134">
        <f t="shared" ca="1" si="40"/>
        <v>0</v>
      </c>
      <c r="AN91" s="132">
        <f t="shared" ca="1" si="31"/>
        <v>0</v>
      </c>
      <c r="AO91" s="132">
        <f t="shared" ca="1" si="11"/>
        <v>0</v>
      </c>
      <c r="AP91" s="2">
        <f t="shared" ca="1" si="32"/>
        <v>0</v>
      </c>
      <c r="AQ91" s="2">
        <f t="shared" ca="1" si="12"/>
        <v>0</v>
      </c>
      <c r="AR91" s="2">
        <f t="shared" ca="1" si="13"/>
        <v>0</v>
      </c>
      <c r="AS91" s="2">
        <f t="shared" ca="1" si="14"/>
        <v>30</v>
      </c>
      <c r="AT91" s="2">
        <f t="shared" si="15"/>
        <v>20</v>
      </c>
      <c r="AU91" s="2">
        <f t="shared" ca="1" si="33"/>
        <v>30</v>
      </c>
      <c r="AV91" s="2"/>
      <c r="AW91" s="2"/>
      <c r="AX91" s="2"/>
      <c r="AY91" s="2"/>
      <c r="AZ91" s="2"/>
      <c r="BA91" s="2">
        <f t="shared" ca="1" si="16"/>
        <v>0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v>32</v>
      </c>
      <c r="B92" s="268" t="str">
        <f t="shared" ca="1" si="18"/>
        <v xml:space="preserve"> </v>
      </c>
      <c r="C92" s="268"/>
      <c r="D92" s="269" t="str">
        <f ca="1">IF(O92=0,IF(O91=1,SUM(D$61:F91)," "),IF(O92=0," ",IF(O93=1,D$61,IF(O93=0,D$4-D$61*(N$49-1)," "))))</f>
        <v xml:space="preserve"> </v>
      </c>
      <c r="E92" s="269"/>
      <c r="F92" s="269"/>
      <c r="G92" s="87" t="str">
        <f ca="1">IF(O92=0,IF(O91=1,SUM(G$61:G91)," "),IF(N$36=1,Q92,IF(N$36=2,R92," ")))</f>
        <v xml:space="preserve"> </v>
      </c>
      <c r="H92" s="87">
        <v>0</v>
      </c>
      <c r="I92" s="87" t="str">
        <f t="shared" ca="1" si="19"/>
        <v xml:space="preserve"> </v>
      </c>
      <c r="J92" s="87">
        <f t="shared" ca="1" si="20"/>
        <v>0</v>
      </c>
      <c r="K92" s="87">
        <f t="shared" ca="1" si="0"/>
        <v>0</v>
      </c>
      <c r="L92" s="87">
        <v>0</v>
      </c>
      <c r="M92" s="87" t="str">
        <f t="shared" ca="1" si="21"/>
        <v xml:space="preserve"> </v>
      </c>
      <c r="N92" s="2">
        <v>32</v>
      </c>
      <c r="O92" s="2">
        <f t="shared" ca="1" si="34"/>
        <v>0</v>
      </c>
      <c r="P92" s="2">
        <f t="shared" ca="1" si="1"/>
        <v>20</v>
      </c>
      <c r="Q92" s="134">
        <f t="shared" ca="1" si="2"/>
        <v>0</v>
      </c>
      <c r="R92" s="134">
        <f t="shared" ca="1" si="3"/>
        <v>0</v>
      </c>
      <c r="S92" s="134">
        <f t="shared" ca="1" si="23"/>
        <v>0</v>
      </c>
      <c r="T92" s="134" t="str">
        <f t="shared" ca="1" si="24"/>
        <v xml:space="preserve"> </v>
      </c>
      <c r="U92" s="134" t="str">
        <f t="shared" ca="1" si="25"/>
        <v xml:space="preserve"> </v>
      </c>
      <c r="V92" s="134">
        <f t="shared" ca="1" si="36"/>
        <v>0</v>
      </c>
      <c r="W92" s="134">
        <f t="shared" ca="1" si="37"/>
        <v>0</v>
      </c>
      <c r="X92" s="134">
        <f t="shared" ca="1" si="26"/>
        <v>0</v>
      </c>
      <c r="Y92" s="134">
        <f t="shared" ca="1" si="27"/>
        <v>0</v>
      </c>
      <c r="Z92" s="134">
        <f t="shared" ca="1" si="4"/>
        <v>-6.2527760746888816E-13</v>
      </c>
      <c r="AA92" s="134">
        <f t="shared" ca="1" si="38"/>
        <v>0</v>
      </c>
      <c r="AB92" s="134">
        <f t="shared" ca="1" si="5"/>
        <v>0</v>
      </c>
      <c r="AC92" s="134">
        <f t="shared" ca="1" si="35"/>
        <v>0</v>
      </c>
      <c r="AD92" s="134"/>
      <c r="AE92" s="134">
        <f t="shared" ca="1" si="6"/>
        <v>0</v>
      </c>
      <c r="AF92" s="134">
        <f t="shared" ca="1" si="7"/>
        <v>0</v>
      </c>
      <c r="AG92" s="134">
        <f t="shared" ca="1" si="29"/>
        <v>0</v>
      </c>
      <c r="AH92" s="134">
        <f t="shared" ca="1" si="8"/>
        <v>0</v>
      </c>
      <c r="AI92" s="134">
        <f t="shared" ca="1" si="30"/>
        <v>0</v>
      </c>
      <c r="AJ92" s="134">
        <f t="shared" ca="1" si="9"/>
        <v>0</v>
      </c>
      <c r="AK92" s="134">
        <f t="shared" ca="1" si="10"/>
        <v>0</v>
      </c>
      <c r="AL92" s="134">
        <f t="shared" ca="1" si="39"/>
        <v>0</v>
      </c>
      <c r="AM92" s="134">
        <f t="shared" ca="1" si="40"/>
        <v>0</v>
      </c>
      <c r="AN92" s="132">
        <f t="shared" ca="1" si="31"/>
        <v>0</v>
      </c>
      <c r="AO92" s="132">
        <f t="shared" ca="1" si="11"/>
        <v>0</v>
      </c>
      <c r="AP92" s="2">
        <f t="shared" ca="1" si="32"/>
        <v>0</v>
      </c>
      <c r="AQ92" s="2">
        <f t="shared" ca="1" si="12"/>
        <v>0</v>
      </c>
      <c r="AR92" s="2">
        <f t="shared" ca="1" si="13"/>
        <v>0</v>
      </c>
      <c r="AS92" s="2">
        <f t="shared" ca="1" si="14"/>
        <v>30</v>
      </c>
      <c r="AT92" s="2">
        <f t="shared" si="15"/>
        <v>20</v>
      </c>
      <c r="AU92" s="2">
        <f t="shared" ca="1" si="33"/>
        <v>30</v>
      </c>
      <c r="AV92" s="2"/>
      <c r="AW92" s="2"/>
      <c r="AX92" s="2"/>
      <c r="AY92" s="2"/>
      <c r="AZ92" s="2"/>
      <c r="BA92" s="2">
        <f t="shared" ca="1" si="16"/>
        <v>0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v>33</v>
      </c>
      <c r="B93" s="268" t="str">
        <f t="shared" ca="1" si="18"/>
        <v xml:space="preserve"> </v>
      </c>
      <c r="C93" s="268"/>
      <c r="D93" s="269" t="str">
        <f ca="1">IF(O93=0,IF(O92=1,SUM(D$61:F92)," "),IF(O93=0," ",IF(O94=1,D$61,IF(O94=0,D$4-D$61*(N$49-1)," "))))</f>
        <v xml:space="preserve"> </v>
      </c>
      <c r="E93" s="269"/>
      <c r="F93" s="269"/>
      <c r="G93" s="87" t="str">
        <f ca="1">IF(O93=0,IF(O92=1,SUM(G$61:G92)," "),IF(N$36=1,Q93,IF(N$36=2,R93," ")))</f>
        <v xml:space="preserve"> </v>
      </c>
      <c r="H93" s="87">
        <v>0</v>
      </c>
      <c r="I93" s="87" t="str">
        <f t="shared" ca="1" si="19"/>
        <v xml:space="preserve"> </v>
      </c>
      <c r="J93" s="87">
        <f t="shared" ca="1" si="20"/>
        <v>0</v>
      </c>
      <c r="K93" s="87">
        <f t="shared" ref="K93:K121" ca="1" si="41">AB93</f>
        <v>0</v>
      </c>
      <c r="L93" s="87">
        <v>0</v>
      </c>
      <c r="M93" s="87" t="str">
        <f t="shared" ca="1" si="21"/>
        <v xml:space="preserve"> </v>
      </c>
      <c r="N93" s="2">
        <v>33</v>
      </c>
      <c r="O93" s="2">
        <f t="shared" ca="1" si="34"/>
        <v>0</v>
      </c>
      <c r="P93" s="2">
        <f t="shared" ref="P93:P121" ca="1" si="42">IF(D$7+1=A$49,IF(N93=A$49,IF(DATE(YEAR(0),MONTH(0),DAY(D$9)-1)&gt;AT93,DATE(YEAR(0),MONTH(0),DAY(D$9)-1),AT93),AT93),IF(N93=A$49,IF(DATE(YEAR(0),MONTH(0),DAY(D$9)-1)&lt;AT93,DATE(YEAR(0),MONTH(0),DAY(D$9)-1),AT93),AT93))</f>
        <v>20</v>
      </c>
      <c r="Q93" s="134">
        <f t="shared" ref="Q93:Q121" ca="1" si="43">V93</f>
        <v>0</v>
      </c>
      <c r="R93" s="134">
        <f t="shared" ref="R93:R121" ca="1" si="44">W93</f>
        <v>0</v>
      </c>
      <c r="S93" s="134">
        <f t="shared" ca="1" si="23"/>
        <v>0</v>
      </c>
      <c r="T93" s="134" t="str">
        <f t="shared" ca="1" si="24"/>
        <v xml:space="preserve"> </v>
      </c>
      <c r="U93" s="134" t="str">
        <f t="shared" ca="1" si="25"/>
        <v xml:space="preserve"> </v>
      </c>
      <c r="V93" s="134">
        <f t="shared" ca="1" si="36"/>
        <v>0</v>
      </c>
      <c r="W93" s="134">
        <f t="shared" ca="1" si="37"/>
        <v>0</v>
      </c>
      <c r="X93" s="134">
        <f t="shared" ca="1" si="26"/>
        <v>0</v>
      </c>
      <c r="Y93" s="134">
        <f t="shared" ca="1" si="27"/>
        <v>0</v>
      </c>
      <c r="Z93" s="134">
        <f t="shared" ref="Z93:Z121" ca="1" si="45">IF(N93&lt;=(D$8+1),D$4,Z92-J92)</f>
        <v>-6.2527760746888816E-13</v>
      </c>
      <c r="AA93" s="134">
        <f t="shared" ca="1" si="38"/>
        <v>0</v>
      </c>
      <c r="AB93" s="134">
        <f t="shared" ref="AB93:AB121" ca="1" si="46">AA93</f>
        <v>0</v>
      </c>
      <c r="AC93" s="134">
        <f t="shared" ca="1" si="35"/>
        <v>0</v>
      </c>
      <c r="AD93" s="134"/>
      <c r="AE93" s="134">
        <f t="shared" ref="AE93:AE121" ca="1" si="47">IF(AL93&lt;&gt;0,IF(VALUE(RIGHT(ROUND(AL93,0)))&lt;=5,ROUND(AL93,0)-VALUE(RIGHT(ROUND(AL93,0))),ROUND(AL93,0)+10-VALUE(RIGHT(ROUND(AL93,0)))),0)</f>
        <v>0</v>
      </c>
      <c r="AF93" s="134">
        <f t="shared" ref="AF93:AF121" ca="1" si="48">IF(AM93&lt;&gt;0,IF(VALUE(RIGHT(ROUND(AM93,0)))&lt;=5,ROUND(AM93,0)-VALUE(RIGHT(ROUND(AM93,0))),ROUND(AM93,0)+10-VALUE(RIGHT(ROUND(AM93,0)))),0)</f>
        <v>0</v>
      </c>
      <c r="AG93" s="134">
        <f t="shared" ca="1" si="29"/>
        <v>0</v>
      </c>
      <c r="AH93" s="134">
        <f t="shared" ref="AH93:AH121" ca="1" si="49">IF(AG93&lt;&gt;0,IF(VALUE(RIGHT(ROUND(AG93,0)))&lt;=5,ROUND(AG93,0)-VALUE(RIGHT(ROUND(AG93,0))),ROUND(AG93,0)+10-VALUE(RIGHT(ROUND(AG93,0)))),0)</f>
        <v>0</v>
      </c>
      <c r="AI93" s="134">
        <f t="shared" ca="1" si="30"/>
        <v>0</v>
      </c>
      <c r="AJ93" s="134">
        <f t="shared" ref="AJ93:AJ121" ca="1" si="50">IF(AI93&lt;&gt;0,IF(VALUE(RIGHT(ROUND(AI93,0)))&lt;=5,ROUND(AI93,0)-VALUE(RIGHT(ROUND(AI93,0))),ROUND(AI93,0)+10-VALUE(RIGHT(ROUND(AI93,0)))),0)</f>
        <v>0</v>
      </c>
      <c r="AK93" s="134">
        <f t="shared" ref="AK93:AK121" ca="1" si="51">S93</f>
        <v>0</v>
      </c>
      <c r="AL93" s="134">
        <f t="shared" ca="1" si="39"/>
        <v>0</v>
      </c>
      <c r="AM93" s="134">
        <f t="shared" ca="1" si="40"/>
        <v>0</v>
      </c>
      <c r="AN93" s="132">
        <f t="shared" ca="1" si="31"/>
        <v>0</v>
      </c>
      <c r="AO93" s="132">
        <f t="shared" ref="AO93:AO121" ca="1" si="52">IF(AN93=13,1,AN93)</f>
        <v>0</v>
      </c>
      <c r="AP93" s="2">
        <f t="shared" ca="1" si="32"/>
        <v>0</v>
      </c>
      <c r="AQ93" s="2">
        <f t="shared" ref="AQ93:AQ121" ca="1" si="53">IF(AO93=1,AP93+1,AP93)</f>
        <v>0</v>
      </c>
      <c r="AR93" s="2">
        <f t="shared" ref="AR93:AR121" ca="1" si="54">IF((AP93/2012)=1,1,IF((AP93/2016)=1,1,IF((AP93/2020)=1,1,IF((AP93/2024)=1,1,IF((AP93/2028)=1,1,IF((AP93/2032)=1,1,0))))))</f>
        <v>0</v>
      </c>
      <c r="AS93" s="2">
        <f t="shared" ref="AS93:AS121" ca="1" si="55">IF(AO93=2,IF(AR93=1,29,28),30)</f>
        <v>30</v>
      </c>
      <c r="AT93" s="2">
        <f t="shared" ref="AT93:AT121" si="56">IF(C$60=30,AS93,20)</f>
        <v>20</v>
      </c>
      <c r="AU93" s="2">
        <f t="shared" ca="1" si="33"/>
        <v>30</v>
      </c>
      <c r="AV93" s="2"/>
      <c r="AW93" s="2"/>
      <c r="AX93" s="2"/>
      <c r="AY93" s="2"/>
      <c r="AZ93" s="2"/>
      <c r="BA93" s="2">
        <f t="shared" ref="BA93:BA121" ca="1" si="57">IF(D$8=0,0,IF(O93=1,1,0))</f>
        <v>0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4" customFormat="1" ht="15" customHeight="1">
      <c r="A94" s="4">
        <v>34</v>
      </c>
      <c r="B94" s="268" t="str">
        <f t="shared" ref="B94:B121" ca="1" si="58">IF(O94=0,IF(O93=1,"ИТОГО"," "),IF(A$49=D$7+1,IF(N94=A$49,IF(MONTH(B93)=2,IF(DAY(D$9)&gt;29,DATE(YEAR(B93),MONTH(B93),AU94),DATE(YEAR(B93),MONTH(B93),P94)),DATE(YEAR(B93),MONTH(B93),P94)),DATE(YEAR(B93),MONTH(B93)+1,P94)),DATE(YEAR(B93),MONTH(B93)+1,P94)))</f>
        <v xml:space="preserve"> </v>
      </c>
      <c r="C94" s="268"/>
      <c r="D94" s="269" t="str">
        <f ca="1">IF(O94=0,IF(O93=1,SUM(D$61:F93)," "),IF(O94=0," ",IF(O95=1,D$61,IF(O95=0,D$4-D$61*(N$49-1)," "))))</f>
        <v xml:space="preserve"> </v>
      </c>
      <c r="E94" s="269"/>
      <c r="F94" s="269"/>
      <c r="G94" s="87" t="str">
        <f ca="1">IF(O94=0,IF(O93=1,SUM(G$61:G93)," "),IF(N$36=1,Q94,IF(N$36=2,R94," ")))</f>
        <v xml:space="preserve"> </v>
      </c>
      <c r="H94" s="87">
        <v>0</v>
      </c>
      <c r="I94" s="87" t="str">
        <f t="shared" ref="I94:I121" ca="1" si="59">IF(SUM(D94:H94)=0," ",SUM(D94:H94))</f>
        <v xml:space="preserve"> </v>
      </c>
      <c r="J94" s="87">
        <f t="shared" ref="J94:J121" ca="1" si="60">IF(O94=1,IF(O95=1,IF(N94&lt;=D$8,U94,AX$62),D$4-AX$62*N$51+AX$62),0)</f>
        <v>0</v>
      </c>
      <c r="K94" s="87">
        <f t="shared" ca="1" si="41"/>
        <v>0</v>
      </c>
      <c r="L94" s="87">
        <v>0</v>
      </c>
      <c r="M94" s="87" t="str">
        <f t="shared" ref="M94:M121" ca="1" si="61">IF(SUM(J94:L94)=0," ",SUM(J94:L94))</f>
        <v xml:space="preserve"> </v>
      </c>
      <c r="N94" s="2">
        <v>34</v>
      </c>
      <c r="O94" s="2">
        <f t="shared" ca="1" si="34"/>
        <v>0</v>
      </c>
      <c r="P94" s="2">
        <f t="shared" ca="1" si="42"/>
        <v>20</v>
      </c>
      <c r="Q94" s="134">
        <f t="shared" ca="1" si="43"/>
        <v>0</v>
      </c>
      <c r="R94" s="134">
        <f t="shared" ca="1" si="44"/>
        <v>0</v>
      </c>
      <c r="S94" s="134">
        <f t="shared" ref="S94:S121" ca="1" si="62">IF(O94=0,0,S93-D93)</f>
        <v>0</v>
      </c>
      <c r="T94" s="134" t="str">
        <f t="shared" ref="T94:T121" ca="1" si="63">IF(N94&lt;=D$8,D$4/(D$7-N93),D94)</f>
        <v xml:space="preserve"> </v>
      </c>
      <c r="U94" s="134" t="str">
        <f t="shared" ref="U94:U121" ca="1" si="64">T94</f>
        <v xml:space="preserve"> </v>
      </c>
      <c r="V94" s="134">
        <f t="shared" ca="1" si="36"/>
        <v>0</v>
      </c>
      <c r="W94" s="134">
        <f t="shared" ca="1" si="37"/>
        <v>0</v>
      </c>
      <c r="X94" s="134">
        <f t="shared" ref="X94:X120" ca="1" si="65">IF(O95=1,$D$4*$D$5*20/36000+$D$4*$D$5*10/36000,IF(O95=0,IF(O94=0,0,$D$4*$D$5*$R$47/36000+$D$4*$D$5*20/36000+$D$4*$D$5*10/36000)))</f>
        <v>0</v>
      </c>
      <c r="Y94" s="134">
        <f t="shared" ref="Y94:Y121" ca="1" si="66">IF(X94&lt;&gt;0,IF(VALUE(RIGHT(ROUND(X94,0)))&lt;=5,ROUND(X94,0)-VALUE(RIGHT(ROUND(X94,0))),ROUND(X94,0)+10-VALUE(RIGHT(ROUND(X94,0)))),0)</f>
        <v>0</v>
      </c>
      <c r="Z94" s="134">
        <f t="shared" ca="1" si="45"/>
        <v>-6.2527760746888816E-13</v>
      </c>
      <c r="AA94" s="134">
        <f t="shared" ca="1" si="38"/>
        <v>0</v>
      </c>
      <c r="AB94" s="134">
        <f t="shared" ca="1" si="46"/>
        <v>0</v>
      </c>
      <c r="AC94" s="134">
        <f t="shared" ca="1" si="35"/>
        <v>0</v>
      </c>
      <c r="AD94" s="134"/>
      <c r="AE94" s="134">
        <f t="shared" ca="1" si="47"/>
        <v>0</v>
      </c>
      <c r="AF94" s="134">
        <f t="shared" ca="1" si="48"/>
        <v>0</v>
      </c>
      <c r="AG94" s="134">
        <f t="shared" ref="AG94:AG120" ca="1" si="67">IF(O95=1,D$4*H$47*20/36000+D$4*H$47*10/36000,IF(O95=0,IF(O94=0,0,D$4*H$47*R$47/36000+D$4*H$47*20/36000+D$4*H$47*10/36000)))</f>
        <v>0</v>
      </c>
      <c r="AH94" s="134">
        <f t="shared" ca="1" si="49"/>
        <v>0</v>
      </c>
      <c r="AI94" s="134">
        <f t="shared" ref="AI94:AI120" ca="1" si="68">IF(O95=1,Z93*H$47*20/36000+Z94*H$47*10/36000,IF(O95=0,IF(O94=0,0,Z94*H$47*R$47/36000+Z93*H$47*20/36000+Z94*H$47*10/36000)))</f>
        <v>0</v>
      </c>
      <c r="AJ94" s="134">
        <f t="shared" ca="1" si="50"/>
        <v>0</v>
      </c>
      <c r="AK94" s="134">
        <f t="shared" ca="1" si="51"/>
        <v>0</v>
      </c>
      <c r="AL94" s="134">
        <f t="shared" ca="1" si="39"/>
        <v>0</v>
      </c>
      <c r="AM94" s="134">
        <f t="shared" ca="1" si="40"/>
        <v>0</v>
      </c>
      <c r="AN94" s="132">
        <f t="shared" ref="AN94:AN121" ca="1" si="69">IF(O94=0,0,MONTH(B93)+1)</f>
        <v>0</v>
      </c>
      <c r="AO94" s="132">
        <f t="shared" ca="1" si="52"/>
        <v>0</v>
      </c>
      <c r="AP94" s="2">
        <f t="shared" ref="AP94:AP121" ca="1" si="70">IF(O94=0,0,YEAR(B93))</f>
        <v>0</v>
      </c>
      <c r="AQ94" s="2">
        <f t="shared" ca="1" si="53"/>
        <v>0</v>
      </c>
      <c r="AR94" s="2">
        <f t="shared" ca="1" si="54"/>
        <v>0</v>
      </c>
      <c r="AS94" s="2">
        <f t="shared" ca="1" si="55"/>
        <v>30</v>
      </c>
      <c r="AT94" s="2">
        <f t="shared" si="56"/>
        <v>20</v>
      </c>
      <c r="AU94" s="2">
        <f t="shared" ref="AU94:AU121" ca="1" si="71">AS93</f>
        <v>30</v>
      </c>
      <c r="AV94" s="2"/>
      <c r="AW94" s="2"/>
      <c r="AX94" s="2"/>
      <c r="AY94" s="2"/>
      <c r="AZ94" s="2"/>
      <c r="BA94" s="2">
        <f t="shared" ca="1" si="57"/>
        <v>0</v>
      </c>
      <c r="BB94" s="2"/>
      <c r="BC94" s="2"/>
      <c r="BD94" s="2"/>
      <c r="BE94" s="2"/>
      <c r="BF94" s="2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</row>
    <row r="95" spans="1:143" s="24" customFormat="1" ht="15" customHeight="1">
      <c r="A95" s="4">
        <v>35</v>
      </c>
      <c r="B95" s="268" t="str">
        <f t="shared" ca="1" si="58"/>
        <v xml:space="preserve"> </v>
      </c>
      <c r="C95" s="268"/>
      <c r="D95" s="269" t="str">
        <f ca="1">IF(O95=0,IF(O94=1,SUM(D$61:F94)," "),IF(O95=0," ",IF(O96=1,D$61,IF(O96=0,D$4-D$61*(N$49-1)," "))))</f>
        <v xml:space="preserve"> </v>
      </c>
      <c r="E95" s="269"/>
      <c r="F95" s="269"/>
      <c r="G95" s="87" t="str">
        <f ca="1">IF(O95=0,IF(O94=1,SUM(G$61:G94)," "),IF(N$36=1,Q95,IF(N$36=2,R95," ")))</f>
        <v xml:space="preserve"> </v>
      </c>
      <c r="H95" s="87">
        <v>0</v>
      </c>
      <c r="I95" s="87" t="str">
        <f t="shared" ca="1" si="59"/>
        <v xml:space="preserve"> </v>
      </c>
      <c r="J95" s="87">
        <f t="shared" ca="1" si="60"/>
        <v>0</v>
      </c>
      <c r="K95" s="87">
        <f t="shared" ca="1" si="41"/>
        <v>0</v>
      </c>
      <c r="L95" s="87">
        <v>0</v>
      </c>
      <c r="M95" s="87" t="str">
        <f t="shared" ca="1" si="61"/>
        <v xml:space="preserve"> </v>
      </c>
      <c r="N95" s="2">
        <v>35</v>
      </c>
      <c r="O95" s="2">
        <f t="shared" ca="1" si="34"/>
        <v>0</v>
      </c>
      <c r="P95" s="2">
        <f t="shared" ca="1" si="42"/>
        <v>20</v>
      </c>
      <c r="Q95" s="134">
        <f t="shared" ca="1" si="43"/>
        <v>0</v>
      </c>
      <c r="R95" s="134">
        <f t="shared" ca="1" si="44"/>
        <v>0</v>
      </c>
      <c r="S95" s="134">
        <f t="shared" ca="1" si="62"/>
        <v>0</v>
      </c>
      <c r="T95" s="134" t="str">
        <f t="shared" ca="1" si="63"/>
        <v xml:space="preserve"> </v>
      </c>
      <c r="U95" s="134" t="str">
        <f t="shared" ca="1" si="64"/>
        <v xml:space="preserve"> </v>
      </c>
      <c r="V95" s="134">
        <f t="shared" ca="1" si="36"/>
        <v>0</v>
      </c>
      <c r="W95" s="134">
        <f t="shared" ca="1" si="37"/>
        <v>0</v>
      </c>
      <c r="X95" s="134">
        <f t="shared" ca="1" si="65"/>
        <v>0</v>
      </c>
      <c r="Y95" s="134">
        <f t="shared" ca="1" si="66"/>
        <v>0</v>
      </c>
      <c r="Z95" s="134">
        <f t="shared" ca="1" si="45"/>
        <v>-6.2527760746888816E-13</v>
      </c>
      <c r="AA95" s="134">
        <f t="shared" ca="1" si="38"/>
        <v>0</v>
      </c>
      <c r="AB95" s="134">
        <f t="shared" ca="1" si="46"/>
        <v>0</v>
      </c>
      <c r="AC95" s="134">
        <f t="shared" ca="1" si="35"/>
        <v>0</v>
      </c>
      <c r="AD95" s="134"/>
      <c r="AE95" s="134">
        <f t="shared" ca="1" si="47"/>
        <v>0</v>
      </c>
      <c r="AF95" s="134">
        <f t="shared" ca="1" si="48"/>
        <v>0</v>
      </c>
      <c r="AG95" s="134">
        <f t="shared" ca="1" si="67"/>
        <v>0</v>
      </c>
      <c r="AH95" s="134">
        <f t="shared" ca="1" si="49"/>
        <v>0</v>
      </c>
      <c r="AI95" s="134">
        <f t="shared" ca="1" si="68"/>
        <v>0</v>
      </c>
      <c r="AJ95" s="134">
        <f t="shared" ca="1" si="50"/>
        <v>0</v>
      </c>
      <c r="AK95" s="134">
        <f t="shared" ca="1" si="51"/>
        <v>0</v>
      </c>
      <c r="AL95" s="134">
        <f t="shared" ca="1" si="39"/>
        <v>0</v>
      </c>
      <c r="AM95" s="134">
        <f t="shared" ca="1" si="40"/>
        <v>0</v>
      </c>
      <c r="AN95" s="132">
        <f t="shared" ca="1" si="69"/>
        <v>0</v>
      </c>
      <c r="AO95" s="132">
        <f t="shared" ca="1" si="52"/>
        <v>0</v>
      </c>
      <c r="AP95" s="2">
        <f t="shared" ca="1" si="70"/>
        <v>0</v>
      </c>
      <c r="AQ95" s="2">
        <f t="shared" ca="1" si="53"/>
        <v>0</v>
      </c>
      <c r="AR95" s="2">
        <f t="shared" ca="1" si="54"/>
        <v>0</v>
      </c>
      <c r="AS95" s="2">
        <f t="shared" ca="1" si="55"/>
        <v>30</v>
      </c>
      <c r="AT95" s="2">
        <f t="shared" si="56"/>
        <v>20</v>
      </c>
      <c r="AU95" s="2">
        <f t="shared" ca="1" si="71"/>
        <v>30</v>
      </c>
      <c r="AV95" s="2"/>
      <c r="AW95" s="2"/>
      <c r="AX95" s="2"/>
      <c r="AY95" s="2"/>
      <c r="AZ95" s="2"/>
      <c r="BA95" s="2">
        <f t="shared" ca="1" si="57"/>
        <v>0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4" customFormat="1" ht="15" customHeight="1">
      <c r="A96" s="4">
        <v>36</v>
      </c>
      <c r="B96" s="268" t="str">
        <f t="shared" ca="1" si="58"/>
        <v xml:space="preserve"> </v>
      </c>
      <c r="C96" s="268"/>
      <c r="D96" s="269" t="str">
        <f ca="1">IF(O96=0,IF(O95=1,SUM(D$61:F95)," "),IF(O96=0," ",IF(O97=1,D$61,IF(O97=0,D$4-D$61*(N$49-1)," "))))</f>
        <v xml:space="preserve"> </v>
      </c>
      <c r="E96" s="269"/>
      <c r="F96" s="269"/>
      <c r="G96" s="87" t="str">
        <f ca="1">IF(O96=0,IF(O95=1,SUM(G$61:G95)," "),IF(N$36=1,Q96,IF(N$36=2,R96," ")))</f>
        <v xml:space="preserve"> </v>
      </c>
      <c r="H96" s="87">
        <v>0</v>
      </c>
      <c r="I96" s="87" t="str">
        <f t="shared" ca="1" si="59"/>
        <v xml:space="preserve"> </v>
      </c>
      <c r="J96" s="87">
        <f t="shared" ca="1" si="60"/>
        <v>0</v>
      </c>
      <c r="K96" s="87">
        <f t="shared" ca="1" si="41"/>
        <v>0</v>
      </c>
      <c r="L96" s="87">
        <v>0</v>
      </c>
      <c r="M96" s="87" t="str">
        <f t="shared" ca="1" si="61"/>
        <v xml:space="preserve"> </v>
      </c>
      <c r="N96" s="2">
        <v>36</v>
      </c>
      <c r="O96" s="2">
        <f t="shared" ca="1" si="34"/>
        <v>0</v>
      </c>
      <c r="P96" s="2">
        <f t="shared" ca="1" si="42"/>
        <v>20</v>
      </c>
      <c r="Q96" s="134">
        <f t="shared" ca="1" si="43"/>
        <v>0</v>
      </c>
      <c r="R96" s="134">
        <f t="shared" ca="1" si="44"/>
        <v>0</v>
      </c>
      <c r="S96" s="134">
        <f t="shared" ca="1" si="62"/>
        <v>0</v>
      </c>
      <c r="T96" s="134" t="str">
        <f t="shared" ca="1" si="63"/>
        <v xml:space="preserve"> </v>
      </c>
      <c r="U96" s="134" t="str">
        <f t="shared" ca="1" si="64"/>
        <v xml:space="preserve"> </v>
      </c>
      <c r="V96" s="134">
        <f t="shared" ca="1" si="36"/>
        <v>0</v>
      </c>
      <c r="W96" s="134">
        <f t="shared" ca="1" si="37"/>
        <v>0</v>
      </c>
      <c r="X96" s="134">
        <f t="shared" ca="1" si="65"/>
        <v>0</v>
      </c>
      <c r="Y96" s="134">
        <f t="shared" ca="1" si="66"/>
        <v>0</v>
      </c>
      <c r="Z96" s="134">
        <f t="shared" ca="1" si="45"/>
        <v>-6.2527760746888816E-13</v>
      </c>
      <c r="AA96" s="134">
        <f t="shared" ca="1" si="38"/>
        <v>0</v>
      </c>
      <c r="AB96" s="134">
        <f t="shared" ca="1" si="46"/>
        <v>0</v>
      </c>
      <c r="AC96" s="134">
        <f t="shared" ca="1" si="35"/>
        <v>0</v>
      </c>
      <c r="AD96" s="134"/>
      <c r="AE96" s="134">
        <f t="shared" ca="1" si="47"/>
        <v>0</v>
      </c>
      <c r="AF96" s="134">
        <f t="shared" ca="1" si="48"/>
        <v>0</v>
      </c>
      <c r="AG96" s="134">
        <f t="shared" ca="1" si="67"/>
        <v>0</v>
      </c>
      <c r="AH96" s="134">
        <f t="shared" ca="1" si="49"/>
        <v>0</v>
      </c>
      <c r="AI96" s="134">
        <f t="shared" ca="1" si="68"/>
        <v>0</v>
      </c>
      <c r="AJ96" s="134">
        <f t="shared" ca="1" si="50"/>
        <v>0</v>
      </c>
      <c r="AK96" s="134">
        <f t="shared" ca="1" si="51"/>
        <v>0</v>
      </c>
      <c r="AL96" s="134">
        <f t="shared" ca="1" si="39"/>
        <v>0</v>
      </c>
      <c r="AM96" s="134">
        <f t="shared" ca="1" si="40"/>
        <v>0</v>
      </c>
      <c r="AN96" s="132">
        <f t="shared" ca="1" si="69"/>
        <v>0</v>
      </c>
      <c r="AO96" s="132">
        <f t="shared" ca="1" si="52"/>
        <v>0</v>
      </c>
      <c r="AP96" s="2">
        <f t="shared" ca="1" si="70"/>
        <v>0</v>
      </c>
      <c r="AQ96" s="2">
        <f t="shared" ca="1" si="53"/>
        <v>0</v>
      </c>
      <c r="AR96" s="2">
        <f t="shared" ca="1" si="54"/>
        <v>0</v>
      </c>
      <c r="AS96" s="2">
        <f t="shared" ca="1" si="55"/>
        <v>30</v>
      </c>
      <c r="AT96" s="2">
        <f t="shared" si="56"/>
        <v>20</v>
      </c>
      <c r="AU96" s="2">
        <f t="shared" ca="1" si="71"/>
        <v>30</v>
      </c>
      <c r="AV96" s="2"/>
      <c r="AW96" s="2"/>
      <c r="AX96" s="2"/>
      <c r="AY96" s="2"/>
      <c r="AZ96" s="2"/>
      <c r="BA96" s="2">
        <f t="shared" ca="1" si="57"/>
        <v>0</v>
      </c>
      <c r="BB96" s="2"/>
      <c r="BC96" s="2"/>
      <c r="BD96" s="2"/>
      <c r="BE96" s="2"/>
      <c r="BF96" s="2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</row>
    <row r="97" spans="1:143" s="24" customFormat="1" ht="15" customHeight="1">
      <c r="A97" s="4">
        <v>37</v>
      </c>
      <c r="B97" s="268" t="str">
        <f t="shared" ca="1" si="58"/>
        <v xml:space="preserve"> </v>
      </c>
      <c r="C97" s="268"/>
      <c r="D97" s="269" t="str">
        <f ca="1">IF(O97=0,IF(O96=1,SUM(D$61:F96)," "),IF(O97=0," ",IF(O98=1,D$61,IF(O98=0,D$4-D$61*(N$49-1)," "))))</f>
        <v xml:space="preserve"> </v>
      </c>
      <c r="E97" s="269"/>
      <c r="F97" s="269"/>
      <c r="G97" s="87" t="str">
        <f ca="1">IF(O97=0,IF(O96=1,SUM(G$61:G96)," "),IF(N$36=1,Q97,IF(N$36=2,R97," ")))</f>
        <v xml:space="preserve"> </v>
      </c>
      <c r="H97" s="87">
        <v>0</v>
      </c>
      <c r="I97" s="87" t="str">
        <f t="shared" ca="1" si="59"/>
        <v xml:space="preserve"> </v>
      </c>
      <c r="J97" s="87">
        <f t="shared" ca="1" si="60"/>
        <v>0</v>
      </c>
      <c r="K97" s="87">
        <f t="shared" ca="1" si="41"/>
        <v>0</v>
      </c>
      <c r="L97" s="87">
        <v>0</v>
      </c>
      <c r="M97" s="87" t="str">
        <f t="shared" ca="1" si="61"/>
        <v xml:space="preserve"> </v>
      </c>
      <c r="N97" s="2">
        <v>37</v>
      </c>
      <c r="O97" s="2">
        <f t="shared" ca="1" si="34"/>
        <v>0</v>
      </c>
      <c r="P97" s="2">
        <f t="shared" ca="1" si="42"/>
        <v>20</v>
      </c>
      <c r="Q97" s="134">
        <f t="shared" ca="1" si="43"/>
        <v>0</v>
      </c>
      <c r="R97" s="134">
        <f t="shared" ca="1" si="44"/>
        <v>0</v>
      </c>
      <c r="S97" s="134">
        <f t="shared" ca="1" si="62"/>
        <v>0</v>
      </c>
      <c r="T97" s="134" t="str">
        <f t="shared" ca="1" si="63"/>
        <v xml:space="preserve"> </v>
      </c>
      <c r="U97" s="134" t="str">
        <f t="shared" ca="1" si="64"/>
        <v xml:space="preserve"> </v>
      </c>
      <c r="V97" s="134">
        <f ca="1">IF(O98=1,S96*D$5*20/36000+S97*D$5*10/36000,IF(O98=0,IF(O97=0,0,IF(D$9&gt;20,S96*D$5*20/36000+S97*D$5*(R$47-20)/36000,S97*D$5*R$47/36000))))</f>
        <v>0</v>
      </c>
      <c r="W97" s="134">
        <f ca="1">IF(O98=1,S96*D$5*20/36000+S97*D$5*10/36000,IF(O98=0,IF(O97=0,0,IF(D$9&gt;20,S96*D$5*20/36000+S97*D$5*(R$47-20)/36000,S97*D$5*R$47/36000))))</f>
        <v>0</v>
      </c>
      <c r="X97" s="134">
        <f t="shared" ca="1" si="65"/>
        <v>0</v>
      </c>
      <c r="Y97" s="134">
        <f t="shared" ca="1" si="66"/>
        <v>0</v>
      </c>
      <c r="Z97" s="134">
        <f t="shared" ca="1" si="45"/>
        <v>-6.2527760746888816E-13</v>
      </c>
      <c r="AA97" s="134">
        <f ca="1">IF(O98=1,Z96*D$5*20/36000+Z97*D$5*10/36000,IF(O98=0,IF(O97=0,0,IF(D$9&gt;20,Z96*D$5*20/36000+Z97*D$5*(R$47-20)/36000,Z97*D$5*R$47/36000))))</f>
        <v>0</v>
      </c>
      <c r="AB97" s="134">
        <f t="shared" ca="1" si="46"/>
        <v>0</v>
      </c>
      <c r="AC97" s="134">
        <f t="shared" ca="1" si="35"/>
        <v>0</v>
      </c>
      <c r="AD97" s="134"/>
      <c r="AE97" s="134">
        <f t="shared" ca="1" si="47"/>
        <v>0</v>
      </c>
      <c r="AF97" s="134">
        <f t="shared" ca="1" si="48"/>
        <v>0</v>
      </c>
      <c r="AG97" s="134">
        <f t="shared" ca="1" si="67"/>
        <v>0</v>
      </c>
      <c r="AH97" s="134">
        <f t="shared" ca="1" si="49"/>
        <v>0</v>
      </c>
      <c r="AI97" s="134">
        <f t="shared" ca="1" si="68"/>
        <v>0</v>
      </c>
      <c r="AJ97" s="134">
        <f t="shared" ca="1" si="50"/>
        <v>0</v>
      </c>
      <c r="AK97" s="134">
        <f t="shared" ca="1" si="51"/>
        <v>0</v>
      </c>
      <c r="AL97" s="134">
        <f ca="1">IF(O98=1,AK96*H$47*20/36000+AK97*H$47*10/36000,IF(O98=0,IF(O97=0,0,AK97*H$47*R$47/36000)))</f>
        <v>0</v>
      </c>
      <c r="AM97" s="134">
        <f ca="1">IF(O98=1,AK96*H$47*20/36000+AK97*H$47*10/36000,IF(O98=0,IF(O97=0,0,AK97*H$47*R$47/36000)))</f>
        <v>0</v>
      </c>
      <c r="AN97" s="132">
        <f t="shared" ca="1" si="69"/>
        <v>0</v>
      </c>
      <c r="AO97" s="132">
        <f t="shared" ca="1" si="52"/>
        <v>0</v>
      </c>
      <c r="AP97" s="2">
        <f t="shared" ca="1" si="70"/>
        <v>0</v>
      </c>
      <c r="AQ97" s="2">
        <f t="shared" ca="1" si="53"/>
        <v>0</v>
      </c>
      <c r="AR97" s="2">
        <f t="shared" ca="1" si="54"/>
        <v>0</v>
      </c>
      <c r="AS97" s="2">
        <f t="shared" ca="1" si="55"/>
        <v>30</v>
      </c>
      <c r="AT97" s="2">
        <f t="shared" si="56"/>
        <v>20</v>
      </c>
      <c r="AU97" s="2">
        <f t="shared" ca="1" si="71"/>
        <v>30</v>
      </c>
      <c r="AV97" s="2"/>
      <c r="AW97" s="2"/>
      <c r="AX97" s="2"/>
      <c r="AY97" s="2"/>
      <c r="AZ97" s="2"/>
      <c r="BA97" s="2">
        <f t="shared" ca="1" si="57"/>
        <v>0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38</v>
      </c>
      <c r="B98" s="268" t="str">
        <f t="shared" ca="1" si="58"/>
        <v xml:space="preserve"> </v>
      </c>
      <c r="C98" s="268"/>
      <c r="D98" s="269" t="str">
        <f ca="1">IF(O98=0,IF(O97=1,SUM(D$61:F97)," "),IF(O98=0," ",IF(O99=1,D$61,IF(O99=0,D$4-D$61*(N$49-1)," "))))</f>
        <v xml:space="preserve"> </v>
      </c>
      <c r="E98" s="269"/>
      <c r="F98" s="269"/>
      <c r="G98" s="87" t="str">
        <f ca="1">IF(O98=0,IF(O97=1,SUM(G$61:G97)," "),IF(N$36=1,Q98,IF(N$36=2,R98," ")))</f>
        <v xml:space="preserve"> </v>
      </c>
      <c r="H98" s="87">
        <v>0</v>
      </c>
      <c r="I98" s="87" t="str">
        <f t="shared" ca="1" si="59"/>
        <v xml:space="preserve"> </v>
      </c>
      <c r="J98" s="87">
        <f t="shared" ca="1" si="60"/>
        <v>0</v>
      </c>
      <c r="K98" s="87">
        <f t="shared" ca="1" si="41"/>
        <v>0</v>
      </c>
      <c r="L98" s="87">
        <v>0</v>
      </c>
      <c r="M98" s="87" t="str">
        <f t="shared" ca="1" si="61"/>
        <v xml:space="preserve"> </v>
      </c>
      <c r="N98" s="2">
        <v>38</v>
      </c>
      <c r="O98" s="2">
        <f t="shared" ca="1" si="34"/>
        <v>0</v>
      </c>
      <c r="P98" s="2">
        <f t="shared" ca="1" si="42"/>
        <v>20</v>
      </c>
      <c r="Q98" s="134">
        <f t="shared" ca="1" si="43"/>
        <v>0</v>
      </c>
      <c r="R98" s="134">
        <f t="shared" ca="1" si="44"/>
        <v>0</v>
      </c>
      <c r="S98" s="134">
        <f t="shared" ca="1" si="62"/>
        <v>0</v>
      </c>
      <c r="T98" s="134" t="str">
        <f t="shared" ca="1" si="63"/>
        <v xml:space="preserve"> </v>
      </c>
      <c r="U98" s="134" t="str">
        <f t="shared" ca="1" si="64"/>
        <v xml:space="preserve"> </v>
      </c>
      <c r="V98" s="134">
        <f t="shared" ref="V98:V108" ca="1" si="72">IF(O99=1,S97*D$5*20/36000+S98*D$5*10/36000,IF(O99=0,IF(O98=0,0,S98*D$5*R$47/36000+S97*D$5*20/36000+S98*D$5*10/36000)))</f>
        <v>0</v>
      </c>
      <c r="W98" s="134">
        <f t="shared" ref="W98:W108" ca="1" si="73">IF(O99=1,S97*D$5*20/36000+S98*D$5*10/36000,IF(O99=0,IF(O98=0,0,S98*D$5*R$47/36000+S97*D$5*20/36000+S98*D$5*10/36000)))</f>
        <v>0</v>
      </c>
      <c r="X98" s="134">
        <f t="shared" ca="1" si="65"/>
        <v>0</v>
      </c>
      <c r="Y98" s="134">
        <f t="shared" ca="1" si="66"/>
        <v>0</v>
      </c>
      <c r="Z98" s="134">
        <f t="shared" ca="1" si="45"/>
        <v>-6.2527760746888816E-13</v>
      </c>
      <c r="AA98" s="134">
        <f t="shared" ref="AA98:AA108" ca="1" si="74">IF(O99=1,Z97*D$5*20/36000+Z98*D$5*10/36000,IF(O99=0,IF(O98=0,0,Z98*D$5*R$47/36000+Z97*D$5*20/36000+Z98*D$5*10/36000)))</f>
        <v>0</v>
      </c>
      <c r="AB98" s="134">
        <f t="shared" ca="1" si="46"/>
        <v>0</v>
      </c>
      <c r="AC98" s="134">
        <f t="shared" ca="1" si="35"/>
        <v>0</v>
      </c>
      <c r="AD98" s="134"/>
      <c r="AE98" s="134">
        <f t="shared" ca="1" si="47"/>
        <v>0</v>
      </c>
      <c r="AF98" s="134">
        <f t="shared" ca="1" si="48"/>
        <v>0</v>
      </c>
      <c r="AG98" s="134">
        <f t="shared" ca="1" si="67"/>
        <v>0</v>
      </c>
      <c r="AH98" s="134">
        <f t="shared" ca="1" si="49"/>
        <v>0</v>
      </c>
      <c r="AI98" s="134">
        <f t="shared" ca="1" si="68"/>
        <v>0</v>
      </c>
      <c r="AJ98" s="134">
        <f t="shared" ca="1" si="50"/>
        <v>0</v>
      </c>
      <c r="AK98" s="134">
        <f t="shared" ca="1" si="51"/>
        <v>0</v>
      </c>
      <c r="AL98" s="134">
        <f t="shared" ref="AL98:AL108" ca="1" si="75">IF(O99=1,AK97*H$47*20/36000+AK98*H$47*10/36000,IF(O99=0,IF(O98=0,0,AK98*H$47*R$47/36000+AK97*H$47*20/36000+AK98*H$47*10/36000)))</f>
        <v>0</v>
      </c>
      <c r="AM98" s="134">
        <f t="shared" ref="AM98:AM108" ca="1" si="76">IF(O99=1,AK97*H$47*20/36000+AK98*H$47*10/36000,IF(O99=0,IF(O98=0,0,AK98*H$47*R$47/36000+AK97*H$47*20/36000+AK98*H$47*10/36000)))</f>
        <v>0</v>
      </c>
      <c r="AN98" s="132">
        <f t="shared" ca="1" si="69"/>
        <v>0</v>
      </c>
      <c r="AO98" s="132">
        <f t="shared" ca="1" si="52"/>
        <v>0</v>
      </c>
      <c r="AP98" s="2">
        <f t="shared" ca="1" si="70"/>
        <v>0</v>
      </c>
      <c r="AQ98" s="2">
        <f t="shared" ca="1" si="53"/>
        <v>0</v>
      </c>
      <c r="AR98" s="2">
        <f t="shared" ca="1" si="54"/>
        <v>0</v>
      </c>
      <c r="AS98" s="2">
        <f t="shared" ca="1" si="55"/>
        <v>30</v>
      </c>
      <c r="AT98" s="2">
        <f t="shared" si="56"/>
        <v>20</v>
      </c>
      <c r="AU98" s="2">
        <f t="shared" ca="1" si="71"/>
        <v>30</v>
      </c>
      <c r="AV98" s="2"/>
      <c r="AW98" s="2"/>
      <c r="AX98" s="2"/>
      <c r="AY98" s="2"/>
      <c r="AZ98" s="2"/>
      <c r="BA98" s="2">
        <f t="shared" ca="1" si="57"/>
        <v>0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39</v>
      </c>
      <c r="B99" s="268" t="str">
        <f t="shared" ca="1" si="58"/>
        <v xml:space="preserve"> </v>
      </c>
      <c r="C99" s="268"/>
      <c r="D99" s="269" t="str">
        <f ca="1">IF(O99=0,IF(O98=1,SUM(D$61:F98)," "),IF(O99=0," ",IF(O100=1,D$61,IF(O100=0,D$4-D$61*(N$49-1)," "))))</f>
        <v xml:space="preserve"> </v>
      </c>
      <c r="E99" s="269"/>
      <c r="F99" s="269"/>
      <c r="G99" s="87" t="str">
        <f ca="1">IF(O99=0,IF(O98=1,SUM(G$61:G98)," "),IF(N$36=1,Q99,IF(N$36=2,R99," ")))</f>
        <v xml:space="preserve"> </v>
      </c>
      <c r="H99" s="87">
        <v>0</v>
      </c>
      <c r="I99" s="87" t="str">
        <f t="shared" ca="1" si="59"/>
        <v xml:space="preserve"> </v>
      </c>
      <c r="J99" s="87">
        <f t="shared" ca="1" si="60"/>
        <v>0</v>
      </c>
      <c r="K99" s="87">
        <f t="shared" ca="1" si="41"/>
        <v>0</v>
      </c>
      <c r="L99" s="87">
        <v>0</v>
      </c>
      <c r="M99" s="87" t="str">
        <f t="shared" ca="1" si="61"/>
        <v xml:space="preserve"> </v>
      </c>
      <c r="N99" s="2">
        <v>39</v>
      </c>
      <c r="O99" s="2">
        <f t="shared" ca="1" si="34"/>
        <v>0</v>
      </c>
      <c r="P99" s="2">
        <f t="shared" ca="1" si="42"/>
        <v>20</v>
      </c>
      <c r="Q99" s="134">
        <f t="shared" ca="1" si="43"/>
        <v>0</v>
      </c>
      <c r="R99" s="134">
        <f t="shared" ca="1" si="44"/>
        <v>0</v>
      </c>
      <c r="S99" s="134">
        <f t="shared" ca="1" si="62"/>
        <v>0</v>
      </c>
      <c r="T99" s="134" t="str">
        <f t="shared" ca="1" si="63"/>
        <v xml:space="preserve"> </v>
      </c>
      <c r="U99" s="134" t="str">
        <f t="shared" ca="1" si="64"/>
        <v xml:space="preserve"> </v>
      </c>
      <c r="V99" s="134">
        <f t="shared" ca="1" si="72"/>
        <v>0</v>
      </c>
      <c r="W99" s="134">
        <f t="shared" ca="1" si="73"/>
        <v>0</v>
      </c>
      <c r="X99" s="134">
        <f t="shared" ca="1" si="65"/>
        <v>0</v>
      </c>
      <c r="Y99" s="134">
        <f t="shared" ca="1" si="66"/>
        <v>0</v>
      </c>
      <c r="Z99" s="134">
        <f t="shared" ca="1" si="45"/>
        <v>-6.2527760746888816E-13</v>
      </c>
      <c r="AA99" s="134">
        <f t="shared" ca="1" si="74"/>
        <v>0</v>
      </c>
      <c r="AB99" s="134">
        <f t="shared" ca="1" si="46"/>
        <v>0</v>
      </c>
      <c r="AC99" s="134">
        <f t="shared" ca="1" si="35"/>
        <v>0</v>
      </c>
      <c r="AD99" s="134"/>
      <c r="AE99" s="134">
        <f t="shared" ca="1" si="47"/>
        <v>0</v>
      </c>
      <c r="AF99" s="134">
        <f t="shared" ca="1" si="48"/>
        <v>0</v>
      </c>
      <c r="AG99" s="134">
        <f t="shared" ca="1" si="67"/>
        <v>0</v>
      </c>
      <c r="AH99" s="134">
        <f t="shared" ca="1" si="49"/>
        <v>0</v>
      </c>
      <c r="AI99" s="134">
        <f t="shared" ca="1" si="68"/>
        <v>0</v>
      </c>
      <c r="AJ99" s="134">
        <f t="shared" ca="1" si="50"/>
        <v>0</v>
      </c>
      <c r="AK99" s="134">
        <f t="shared" ca="1" si="51"/>
        <v>0</v>
      </c>
      <c r="AL99" s="134">
        <f t="shared" ca="1" si="75"/>
        <v>0</v>
      </c>
      <c r="AM99" s="134">
        <f t="shared" ca="1" si="76"/>
        <v>0</v>
      </c>
      <c r="AN99" s="132">
        <f t="shared" ca="1" si="69"/>
        <v>0</v>
      </c>
      <c r="AO99" s="132">
        <f t="shared" ca="1" si="52"/>
        <v>0</v>
      </c>
      <c r="AP99" s="2">
        <f t="shared" ca="1" si="70"/>
        <v>0</v>
      </c>
      <c r="AQ99" s="2">
        <f t="shared" ca="1" si="53"/>
        <v>0</v>
      </c>
      <c r="AR99" s="2">
        <f t="shared" ca="1" si="54"/>
        <v>0</v>
      </c>
      <c r="AS99" s="2">
        <f t="shared" ca="1" si="55"/>
        <v>30</v>
      </c>
      <c r="AT99" s="2">
        <f t="shared" si="56"/>
        <v>20</v>
      </c>
      <c r="AU99" s="2">
        <f t="shared" ca="1" si="71"/>
        <v>30</v>
      </c>
      <c r="AV99" s="2"/>
      <c r="AW99" s="2"/>
      <c r="AX99" s="2"/>
      <c r="AY99" s="2"/>
      <c r="AZ99" s="2"/>
      <c r="BA99" s="2">
        <f t="shared" ca="1" si="57"/>
        <v>0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40</v>
      </c>
      <c r="B100" s="268" t="str">
        <f t="shared" ca="1" si="58"/>
        <v xml:space="preserve"> </v>
      </c>
      <c r="C100" s="268"/>
      <c r="D100" s="269" t="str">
        <f ca="1">IF(O100=0,IF(O99=1,SUM(D$61:F99)," "),IF(O100=0," ",IF(O101=1,D$61,IF(O101=0,D$4-D$61*(N$49-1)," "))))</f>
        <v xml:space="preserve"> </v>
      </c>
      <c r="E100" s="269"/>
      <c r="F100" s="269"/>
      <c r="G100" s="87" t="str">
        <f ca="1">IF(O100=0,IF(O99=1,SUM(G$61:G99)," "),IF(N$36=1,Q100,IF(N$36=2,R100," ")))</f>
        <v xml:space="preserve"> </v>
      </c>
      <c r="H100" s="87">
        <v>0</v>
      </c>
      <c r="I100" s="87" t="str">
        <f t="shared" ca="1" si="59"/>
        <v xml:space="preserve"> </v>
      </c>
      <c r="J100" s="87">
        <f t="shared" ca="1" si="60"/>
        <v>0</v>
      </c>
      <c r="K100" s="87">
        <f t="shared" ca="1" si="41"/>
        <v>0</v>
      </c>
      <c r="L100" s="87">
        <v>0</v>
      </c>
      <c r="M100" s="87" t="str">
        <f t="shared" ca="1" si="61"/>
        <v xml:space="preserve"> </v>
      </c>
      <c r="N100" s="2">
        <v>40</v>
      </c>
      <c r="O100" s="2">
        <f t="shared" ca="1" si="34"/>
        <v>0</v>
      </c>
      <c r="P100" s="2">
        <f t="shared" ca="1" si="42"/>
        <v>20</v>
      </c>
      <c r="Q100" s="134">
        <f t="shared" ca="1" si="43"/>
        <v>0</v>
      </c>
      <c r="R100" s="134">
        <f t="shared" ca="1" si="44"/>
        <v>0</v>
      </c>
      <c r="S100" s="134">
        <f t="shared" ca="1" si="62"/>
        <v>0</v>
      </c>
      <c r="T100" s="134" t="str">
        <f t="shared" ca="1" si="63"/>
        <v xml:space="preserve"> </v>
      </c>
      <c r="U100" s="134" t="str">
        <f t="shared" ca="1" si="64"/>
        <v xml:space="preserve"> </v>
      </c>
      <c r="V100" s="134">
        <f t="shared" ca="1" si="72"/>
        <v>0</v>
      </c>
      <c r="W100" s="134">
        <f t="shared" ca="1" si="73"/>
        <v>0</v>
      </c>
      <c r="X100" s="134">
        <f t="shared" ca="1" si="65"/>
        <v>0</v>
      </c>
      <c r="Y100" s="134">
        <f t="shared" ca="1" si="66"/>
        <v>0</v>
      </c>
      <c r="Z100" s="134">
        <f t="shared" ca="1" si="45"/>
        <v>-6.2527760746888816E-13</v>
      </c>
      <c r="AA100" s="134">
        <f t="shared" ca="1" si="74"/>
        <v>0</v>
      </c>
      <c r="AB100" s="134">
        <f t="shared" ca="1" si="46"/>
        <v>0</v>
      </c>
      <c r="AC100" s="134">
        <f t="shared" ca="1" si="35"/>
        <v>0</v>
      </c>
      <c r="AD100" s="134"/>
      <c r="AE100" s="134">
        <f t="shared" ca="1" si="47"/>
        <v>0</v>
      </c>
      <c r="AF100" s="134">
        <f t="shared" ca="1" si="48"/>
        <v>0</v>
      </c>
      <c r="AG100" s="134">
        <f t="shared" ca="1" si="67"/>
        <v>0</v>
      </c>
      <c r="AH100" s="134">
        <f t="shared" ca="1" si="49"/>
        <v>0</v>
      </c>
      <c r="AI100" s="134">
        <f t="shared" ca="1" si="68"/>
        <v>0</v>
      </c>
      <c r="AJ100" s="134">
        <f t="shared" ca="1" si="50"/>
        <v>0</v>
      </c>
      <c r="AK100" s="134">
        <f t="shared" ca="1" si="51"/>
        <v>0</v>
      </c>
      <c r="AL100" s="134">
        <f t="shared" ca="1" si="75"/>
        <v>0</v>
      </c>
      <c r="AM100" s="134">
        <f t="shared" ca="1" si="76"/>
        <v>0</v>
      </c>
      <c r="AN100" s="132">
        <f t="shared" ca="1" si="69"/>
        <v>0</v>
      </c>
      <c r="AO100" s="132">
        <f t="shared" ca="1" si="52"/>
        <v>0</v>
      </c>
      <c r="AP100" s="2">
        <f t="shared" ca="1" si="70"/>
        <v>0</v>
      </c>
      <c r="AQ100" s="2">
        <f t="shared" ca="1" si="53"/>
        <v>0</v>
      </c>
      <c r="AR100" s="2">
        <f t="shared" ca="1" si="54"/>
        <v>0</v>
      </c>
      <c r="AS100" s="2">
        <f t="shared" ca="1" si="55"/>
        <v>30</v>
      </c>
      <c r="AT100" s="2">
        <f t="shared" si="56"/>
        <v>20</v>
      </c>
      <c r="AU100" s="2">
        <f t="shared" ca="1" si="71"/>
        <v>30</v>
      </c>
      <c r="AV100" s="2"/>
      <c r="AW100" s="2"/>
      <c r="AX100" s="2"/>
      <c r="AY100" s="2"/>
      <c r="AZ100" s="2"/>
      <c r="BA100" s="2">
        <f t="shared" ca="1" si="57"/>
        <v>0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41</v>
      </c>
      <c r="B101" s="268" t="str">
        <f t="shared" ca="1" si="58"/>
        <v xml:space="preserve"> </v>
      </c>
      <c r="C101" s="268"/>
      <c r="D101" s="269" t="str">
        <f ca="1">IF(O101=0,IF(O100=1,SUM(D$61:F100)," "),IF(O101=0," ",IF(O102=1,D$61,IF(O102=0,D$4-D$61*(N$49-1)," "))))</f>
        <v xml:space="preserve"> </v>
      </c>
      <c r="E101" s="269"/>
      <c r="F101" s="269"/>
      <c r="G101" s="87" t="str">
        <f ca="1">IF(O101=0,IF(O100=1,SUM(G$61:G100)," "),IF(N$36=1,Q101,IF(N$36=2,R101," ")))</f>
        <v xml:space="preserve"> </v>
      </c>
      <c r="H101" s="87">
        <v>0</v>
      </c>
      <c r="I101" s="87" t="str">
        <f t="shared" ca="1" si="59"/>
        <v xml:space="preserve"> </v>
      </c>
      <c r="J101" s="87">
        <f t="shared" ca="1" si="60"/>
        <v>0</v>
      </c>
      <c r="K101" s="87">
        <f t="shared" ca="1" si="41"/>
        <v>0</v>
      </c>
      <c r="L101" s="87">
        <v>0</v>
      </c>
      <c r="M101" s="87" t="str">
        <f t="shared" ca="1" si="61"/>
        <v xml:space="preserve"> </v>
      </c>
      <c r="N101" s="2">
        <v>41</v>
      </c>
      <c r="O101" s="2">
        <f t="shared" ca="1" si="34"/>
        <v>0</v>
      </c>
      <c r="P101" s="2">
        <f t="shared" ca="1" si="42"/>
        <v>20</v>
      </c>
      <c r="Q101" s="134">
        <f t="shared" ca="1" si="43"/>
        <v>0</v>
      </c>
      <c r="R101" s="134">
        <f t="shared" ca="1" si="44"/>
        <v>0</v>
      </c>
      <c r="S101" s="134">
        <f t="shared" ca="1" si="62"/>
        <v>0</v>
      </c>
      <c r="T101" s="134" t="str">
        <f t="shared" ca="1" si="63"/>
        <v xml:space="preserve"> </v>
      </c>
      <c r="U101" s="134" t="str">
        <f t="shared" ca="1" si="64"/>
        <v xml:space="preserve"> </v>
      </c>
      <c r="V101" s="134">
        <f t="shared" ca="1" si="72"/>
        <v>0</v>
      </c>
      <c r="W101" s="134">
        <f t="shared" ca="1" si="73"/>
        <v>0</v>
      </c>
      <c r="X101" s="134">
        <f t="shared" ca="1" si="65"/>
        <v>0</v>
      </c>
      <c r="Y101" s="134">
        <f t="shared" ca="1" si="66"/>
        <v>0</v>
      </c>
      <c r="Z101" s="134">
        <f t="shared" ca="1" si="45"/>
        <v>-6.2527760746888816E-13</v>
      </c>
      <c r="AA101" s="134">
        <f t="shared" ca="1" si="74"/>
        <v>0</v>
      </c>
      <c r="AB101" s="134">
        <f t="shared" ca="1" si="46"/>
        <v>0</v>
      </c>
      <c r="AC101" s="134">
        <f t="shared" ca="1" si="35"/>
        <v>0</v>
      </c>
      <c r="AD101" s="134"/>
      <c r="AE101" s="134">
        <f t="shared" ca="1" si="47"/>
        <v>0</v>
      </c>
      <c r="AF101" s="134">
        <f t="shared" ca="1" si="48"/>
        <v>0</v>
      </c>
      <c r="AG101" s="134">
        <f t="shared" ca="1" si="67"/>
        <v>0</v>
      </c>
      <c r="AH101" s="134">
        <f t="shared" ca="1" si="49"/>
        <v>0</v>
      </c>
      <c r="AI101" s="134">
        <f t="shared" ca="1" si="68"/>
        <v>0</v>
      </c>
      <c r="AJ101" s="134">
        <f t="shared" ca="1" si="50"/>
        <v>0</v>
      </c>
      <c r="AK101" s="134">
        <f t="shared" ca="1" si="51"/>
        <v>0</v>
      </c>
      <c r="AL101" s="134">
        <f t="shared" ca="1" si="75"/>
        <v>0</v>
      </c>
      <c r="AM101" s="134">
        <f t="shared" ca="1" si="76"/>
        <v>0</v>
      </c>
      <c r="AN101" s="132">
        <f t="shared" ca="1" si="69"/>
        <v>0</v>
      </c>
      <c r="AO101" s="132">
        <f t="shared" ca="1" si="52"/>
        <v>0</v>
      </c>
      <c r="AP101" s="2">
        <f t="shared" ca="1" si="70"/>
        <v>0</v>
      </c>
      <c r="AQ101" s="2">
        <f t="shared" ca="1" si="53"/>
        <v>0</v>
      </c>
      <c r="AR101" s="2">
        <f t="shared" ca="1" si="54"/>
        <v>0</v>
      </c>
      <c r="AS101" s="2">
        <f t="shared" ca="1" si="55"/>
        <v>30</v>
      </c>
      <c r="AT101" s="2">
        <f t="shared" si="56"/>
        <v>20</v>
      </c>
      <c r="AU101" s="2">
        <f t="shared" ca="1" si="71"/>
        <v>30</v>
      </c>
      <c r="AV101" s="2"/>
      <c r="AW101" s="2"/>
      <c r="AX101" s="2"/>
      <c r="AY101" s="2"/>
      <c r="AZ101" s="2"/>
      <c r="BA101" s="2">
        <f t="shared" ca="1" si="57"/>
        <v>0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42</v>
      </c>
      <c r="B102" s="268" t="str">
        <f t="shared" ca="1" si="58"/>
        <v xml:space="preserve"> </v>
      </c>
      <c r="C102" s="268"/>
      <c r="D102" s="269" t="str">
        <f ca="1">IF(O102=0,IF(O101=1,SUM(D$61:F101)," "),IF(O102=0," ",IF(O103=1,D$61,IF(O103=0,D$4-D$61*(N$49-1)," "))))</f>
        <v xml:space="preserve"> </v>
      </c>
      <c r="E102" s="269"/>
      <c r="F102" s="269"/>
      <c r="G102" s="87" t="str">
        <f ca="1">IF(O102=0,IF(O101=1,SUM(G$61:G101)," "),IF(N$36=1,Q102,IF(N$36=2,R102," ")))</f>
        <v xml:space="preserve"> </v>
      </c>
      <c r="H102" s="87">
        <v>0</v>
      </c>
      <c r="I102" s="87" t="str">
        <f t="shared" ca="1" si="59"/>
        <v xml:space="preserve"> </v>
      </c>
      <c r="J102" s="87">
        <f t="shared" ca="1" si="60"/>
        <v>0</v>
      </c>
      <c r="K102" s="87">
        <f t="shared" ca="1" si="41"/>
        <v>0</v>
      </c>
      <c r="L102" s="87">
        <v>0</v>
      </c>
      <c r="M102" s="87" t="str">
        <f t="shared" ca="1" si="61"/>
        <v xml:space="preserve"> </v>
      </c>
      <c r="N102" s="2">
        <v>42</v>
      </c>
      <c r="O102" s="2">
        <f t="shared" ca="1" si="34"/>
        <v>0</v>
      </c>
      <c r="P102" s="2">
        <f t="shared" ca="1" si="42"/>
        <v>20</v>
      </c>
      <c r="Q102" s="134">
        <f t="shared" ca="1" si="43"/>
        <v>0</v>
      </c>
      <c r="R102" s="134">
        <f t="shared" ca="1" si="44"/>
        <v>0</v>
      </c>
      <c r="S102" s="134">
        <f t="shared" ca="1" si="62"/>
        <v>0</v>
      </c>
      <c r="T102" s="134" t="str">
        <f t="shared" ca="1" si="63"/>
        <v xml:space="preserve"> </v>
      </c>
      <c r="U102" s="134" t="str">
        <f t="shared" ca="1" si="64"/>
        <v xml:space="preserve"> </v>
      </c>
      <c r="V102" s="134">
        <f t="shared" ca="1" si="72"/>
        <v>0</v>
      </c>
      <c r="W102" s="134">
        <f t="shared" ca="1" si="73"/>
        <v>0</v>
      </c>
      <c r="X102" s="134">
        <f t="shared" ca="1" si="65"/>
        <v>0</v>
      </c>
      <c r="Y102" s="134">
        <f t="shared" ca="1" si="66"/>
        <v>0</v>
      </c>
      <c r="Z102" s="134">
        <f t="shared" ca="1" si="45"/>
        <v>-6.2527760746888816E-13</v>
      </c>
      <c r="AA102" s="134">
        <f t="shared" ca="1" si="74"/>
        <v>0</v>
      </c>
      <c r="AB102" s="134">
        <f t="shared" ca="1" si="46"/>
        <v>0</v>
      </c>
      <c r="AC102" s="134">
        <f t="shared" ca="1" si="35"/>
        <v>0</v>
      </c>
      <c r="AD102" s="134"/>
      <c r="AE102" s="134">
        <f t="shared" ca="1" si="47"/>
        <v>0</v>
      </c>
      <c r="AF102" s="134">
        <f t="shared" ca="1" si="48"/>
        <v>0</v>
      </c>
      <c r="AG102" s="134">
        <f t="shared" ca="1" si="67"/>
        <v>0</v>
      </c>
      <c r="AH102" s="134">
        <f t="shared" ca="1" si="49"/>
        <v>0</v>
      </c>
      <c r="AI102" s="134">
        <f t="shared" ca="1" si="68"/>
        <v>0</v>
      </c>
      <c r="AJ102" s="134">
        <f t="shared" ca="1" si="50"/>
        <v>0</v>
      </c>
      <c r="AK102" s="134">
        <f t="shared" ca="1" si="51"/>
        <v>0</v>
      </c>
      <c r="AL102" s="134">
        <f t="shared" ca="1" si="75"/>
        <v>0</v>
      </c>
      <c r="AM102" s="134">
        <f t="shared" ca="1" si="76"/>
        <v>0</v>
      </c>
      <c r="AN102" s="132">
        <f t="shared" ca="1" si="69"/>
        <v>0</v>
      </c>
      <c r="AO102" s="132">
        <f t="shared" ca="1" si="52"/>
        <v>0</v>
      </c>
      <c r="AP102" s="2">
        <f t="shared" ca="1" si="70"/>
        <v>0</v>
      </c>
      <c r="AQ102" s="2">
        <f t="shared" ca="1" si="53"/>
        <v>0</v>
      </c>
      <c r="AR102" s="2">
        <f t="shared" ca="1" si="54"/>
        <v>0</v>
      </c>
      <c r="AS102" s="2">
        <f t="shared" ca="1" si="55"/>
        <v>30</v>
      </c>
      <c r="AT102" s="2">
        <f t="shared" si="56"/>
        <v>20</v>
      </c>
      <c r="AU102" s="2">
        <f t="shared" ca="1" si="71"/>
        <v>30</v>
      </c>
      <c r="AV102" s="2"/>
      <c r="AW102" s="2"/>
      <c r="AX102" s="2"/>
      <c r="AY102" s="2"/>
      <c r="AZ102" s="2"/>
      <c r="BA102" s="2">
        <f t="shared" ca="1" si="57"/>
        <v>0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43</v>
      </c>
      <c r="B103" s="268" t="str">
        <f t="shared" ca="1" si="58"/>
        <v xml:space="preserve"> </v>
      </c>
      <c r="C103" s="268"/>
      <c r="D103" s="269" t="str">
        <f ca="1">IF(O103=0,IF(O102=1,SUM(D$61:F102)," "),IF(O103=0," ",IF(O104=1,D$61,IF(O104=0,D$4-D$61*(N$49-1)," "))))</f>
        <v xml:space="preserve"> </v>
      </c>
      <c r="E103" s="269"/>
      <c r="F103" s="269"/>
      <c r="G103" s="87" t="str">
        <f ca="1">IF(O103=0,IF(O102=1,SUM(G$61:G102)," "),IF(N$36=1,Q103,IF(N$36=2,R103," ")))</f>
        <v xml:space="preserve"> </v>
      </c>
      <c r="H103" s="87">
        <v>0</v>
      </c>
      <c r="I103" s="87" t="str">
        <f t="shared" ca="1" si="59"/>
        <v xml:space="preserve"> </v>
      </c>
      <c r="J103" s="87">
        <f t="shared" ca="1" si="60"/>
        <v>0</v>
      </c>
      <c r="K103" s="87">
        <f t="shared" ca="1" si="41"/>
        <v>0</v>
      </c>
      <c r="L103" s="87">
        <v>0</v>
      </c>
      <c r="M103" s="87" t="str">
        <f t="shared" ca="1" si="61"/>
        <v xml:space="preserve"> </v>
      </c>
      <c r="N103" s="2">
        <v>43</v>
      </c>
      <c r="O103" s="2">
        <f t="shared" ca="1" si="34"/>
        <v>0</v>
      </c>
      <c r="P103" s="2">
        <f t="shared" ca="1" si="42"/>
        <v>20</v>
      </c>
      <c r="Q103" s="134">
        <f t="shared" ca="1" si="43"/>
        <v>0</v>
      </c>
      <c r="R103" s="134">
        <f t="shared" ca="1" si="44"/>
        <v>0</v>
      </c>
      <c r="S103" s="134">
        <f t="shared" ca="1" si="62"/>
        <v>0</v>
      </c>
      <c r="T103" s="134" t="str">
        <f t="shared" ca="1" si="63"/>
        <v xml:space="preserve"> </v>
      </c>
      <c r="U103" s="134" t="str">
        <f t="shared" ca="1" si="64"/>
        <v xml:space="preserve"> </v>
      </c>
      <c r="V103" s="134">
        <f t="shared" ca="1" si="72"/>
        <v>0</v>
      </c>
      <c r="W103" s="134">
        <f t="shared" ca="1" si="73"/>
        <v>0</v>
      </c>
      <c r="X103" s="134">
        <f t="shared" ca="1" si="65"/>
        <v>0</v>
      </c>
      <c r="Y103" s="134">
        <f t="shared" ca="1" si="66"/>
        <v>0</v>
      </c>
      <c r="Z103" s="134">
        <f t="shared" ca="1" si="45"/>
        <v>-6.2527760746888816E-13</v>
      </c>
      <c r="AA103" s="134">
        <f t="shared" ca="1" si="74"/>
        <v>0</v>
      </c>
      <c r="AB103" s="134">
        <f t="shared" ca="1" si="46"/>
        <v>0</v>
      </c>
      <c r="AC103" s="134">
        <f t="shared" ca="1" si="35"/>
        <v>0</v>
      </c>
      <c r="AD103" s="134"/>
      <c r="AE103" s="134">
        <f t="shared" ca="1" si="47"/>
        <v>0</v>
      </c>
      <c r="AF103" s="134">
        <f t="shared" ca="1" si="48"/>
        <v>0</v>
      </c>
      <c r="AG103" s="134">
        <f t="shared" ca="1" si="67"/>
        <v>0</v>
      </c>
      <c r="AH103" s="134">
        <f t="shared" ca="1" si="49"/>
        <v>0</v>
      </c>
      <c r="AI103" s="134">
        <f t="shared" ca="1" si="68"/>
        <v>0</v>
      </c>
      <c r="AJ103" s="134">
        <f t="shared" ca="1" si="50"/>
        <v>0</v>
      </c>
      <c r="AK103" s="134">
        <f t="shared" ca="1" si="51"/>
        <v>0</v>
      </c>
      <c r="AL103" s="134">
        <f t="shared" ca="1" si="75"/>
        <v>0</v>
      </c>
      <c r="AM103" s="134">
        <f t="shared" ca="1" si="76"/>
        <v>0</v>
      </c>
      <c r="AN103" s="132">
        <f t="shared" ca="1" si="69"/>
        <v>0</v>
      </c>
      <c r="AO103" s="132">
        <f t="shared" ca="1" si="52"/>
        <v>0</v>
      </c>
      <c r="AP103" s="2">
        <f t="shared" ca="1" si="70"/>
        <v>0</v>
      </c>
      <c r="AQ103" s="2">
        <f t="shared" ca="1" si="53"/>
        <v>0</v>
      </c>
      <c r="AR103" s="2">
        <f t="shared" ca="1" si="54"/>
        <v>0</v>
      </c>
      <c r="AS103" s="2">
        <f t="shared" ca="1" si="55"/>
        <v>30</v>
      </c>
      <c r="AT103" s="2">
        <f t="shared" si="56"/>
        <v>20</v>
      </c>
      <c r="AU103" s="2">
        <f t="shared" ca="1" si="71"/>
        <v>30</v>
      </c>
      <c r="AV103" s="2"/>
      <c r="AW103" s="2"/>
      <c r="AX103" s="2"/>
      <c r="AY103" s="2"/>
      <c r="AZ103" s="2"/>
      <c r="BA103" s="2">
        <f t="shared" ca="1" si="57"/>
        <v>0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44</v>
      </c>
      <c r="B104" s="268" t="str">
        <f t="shared" ca="1" si="58"/>
        <v xml:space="preserve"> </v>
      </c>
      <c r="C104" s="268"/>
      <c r="D104" s="269" t="str">
        <f ca="1">IF(O104=0,IF(O103=1,SUM(D$61:F103)," "),IF(O104=0," ",IF(O105=1,D$61,IF(O105=0,D$4-D$61*(N$49-1)," "))))</f>
        <v xml:space="preserve"> </v>
      </c>
      <c r="E104" s="269"/>
      <c r="F104" s="269"/>
      <c r="G104" s="87" t="str">
        <f ca="1">IF(O104=0,IF(O103=1,SUM(G$61:G103)," "),IF(N$36=1,Q104,IF(N$36=2,R104," ")))</f>
        <v xml:space="preserve"> </v>
      </c>
      <c r="H104" s="87">
        <v>0</v>
      </c>
      <c r="I104" s="87" t="str">
        <f t="shared" ca="1" si="59"/>
        <v xml:space="preserve"> </v>
      </c>
      <c r="J104" s="87">
        <f t="shared" ca="1" si="60"/>
        <v>0</v>
      </c>
      <c r="K104" s="87">
        <f t="shared" ca="1" si="41"/>
        <v>0</v>
      </c>
      <c r="L104" s="87">
        <v>0</v>
      </c>
      <c r="M104" s="87" t="str">
        <f t="shared" ca="1" si="61"/>
        <v xml:space="preserve"> </v>
      </c>
      <c r="N104" s="2">
        <v>44</v>
      </c>
      <c r="O104" s="2">
        <f t="shared" ca="1" si="34"/>
        <v>0</v>
      </c>
      <c r="P104" s="2">
        <f t="shared" ca="1" si="42"/>
        <v>20</v>
      </c>
      <c r="Q104" s="134">
        <f t="shared" ca="1" si="43"/>
        <v>0</v>
      </c>
      <c r="R104" s="134">
        <f t="shared" ca="1" si="44"/>
        <v>0</v>
      </c>
      <c r="S104" s="134">
        <f t="shared" ca="1" si="62"/>
        <v>0</v>
      </c>
      <c r="T104" s="134" t="str">
        <f t="shared" ca="1" si="63"/>
        <v xml:space="preserve"> </v>
      </c>
      <c r="U104" s="134" t="str">
        <f t="shared" ca="1" si="64"/>
        <v xml:space="preserve"> </v>
      </c>
      <c r="V104" s="134">
        <f t="shared" ca="1" si="72"/>
        <v>0</v>
      </c>
      <c r="W104" s="134">
        <f t="shared" ca="1" si="73"/>
        <v>0</v>
      </c>
      <c r="X104" s="134">
        <f t="shared" ca="1" si="65"/>
        <v>0</v>
      </c>
      <c r="Y104" s="134">
        <f t="shared" ca="1" si="66"/>
        <v>0</v>
      </c>
      <c r="Z104" s="134">
        <f t="shared" ca="1" si="45"/>
        <v>-6.2527760746888816E-13</v>
      </c>
      <c r="AA104" s="134">
        <f t="shared" ca="1" si="74"/>
        <v>0</v>
      </c>
      <c r="AB104" s="134">
        <f t="shared" ca="1" si="46"/>
        <v>0</v>
      </c>
      <c r="AC104" s="134">
        <f t="shared" ca="1" si="35"/>
        <v>0</v>
      </c>
      <c r="AD104" s="134"/>
      <c r="AE104" s="134">
        <f t="shared" ca="1" si="47"/>
        <v>0</v>
      </c>
      <c r="AF104" s="134">
        <f t="shared" ca="1" si="48"/>
        <v>0</v>
      </c>
      <c r="AG104" s="134">
        <f t="shared" ca="1" si="67"/>
        <v>0</v>
      </c>
      <c r="AH104" s="134">
        <f t="shared" ca="1" si="49"/>
        <v>0</v>
      </c>
      <c r="AI104" s="134">
        <f t="shared" ca="1" si="68"/>
        <v>0</v>
      </c>
      <c r="AJ104" s="134">
        <f t="shared" ca="1" si="50"/>
        <v>0</v>
      </c>
      <c r="AK104" s="134">
        <f t="shared" ca="1" si="51"/>
        <v>0</v>
      </c>
      <c r="AL104" s="134">
        <f t="shared" ca="1" si="75"/>
        <v>0</v>
      </c>
      <c r="AM104" s="134">
        <f t="shared" ca="1" si="76"/>
        <v>0</v>
      </c>
      <c r="AN104" s="132">
        <f t="shared" ca="1" si="69"/>
        <v>0</v>
      </c>
      <c r="AO104" s="132">
        <f t="shared" ca="1" si="52"/>
        <v>0</v>
      </c>
      <c r="AP104" s="2">
        <f t="shared" ca="1" si="70"/>
        <v>0</v>
      </c>
      <c r="AQ104" s="2">
        <f t="shared" ca="1" si="53"/>
        <v>0</v>
      </c>
      <c r="AR104" s="2">
        <f t="shared" ca="1" si="54"/>
        <v>0</v>
      </c>
      <c r="AS104" s="2">
        <f t="shared" ca="1" si="55"/>
        <v>30</v>
      </c>
      <c r="AT104" s="2">
        <f t="shared" si="56"/>
        <v>20</v>
      </c>
      <c r="AU104" s="2">
        <f t="shared" ca="1" si="71"/>
        <v>30</v>
      </c>
      <c r="AV104" s="2"/>
      <c r="AW104" s="2"/>
      <c r="AX104" s="2"/>
      <c r="AY104" s="2"/>
      <c r="AZ104" s="2"/>
      <c r="BA104" s="2">
        <f t="shared" ca="1" si="57"/>
        <v>0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45</v>
      </c>
      <c r="B105" s="268" t="str">
        <f t="shared" ca="1" si="58"/>
        <v xml:space="preserve"> </v>
      </c>
      <c r="C105" s="268"/>
      <c r="D105" s="269" t="str">
        <f ca="1">IF(O105=0,IF(O104=1,SUM(D$61:F104)," "),IF(O105=0," ",IF(O106=1,D$61,IF(O106=0,D$4-D$61*(N$49-1)," "))))</f>
        <v xml:space="preserve"> </v>
      </c>
      <c r="E105" s="269"/>
      <c r="F105" s="269"/>
      <c r="G105" s="87" t="str">
        <f ca="1">IF(O105=0,IF(O104=1,SUM(G$61:G104)," "),IF(N$36=1,Q105,IF(N$36=2,R105," ")))</f>
        <v xml:space="preserve"> </v>
      </c>
      <c r="H105" s="87">
        <v>0</v>
      </c>
      <c r="I105" s="87" t="str">
        <f t="shared" ca="1" si="59"/>
        <v xml:space="preserve"> </v>
      </c>
      <c r="J105" s="87">
        <f t="shared" ca="1" si="60"/>
        <v>0</v>
      </c>
      <c r="K105" s="87">
        <f t="shared" ca="1" si="41"/>
        <v>0</v>
      </c>
      <c r="L105" s="87">
        <v>0</v>
      </c>
      <c r="M105" s="87" t="str">
        <f t="shared" ca="1" si="61"/>
        <v xml:space="preserve"> </v>
      </c>
      <c r="N105" s="2">
        <v>45</v>
      </c>
      <c r="O105" s="2">
        <f t="shared" ca="1" si="34"/>
        <v>0</v>
      </c>
      <c r="P105" s="2">
        <f t="shared" ca="1" si="42"/>
        <v>20</v>
      </c>
      <c r="Q105" s="134">
        <f t="shared" ca="1" si="43"/>
        <v>0</v>
      </c>
      <c r="R105" s="134">
        <f t="shared" ca="1" si="44"/>
        <v>0</v>
      </c>
      <c r="S105" s="134">
        <f t="shared" ca="1" si="62"/>
        <v>0</v>
      </c>
      <c r="T105" s="134" t="str">
        <f t="shared" ca="1" si="63"/>
        <v xml:space="preserve"> </v>
      </c>
      <c r="U105" s="134" t="str">
        <f t="shared" ca="1" si="64"/>
        <v xml:space="preserve"> </v>
      </c>
      <c r="V105" s="134">
        <f t="shared" ca="1" si="72"/>
        <v>0</v>
      </c>
      <c r="W105" s="134">
        <f t="shared" ca="1" si="73"/>
        <v>0</v>
      </c>
      <c r="X105" s="134">
        <f t="shared" ca="1" si="65"/>
        <v>0</v>
      </c>
      <c r="Y105" s="134">
        <f t="shared" ca="1" si="66"/>
        <v>0</v>
      </c>
      <c r="Z105" s="134">
        <f t="shared" ca="1" si="45"/>
        <v>-6.2527760746888816E-13</v>
      </c>
      <c r="AA105" s="134">
        <f t="shared" ca="1" si="74"/>
        <v>0</v>
      </c>
      <c r="AB105" s="134">
        <f t="shared" ca="1" si="46"/>
        <v>0</v>
      </c>
      <c r="AC105" s="134">
        <f t="shared" ca="1" si="35"/>
        <v>0</v>
      </c>
      <c r="AD105" s="134"/>
      <c r="AE105" s="134">
        <f t="shared" ca="1" si="47"/>
        <v>0</v>
      </c>
      <c r="AF105" s="134">
        <f t="shared" ca="1" si="48"/>
        <v>0</v>
      </c>
      <c r="AG105" s="134">
        <f t="shared" ca="1" si="67"/>
        <v>0</v>
      </c>
      <c r="AH105" s="134">
        <f t="shared" ca="1" si="49"/>
        <v>0</v>
      </c>
      <c r="AI105" s="134">
        <f t="shared" ca="1" si="68"/>
        <v>0</v>
      </c>
      <c r="AJ105" s="134">
        <f t="shared" ca="1" si="50"/>
        <v>0</v>
      </c>
      <c r="AK105" s="134">
        <f t="shared" ca="1" si="51"/>
        <v>0</v>
      </c>
      <c r="AL105" s="134">
        <f t="shared" ca="1" si="75"/>
        <v>0</v>
      </c>
      <c r="AM105" s="134">
        <f t="shared" ca="1" si="76"/>
        <v>0</v>
      </c>
      <c r="AN105" s="132">
        <f t="shared" ca="1" si="69"/>
        <v>0</v>
      </c>
      <c r="AO105" s="132">
        <f t="shared" ca="1" si="52"/>
        <v>0</v>
      </c>
      <c r="AP105" s="2">
        <f t="shared" ca="1" si="70"/>
        <v>0</v>
      </c>
      <c r="AQ105" s="2">
        <f t="shared" ca="1" si="53"/>
        <v>0</v>
      </c>
      <c r="AR105" s="2">
        <f t="shared" ca="1" si="54"/>
        <v>0</v>
      </c>
      <c r="AS105" s="2">
        <f t="shared" ca="1" si="55"/>
        <v>30</v>
      </c>
      <c r="AT105" s="2">
        <f t="shared" si="56"/>
        <v>20</v>
      </c>
      <c r="AU105" s="2">
        <f t="shared" ca="1" si="71"/>
        <v>30</v>
      </c>
      <c r="AV105" s="2"/>
      <c r="AW105" s="2"/>
      <c r="AX105" s="2"/>
      <c r="AY105" s="2"/>
      <c r="AZ105" s="2"/>
      <c r="BA105" s="2">
        <f t="shared" ca="1" si="57"/>
        <v>0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46</v>
      </c>
      <c r="B106" s="268" t="str">
        <f t="shared" ca="1" si="58"/>
        <v xml:space="preserve"> </v>
      </c>
      <c r="C106" s="268"/>
      <c r="D106" s="269" t="str">
        <f ca="1">IF(O106=0,IF(O105=1,SUM(D$61:F105)," "),IF(O106=0," ",IF(O107=1,D$61,IF(O107=0,D$4-D$61*(N$49-1)," "))))</f>
        <v xml:space="preserve"> </v>
      </c>
      <c r="E106" s="269"/>
      <c r="F106" s="269"/>
      <c r="G106" s="87" t="str">
        <f ca="1">IF(O106=0,IF(O105=1,SUM(G$61:G105)," "),IF(N$36=1,Q106,IF(N$36=2,R106," ")))</f>
        <v xml:space="preserve"> </v>
      </c>
      <c r="H106" s="87">
        <v>0</v>
      </c>
      <c r="I106" s="87" t="str">
        <f t="shared" ca="1" si="59"/>
        <v xml:space="preserve"> </v>
      </c>
      <c r="J106" s="87">
        <f t="shared" ca="1" si="60"/>
        <v>0</v>
      </c>
      <c r="K106" s="87">
        <f t="shared" ca="1" si="41"/>
        <v>0</v>
      </c>
      <c r="L106" s="87">
        <v>0</v>
      </c>
      <c r="M106" s="87" t="str">
        <f t="shared" ca="1" si="61"/>
        <v xml:space="preserve"> </v>
      </c>
      <c r="N106" s="2">
        <v>46</v>
      </c>
      <c r="O106" s="2">
        <f t="shared" ca="1" si="34"/>
        <v>0</v>
      </c>
      <c r="P106" s="2">
        <f t="shared" ca="1" si="42"/>
        <v>20</v>
      </c>
      <c r="Q106" s="134">
        <f t="shared" ca="1" si="43"/>
        <v>0</v>
      </c>
      <c r="R106" s="134">
        <f t="shared" ca="1" si="44"/>
        <v>0</v>
      </c>
      <c r="S106" s="134">
        <f t="shared" ca="1" si="62"/>
        <v>0</v>
      </c>
      <c r="T106" s="134" t="str">
        <f t="shared" ca="1" si="63"/>
        <v xml:space="preserve"> </v>
      </c>
      <c r="U106" s="134" t="str">
        <f t="shared" ca="1" si="64"/>
        <v xml:space="preserve"> </v>
      </c>
      <c r="V106" s="134">
        <f t="shared" ca="1" si="72"/>
        <v>0</v>
      </c>
      <c r="W106" s="134">
        <f t="shared" ca="1" si="73"/>
        <v>0</v>
      </c>
      <c r="X106" s="134">
        <f t="shared" ca="1" si="65"/>
        <v>0</v>
      </c>
      <c r="Y106" s="134">
        <f t="shared" ca="1" si="66"/>
        <v>0</v>
      </c>
      <c r="Z106" s="134">
        <f t="shared" ca="1" si="45"/>
        <v>-6.2527760746888816E-13</v>
      </c>
      <c r="AA106" s="134">
        <f t="shared" ca="1" si="74"/>
        <v>0</v>
      </c>
      <c r="AB106" s="134">
        <f t="shared" ca="1" si="46"/>
        <v>0</v>
      </c>
      <c r="AC106" s="134">
        <f t="shared" ca="1" si="35"/>
        <v>0</v>
      </c>
      <c r="AD106" s="134"/>
      <c r="AE106" s="134">
        <f t="shared" ca="1" si="47"/>
        <v>0</v>
      </c>
      <c r="AF106" s="134">
        <f t="shared" ca="1" si="48"/>
        <v>0</v>
      </c>
      <c r="AG106" s="134">
        <f t="shared" ca="1" si="67"/>
        <v>0</v>
      </c>
      <c r="AH106" s="134">
        <f t="shared" ca="1" si="49"/>
        <v>0</v>
      </c>
      <c r="AI106" s="134">
        <f t="shared" ca="1" si="68"/>
        <v>0</v>
      </c>
      <c r="AJ106" s="134">
        <f t="shared" ca="1" si="50"/>
        <v>0</v>
      </c>
      <c r="AK106" s="134">
        <f t="shared" ca="1" si="51"/>
        <v>0</v>
      </c>
      <c r="AL106" s="134">
        <f t="shared" ca="1" si="75"/>
        <v>0</v>
      </c>
      <c r="AM106" s="134">
        <f t="shared" ca="1" si="76"/>
        <v>0</v>
      </c>
      <c r="AN106" s="132">
        <f t="shared" ca="1" si="69"/>
        <v>0</v>
      </c>
      <c r="AO106" s="132">
        <f t="shared" ca="1" si="52"/>
        <v>0</v>
      </c>
      <c r="AP106" s="2">
        <f t="shared" ca="1" si="70"/>
        <v>0</v>
      </c>
      <c r="AQ106" s="2">
        <f t="shared" ca="1" si="53"/>
        <v>0</v>
      </c>
      <c r="AR106" s="2">
        <f t="shared" ca="1" si="54"/>
        <v>0</v>
      </c>
      <c r="AS106" s="2">
        <f t="shared" ca="1" si="55"/>
        <v>30</v>
      </c>
      <c r="AT106" s="2">
        <f t="shared" si="56"/>
        <v>20</v>
      </c>
      <c r="AU106" s="2">
        <f t="shared" ca="1" si="71"/>
        <v>30</v>
      </c>
      <c r="AV106" s="2"/>
      <c r="AW106" s="2"/>
      <c r="AX106" s="2"/>
      <c r="AY106" s="2"/>
      <c r="AZ106" s="2"/>
      <c r="BA106" s="2">
        <f t="shared" ca="1" si="57"/>
        <v>0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47</v>
      </c>
      <c r="B107" s="268" t="str">
        <f t="shared" ca="1" si="58"/>
        <v xml:space="preserve"> </v>
      </c>
      <c r="C107" s="268"/>
      <c r="D107" s="269" t="str">
        <f ca="1">IF(O107=0,IF(O106=1,SUM(D$61:F106)," "),IF(O107=0," ",IF(O108=1,D$61,IF(O108=0,D$4-D$61*(N$49-1)," "))))</f>
        <v xml:space="preserve"> </v>
      </c>
      <c r="E107" s="269"/>
      <c r="F107" s="269"/>
      <c r="G107" s="87" t="str">
        <f ca="1">IF(O107=0,IF(O106=1,SUM(G$61:G106)," "),IF(N$36=1,Q107,IF(N$36=2,R107," ")))</f>
        <v xml:space="preserve"> </v>
      </c>
      <c r="H107" s="87">
        <v>0</v>
      </c>
      <c r="I107" s="87" t="str">
        <f t="shared" ca="1" si="59"/>
        <v xml:space="preserve"> </v>
      </c>
      <c r="J107" s="87">
        <f t="shared" ca="1" si="60"/>
        <v>0</v>
      </c>
      <c r="K107" s="87">
        <f t="shared" ca="1" si="41"/>
        <v>0</v>
      </c>
      <c r="L107" s="87">
        <v>0</v>
      </c>
      <c r="M107" s="87" t="str">
        <f t="shared" ca="1" si="61"/>
        <v xml:space="preserve"> </v>
      </c>
      <c r="N107" s="2">
        <v>47</v>
      </c>
      <c r="O107" s="2">
        <f t="shared" ca="1" si="34"/>
        <v>0</v>
      </c>
      <c r="P107" s="2">
        <f t="shared" ca="1" si="42"/>
        <v>20</v>
      </c>
      <c r="Q107" s="134">
        <f t="shared" ca="1" si="43"/>
        <v>0</v>
      </c>
      <c r="R107" s="134">
        <f t="shared" ca="1" si="44"/>
        <v>0</v>
      </c>
      <c r="S107" s="134">
        <f t="shared" ca="1" si="62"/>
        <v>0</v>
      </c>
      <c r="T107" s="134" t="str">
        <f t="shared" ca="1" si="63"/>
        <v xml:space="preserve"> </v>
      </c>
      <c r="U107" s="134" t="str">
        <f t="shared" ca="1" si="64"/>
        <v xml:space="preserve"> </v>
      </c>
      <c r="V107" s="134">
        <f t="shared" ca="1" si="72"/>
        <v>0</v>
      </c>
      <c r="W107" s="134">
        <f t="shared" ca="1" si="73"/>
        <v>0</v>
      </c>
      <c r="X107" s="134">
        <f t="shared" ca="1" si="65"/>
        <v>0</v>
      </c>
      <c r="Y107" s="134">
        <f t="shared" ca="1" si="66"/>
        <v>0</v>
      </c>
      <c r="Z107" s="134">
        <f t="shared" ca="1" si="45"/>
        <v>-6.2527760746888816E-13</v>
      </c>
      <c r="AA107" s="134">
        <f t="shared" ca="1" si="74"/>
        <v>0</v>
      </c>
      <c r="AB107" s="134">
        <f t="shared" ca="1" si="46"/>
        <v>0</v>
      </c>
      <c r="AC107" s="134">
        <f t="shared" ca="1" si="35"/>
        <v>0</v>
      </c>
      <c r="AD107" s="134"/>
      <c r="AE107" s="134">
        <f t="shared" ca="1" si="47"/>
        <v>0</v>
      </c>
      <c r="AF107" s="134">
        <f t="shared" ca="1" si="48"/>
        <v>0</v>
      </c>
      <c r="AG107" s="134">
        <f t="shared" ca="1" si="67"/>
        <v>0</v>
      </c>
      <c r="AH107" s="134">
        <f t="shared" ca="1" si="49"/>
        <v>0</v>
      </c>
      <c r="AI107" s="134">
        <f t="shared" ca="1" si="68"/>
        <v>0</v>
      </c>
      <c r="AJ107" s="134">
        <f t="shared" ca="1" si="50"/>
        <v>0</v>
      </c>
      <c r="AK107" s="134">
        <f t="shared" ca="1" si="51"/>
        <v>0</v>
      </c>
      <c r="AL107" s="134">
        <f t="shared" ca="1" si="75"/>
        <v>0</v>
      </c>
      <c r="AM107" s="134">
        <f t="shared" ca="1" si="76"/>
        <v>0</v>
      </c>
      <c r="AN107" s="132">
        <f t="shared" ca="1" si="69"/>
        <v>0</v>
      </c>
      <c r="AO107" s="132">
        <f t="shared" ca="1" si="52"/>
        <v>0</v>
      </c>
      <c r="AP107" s="2">
        <f t="shared" ca="1" si="70"/>
        <v>0</v>
      </c>
      <c r="AQ107" s="2">
        <f t="shared" ca="1" si="53"/>
        <v>0</v>
      </c>
      <c r="AR107" s="2">
        <f t="shared" ca="1" si="54"/>
        <v>0</v>
      </c>
      <c r="AS107" s="2">
        <f t="shared" ca="1" si="55"/>
        <v>30</v>
      </c>
      <c r="AT107" s="2">
        <f t="shared" si="56"/>
        <v>20</v>
      </c>
      <c r="AU107" s="2">
        <f t="shared" ca="1" si="71"/>
        <v>30</v>
      </c>
      <c r="AV107" s="2"/>
      <c r="AW107" s="2"/>
      <c r="AX107" s="2"/>
      <c r="AY107" s="2"/>
      <c r="AZ107" s="2"/>
      <c r="BA107" s="2">
        <f t="shared" ca="1" si="57"/>
        <v>0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48</v>
      </c>
      <c r="B108" s="268" t="str">
        <f t="shared" ca="1" si="58"/>
        <v xml:space="preserve"> </v>
      </c>
      <c r="C108" s="268"/>
      <c r="D108" s="269" t="str">
        <f ca="1">IF(O108=0,IF(O107=1,SUM(D$61:F107)," "),IF(O108=0," ",IF(O109=1,D$61,IF(O109=0,D$4-D$61*(N$49-1)," "))))</f>
        <v xml:space="preserve"> </v>
      </c>
      <c r="E108" s="269"/>
      <c r="F108" s="269"/>
      <c r="G108" s="87" t="str">
        <f ca="1">IF(O108=0,IF(O107=1,SUM(G$61:G107)," "),IF(N$36=1,Q108,IF(N$36=2,R108," ")))</f>
        <v xml:space="preserve"> </v>
      </c>
      <c r="H108" s="87">
        <v>0</v>
      </c>
      <c r="I108" s="87" t="str">
        <f t="shared" ca="1" si="59"/>
        <v xml:space="preserve"> </v>
      </c>
      <c r="J108" s="87">
        <f t="shared" ca="1" si="60"/>
        <v>0</v>
      </c>
      <c r="K108" s="87">
        <f t="shared" ca="1" si="41"/>
        <v>0</v>
      </c>
      <c r="L108" s="87">
        <v>0</v>
      </c>
      <c r="M108" s="87" t="str">
        <f t="shared" ca="1" si="61"/>
        <v xml:space="preserve"> </v>
      </c>
      <c r="N108" s="2">
        <v>48</v>
      </c>
      <c r="O108" s="2">
        <f t="shared" ca="1" si="34"/>
        <v>0</v>
      </c>
      <c r="P108" s="2">
        <f t="shared" ca="1" si="42"/>
        <v>20</v>
      </c>
      <c r="Q108" s="134">
        <f t="shared" ca="1" si="43"/>
        <v>0</v>
      </c>
      <c r="R108" s="134">
        <f t="shared" ca="1" si="44"/>
        <v>0</v>
      </c>
      <c r="S108" s="134">
        <f t="shared" ca="1" si="62"/>
        <v>0</v>
      </c>
      <c r="T108" s="134" t="str">
        <f t="shared" ca="1" si="63"/>
        <v xml:space="preserve"> </v>
      </c>
      <c r="U108" s="134" t="str">
        <f t="shared" ca="1" si="64"/>
        <v xml:space="preserve"> </v>
      </c>
      <c r="V108" s="134">
        <f t="shared" ca="1" si="72"/>
        <v>0</v>
      </c>
      <c r="W108" s="134">
        <f t="shared" ca="1" si="73"/>
        <v>0</v>
      </c>
      <c r="X108" s="134">
        <f t="shared" ca="1" si="65"/>
        <v>0</v>
      </c>
      <c r="Y108" s="134">
        <f t="shared" ca="1" si="66"/>
        <v>0</v>
      </c>
      <c r="Z108" s="134">
        <f t="shared" ca="1" si="45"/>
        <v>-6.2527760746888816E-13</v>
      </c>
      <c r="AA108" s="134">
        <f t="shared" ca="1" si="74"/>
        <v>0</v>
      </c>
      <c r="AB108" s="134">
        <f t="shared" ca="1" si="46"/>
        <v>0</v>
      </c>
      <c r="AC108" s="134">
        <f t="shared" ca="1" si="35"/>
        <v>0</v>
      </c>
      <c r="AD108" s="134"/>
      <c r="AE108" s="134">
        <f t="shared" ca="1" si="47"/>
        <v>0</v>
      </c>
      <c r="AF108" s="134">
        <f t="shared" ca="1" si="48"/>
        <v>0</v>
      </c>
      <c r="AG108" s="134">
        <f t="shared" ca="1" si="67"/>
        <v>0</v>
      </c>
      <c r="AH108" s="134">
        <f t="shared" ca="1" si="49"/>
        <v>0</v>
      </c>
      <c r="AI108" s="134">
        <f t="shared" ca="1" si="68"/>
        <v>0</v>
      </c>
      <c r="AJ108" s="134">
        <f t="shared" ca="1" si="50"/>
        <v>0</v>
      </c>
      <c r="AK108" s="134">
        <f t="shared" ca="1" si="51"/>
        <v>0</v>
      </c>
      <c r="AL108" s="134">
        <f t="shared" ca="1" si="75"/>
        <v>0</v>
      </c>
      <c r="AM108" s="134">
        <f t="shared" ca="1" si="76"/>
        <v>0</v>
      </c>
      <c r="AN108" s="132">
        <f t="shared" ca="1" si="69"/>
        <v>0</v>
      </c>
      <c r="AO108" s="132">
        <f t="shared" ca="1" si="52"/>
        <v>0</v>
      </c>
      <c r="AP108" s="2">
        <f t="shared" ca="1" si="70"/>
        <v>0</v>
      </c>
      <c r="AQ108" s="2">
        <f t="shared" ca="1" si="53"/>
        <v>0</v>
      </c>
      <c r="AR108" s="2">
        <f t="shared" ca="1" si="54"/>
        <v>0</v>
      </c>
      <c r="AS108" s="2">
        <f t="shared" ca="1" si="55"/>
        <v>30</v>
      </c>
      <c r="AT108" s="2">
        <f t="shared" si="56"/>
        <v>20</v>
      </c>
      <c r="AU108" s="2">
        <f t="shared" ca="1" si="71"/>
        <v>30</v>
      </c>
      <c r="AV108" s="2"/>
      <c r="AW108" s="2"/>
      <c r="AX108" s="2"/>
      <c r="AY108" s="2"/>
      <c r="AZ108" s="2"/>
      <c r="BA108" s="2">
        <f t="shared" ca="1" si="57"/>
        <v>0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customHeight="1">
      <c r="A109" s="4">
        <v>49</v>
      </c>
      <c r="B109" s="268" t="str">
        <f t="shared" ca="1" si="58"/>
        <v xml:space="preserve"> </v>
      </c>
      <c r="C109" s="268"/>
      <c r="D109" s="269" t="str">
        <f ca="1">IF(O109=0,IF(O108=1,SUM(D$61:F108)," "),IF(O109=0," ",IF(O110=1,D$61,IF(O110=0,D$4-D$61*(N$49-1)," "))))</f>
        <v xml:space="preserve"> </v>
      </c>
      <c r="E109" s="269"/>
      <c r="F109" s="269"/>
      <c r="G109" s="87" t="str">
        <f ca="1">IF(O109=0,IF(O108=1,SUM(G$61:G108)," "),IF(N$36=1,Q109,IF(N$36=2,R109," ")))</f>
        <v xml:space="preserve"> </v>
      </c>
      <c r="H109" s="87">
        <v>0</v>
      </c>
      <c r="I109" s="87" t="str">
        <f t="shared" ca="1" si="59"/>
        <v xml:space="preserve"> </v>
      </c>
      <c r="J109" s="87">
        <f t="shared" ca="1" si="60"/>
        <v>0</v>
      </c>
      <c r="K109" s="87">
        <f t="shared" ca="1" si="41"/>
        <v>0</v>
      </c>
      <c r="L109" s="87">
        <v>0</v>
      </c>
      <c r="M109" s="87" t="str">
        <f t="shared" ca="1" si="61"/>
        <v xml:space="preserve"> </v>
      </c>
      <c r="N109" s="2">
        <v>49</v>
      </c>
      <c r="O109" s="2">
        <f t="shared" ca="1" si="34"/>
        <v>0</v>
      </c>
      <c r="P109" s="2">
        <f t="shared" ca="1" si="42"/>
        <v>20</v>
      </c>
      <c r="Q109" s="134">
        <f t="shared" ca="1" si="43"/>
        <v>0</v>
      </c>
      <c r="R109" s="134">
        <f t="shared" ca="1" si="44"/>
        <v>0</v>
      </c>
      <c r="S109" s="134">
        <f t="shared" ca="1" si="62"/>
        <v>0</v>
      </c>
      <c r="T109" s="134" t="str">
        <f t="shared" ca="1" si="63"/>
        <v xml:space="preserve"> </v>
      </c>
      <c r="U109" s="134" t="str">
        <f t="shared" ca="1" si="64"/>
        <v xml:space="preserve"> </v>
      </c>
      <c r="V109" s="134">
        <f ca="1">IF(O110=1,S108*D$5*20/36000+S109*D$5*10/36000,IF(O110=0,IF(O109=0,0,IF(D$9&gt;20,S108*D$5*20/36000+S109*D$5*(R$47-20)/36000,S109*D$5*R$47/36000))))</f>
        <v>0</v>
      </c>
      <c r="W109" s="134">
        <f ca="1">IF(O110=1,S108*D$5*20/36000+S109*D$5*10/36000,IF(O110=0,IF(O109=0,0,IF(D$9&gt;20,S108*D$5*20/36000+S109*D$5*(R$47-20)/36000,S109*D$5*R$47/36000))))</f>
        <v>0</v>
      </c>
      <c r="X109" s="134">
        <f t="shared" ca="1" si="65"/>
        <v>0</v>
      </c>
      <c r="Y109" s="134">
        <f t="shared" ca="1" si="66"/>
        <v>0</v>
      </c>
      <c r="Z109" s="134">
        <f t="shared" ca="1" si="45"/>
        <v>-6.2527760746888816E-13</v>
      </c>
      <c r="AA109" s="134">
        <f ca="1">IF(O110=1,Z108*D$5*20/36000+Z109*D$5*10/36000,IF(O110=0,IF(O109=0,0,IF(D$9&gt;20,Z108*D$5*20/36000+Z109*D$5*(R$47-20)/36000,Z109*D$5*R$47/36000))))</f>
        <v>0</v>
      </c>
      <c r="AB109" s="134">
        <f t="shared" ca="1" si="46"/>
        <v>0</v>
      </c>
      <c r="AC109" s="134">
        <f t="shared" ca="1" si="35"/>
        <v>0</v>
      </c>
      <c r="AD109" s="134"/>
      <c r="AE109" s="134">
        <f t="shared" ca="1" si="47"/>
        <v>0</v>
      </c>
      <c r="AF109" s="134">
        <f t="shared" ca="1" si="48"/>
        <v>0</v>
      </c>
      <c r="AG109" s="134">
        <f t="shared" ca="1" si="67"/>
        <v>0</v>
      </c>
      <c r="AH109" s="134">
        <f t="shared" ca="1" si="49"/>
        <v>0</v>
      </c>
      <c r="AI109" s="134">
        <f t="shared" ca="1" si="68"/>
        <v>0</v>
      </c>
      <c r="AJ109" s="134">
        <f t="shared" ca="1" si="50"/>
        <v>0</v>
      </c>
      <c r="AK109" s="134">
        <f t="shared" ca="1" si="51"/>
        <v>0</v>
      </c>
      <c r="AL109" s="134">
        <f ca="1">IF(O110=1,AK108*H$47*20/36000+AK109*H$47*10/36000,IF(O110=0,IF(O109=0,0,AK109*H$47*R$47/36000)))</f>
        <v>0</v>
      </c>
      <c r="AM109" s="134">
        <f ca="1">IF(O110=1,AK108*H$47*20/36000+AK109*H$47*10/36000,IF(O110=0,IF(O109=0,0,AK109*H$47*R$47/36000)))</f>
        <v>0</v>
      </c>
      <c r="AN109" s="132">
        <f t="shared" ca="1" si="69"/>
        <v>0</v>
      </c>
      <c r="AO109" s="132">
        <f t="shared" ca="1" si="52"/>
        <v>0</v>
      </c>
      <c r="AP109" s="2">
        <f t="shared" ca="1" si="70"/>
        <v>0</v>
      </c>
      <c r="AQ109" s="2">
        <f t="shared" ca="1" si="53"/>
        <v>0</v>
      </c>
      <c r="AR109" s="2">
        <f t="shared" ca="1" si="54"/>
        <v>0</v>
      </c>
      <c r="AS109" s="2">
        <f t="shared" ca="1" si="55"/>
        <v>30</v>
      </c>
      <c r="AT109" s="2">
        <f t="shared" si="56"/>
        <v>20</v>
      </c>
      <c r="AU109" s="2">
        <f t="shared" ca="1" si="71"/>
        <v>30</v>
      </c>
      <c r="AV109" s="2"/>
      <c r="AW109" s="2"/>
      <c r="AX109" s="2"/>
      <c r="AY109" s="2"/>
      <c r="AZ109" s="2"/>
      <c r="BA109" s="2">
        <f t="shared" ca="1" si="57"/>
        <v>0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customHeight="1">
      <c r="A110" s="4"/>
      <c r="B110" s="268" t="str">
        <f t="shared" ca="1" si="58"/>
        <v xml:space="preserve"> </v>
      </c>
      <c r="C110" s="268"/>
      <c r="D110" s="269" t="str">
        <f ca="1">IF(O110=0,IF(O109=1,SUM(D$61:F109)," "),IF(O110=0," ",IF(O111=1,D$61,IF(O111=0,D$4-D$61*(N$49-1)," "))))</f>
        <v xml:space="preserve"> </v>
      </c>
      <c r="E110" s="269"/>
      <c r="F110" s="269"/>
      <c r="G110" s="87" t="str">
        <f ca="1">IF(O110=0,IF(O109=1,SUM(G$61:G109)," "),IF(N$36=1,Q110,IF(N$36=2,R110," ")))</f>
        <v xml:space="preserve"> </v>
      </c>
      <c r="H110" s="87">
        <v>0</v>
      </c>
      <c r="I110" s="87" t="str">
        <f t="shared" ca="1" si="59"/>
        <v xml:space="preserve"> </v>
      </c>
      <c r="J110" s="87">
        <f t="shared" ca="1" si="60"/>
        <v>0</v>
      </c>
      <c r="K110" s="87">
        <f t="shared" ca="1" si="41"/>
        <v>0</v>
      </c>
      <c r="L110" s="87">
        <v>0</v>
      </c>
      <c r="M110" s="87" t="str">
        <f t="shared" ca="1" si="61"/>
        <v xml:space="preserve"> </v>
      </c>
      <c r="N110" s="2">
        <v>50</v>
      </c>
      <c r="O110" s="2">
        <f t="shared" ca="1" si="34"/>
        <v>0</v>
      </c>
      <c r="P110" s="2">
        <f t="shared" ca="1" si="42"/>
        <v>20</v>
      </c>
      <c r="Q110" s="134">
        <f t="shared" ca="1" si="43"/>
        <v>0</v>
      </c>
      <c r="R110" s="134">
        <f t="shared" ca="1" si="44"/>
        <v>0</v>
      </c>
      <c r="S110" s="134">
        <f t="shared" ca="1" si="62"/>
        <v>0</v>
      </c>
      <c r="T110" s="134" t="str">
        <f t="shared" ca="1" si="63"/>
        <v xml:space="preserve"> </v>
      </c>
      <c r="U110" s="134" t="str">
        <f t="shared" ca="1" si="64"/>
        <v xml:space="preserve"> </v>
      </c>
      <c r="V110" s="134">
        <f t="shared" ref="V110:V120" ca="1" si="77">IF(O111=1,S109*D$5*20/36000+S110*D$5*10/36000,IF(O111=0,IF(O110=0,0,S110*D$5*R$47/36000+S109*D$5*20/36000+S110*D$5*10/36000)))</f>
        <v>0</v>
      </c>
      <c r="W110" s="134">
        <f t="shared" ref="W110:W120" ca="1" si="78">IF(O111=1,S109*D$5*20/36000+S110*D$5*10/36000,IF(O111=0,IF(O110=0,0,S110*D$5*R$47/36000+S109*D$5*20/36000+S110*D$5*10/36000)))</f>
        <v>0</v>
      </c>
      <c r="X110" s="134">
        <f t="shared" ca="1" si="65"/>
        <v>0</v>
      </c>
      <c r="Y110" s="134">
        <f t="shared" ca="1" si="66"/>
        <v>0</v>
      </c>
      <c r="Z110" s="134">
        <f t="shared" ca="1" si="45"/>
        <v>-6.2527760746888816E-13</v>
      </c>
      <c r="AA110" s="134">
        <f t="shared" ref="AA110:AA120" ca="1" si="79">IF(O111=1,Z109*D$5*20/36000+Z110*D$5*10/36000,IF(O111=0,IF(O110=0,0,Z110*D$5*R$47/36000+Z109*D$5*20/36000+Z110*D$5*10/36000)))</f>
        <v>0</v>
      </c>
      <c r="AB110" s="134">
        <f t="shared" ca="1" si="46"/>
        <v>0</v>
      </c>
      <c r="AC110" s="134">
        <f t="shared" ca="1" si="35"/>
        <v>0</v>
      </c>
      <c r="AD110" s="134"/>
      <c r="AE110" s="134">
        <f t="shared" ca="1" si="47"/>
        <v>0</v>
      </c>
      <c r="AF110" s="134">
        <f t="shared" ca="1" si="48"/>
        <v>0</v>
      </c>
      <c r="AG110" s="134">
        <f t="shared" ca="1" si="67"/>
        <v>0</v>
      </c>
      <c r="AH110" s="134">
        <f t="shared" ca="1" si="49"/>
        <v>0</v>
      </c>
      <c r="AI110" s="134">
        <f t="shared" ca="1" si="68"/>
        <v>0</v>
      </c>
      <c r="AJ110" s="134">
        <f t="shared" ca="1" si="50"/>
        <v>0</v>
      </c>
      <c r="AK110" s="134">
        <f t="shared" ca="1" si="51"/>
        <v>0</v>
      </c>
      <c r="AL110" s="134">
        <f t="shared" ref="AL110:AL120" ca="1" si="80">IF(O111=1,AK109*H$47*20/36000+AK110*H$47*10/36000,IF(O111=0,IF(O110=0,0,AK110*H$47*R$47/36000+AK109*H$47*20/36000+AK110*H$47*10/36000)))</f>
        <v>0</v>
      </c>
      <c r="AM110" s="134">
        <f t="shared" ref="AM110:AM120" ca="1" si="81">IF(O111=1,AK109*H$47*20/36000+AK110*H$47*10/36000,IF(O111=0,IF(O110=0,0,AK110*H$47*R$47/36000+AK109*H$47*20/36000+AK110*H$47*10/36000)))</f>
        <v>0</v>
      </c>
      <c r="AN110" s="132">
        <f t="shared" ca="1" si="69"/>
        <v>0</v>
      </c>
      <c r="AO110" s="132">
        <f t="shared" ca="1" si="52"/>
        <v>0</v>
      </c>
      <c r="AP110" s="2">
        <f t="shared" ca="1" si="70"/>
        <v>0</v>
      </c>
      <c r="AQ110" s="2">
        <f t="shared" ca="1" si="53"/>
        <v>0</v>
      </c>
      <c r="AR110" s="2">
        <f t="shared" ca="1" si="54"/>
        <v>0</v>
      </c>
      <c r="AS110" s="2">
        <f t="shared" ca="1" si="55"/>
        <v>30</v>
      </c>
      <c r="AT110" s="2">
        <f t="shared" si="56"/>
        <v>20</v>
      </c>
      <c r="AU110" s="2">
        <f t="shared" ca="1" si="71"/>
        <v>30</v>
      </c>
      <c r="AV110" s="2"/>
      <c r="AW110" s="2"/>
      <c r="AX110" s="2"/>
      <c r="AY110" s="2"/>
      <c r="AZ110" s="2"/>
      <c r="BA110" s="2">
        <f t="shared" ca="1" si="57"/>
        <v>0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customHeight="1">
      <c r="A111" s="4"/>
      <c r="B111" s="268" t="str">
        <f t="shared" ca="1" si="58"/>
        <v xml:space="preserve"> </v>
      </c>
      <c r="C111" s="268"/>
      <c r="D111" s="269" t="str">
        <f ca="1">IF(O111=0,IF(O110=1,SUM(D$61:F110)," "),IF(O111=0," ",IF(O112=1,D$61,IF(O112=0,D$4-D$61*(N$49-1)," "))))</f>
        <v xml:space="preserve"> </v>
      </c>
      <c r="E111" s="269"/>
      <c r="F111" s="269"/>
      <c r="G111" s="87" t="str">
        <f ca="1">IF(O111=0,IF(O110=1,SUM(G$61:G110)," "),IF(N$36=1,Q111,IF(N$36=2,R111," ")))</f>
        <v xml:space="preserve"> </v>
      </c>
      <c r="H111" s="87">
        <v>0</v>
      </c>
      <c r="I111" s="87" t="str">
        <f t="shared" ca="1" si="59"/>
        <v xml:space="preserve"> </v>
      </c>
      <c r="J111" s="87">
        <f t="shared" ca="1" si="60"/>
        <v>0</v>
      </c>
      <c r="K111" s="87">
        <f t="shared" ca="1" si="41"/>
        <v>0</v>
      </c>
      <c r="L111" s="87">
        <v>0</v>
      </c>
      <c r="M111" s="87" t="str">
        <f t="shared" ca="1" si="61"/>
        <v xml:space="preserve"> </v>
      </c>
      <c r="N111" s="2">
        <v>51</v>
      </c>
      <c r="O111" s="2">
        <f t="shared" ca="1" si="34"/>
        <v>0</v>
      </c>
      <c r="P111" s="2">
        <f t="shared" ca="1" si="42"/>
        <v>20</v>
      </c>
      <c r="Q111" s="134">
        <f t="shared" ca="1" si="43"/>
        <v>0</v>
      </c>
      <c r="R111" s="134">
        <f t="shared" ca="1" si="44"/>
        <v>0</v>
      </c>
      <c r="S111" s="134">
        <f t="shared" ca="1" si="62"/>
        <v>0</v>
      </c>
      <c r="T111" s="134" t="str">
        <f t="shared" ca="1" si="63"/>
        <v xml:space="preserve"> </v>
      </c>
      <c r="U111" s="134" t="str">
        <f t="shared" ca="1" si="64"/>
        <v xml:space="preserve"> </v>
      </c>
      <c r="V111" s="134">
        <f t="shared" ca="1" si="77"/>
        <v>0</v>
      </c>
      <c r="W111" s="134">
        <f t="shared" ca="1" si="78"/>
        <v>0</v>
      </c>
      <c r="X111" s="134">
        <f t="shared" ca="1" si="65"/>
        <v>0</v>
      </c>
      <c r="Y111" s="134">
        <f t="shared" ca="1" si="66"/>
        <v>0</v>
      </c>
      <c r="Z111" s="134">
        <f t="shared" ca="1" si="45"/>
        <v>-6.2527760746888816E-13</v>
      </c>
      <c r="AA111" s="134">
        <f t="shared" ca="1" si="79"/>
        <v>0</v>
      </c>
      <c r="AB111" s="134">
        <f t="shared" ca="1" si="46"/>
        <v>0</v>
      </c>
      <c r="AC111" s="134">
        <f t="shared" ca="1" si="35"/>
        <v>0</v>
      </c>
      <c r="AD111" s="134"/>
      <c r="AE111" s="134">
        <f t="shared" ca="1" si="47"/>
        <v>0</v>
      </c>
      <c r="AF111" s="134">
        <f t="shared" ca="1" si="48"/>
        <v>0</v>
      </c>
      <c r="AG111" s="134">
        <f t="shared" ca="1" si="67"/>
        <v>0</v>
      </c>
      <c r="AH111" s="134">
        <f t="shared" ca="1" si="49"/>
        <v>0</v>
      </c>
      <c r="AI111" s="134">
        <f t="shared" ca="1" si="68"/>
        <v>0</v>
      </c>
      <c r="AJ111" s="134">
        <f t="shared" ca="1" si="50"/>
        <v>0</v>
      </c>
      <c r="AK111" s="134">
        <f t="shared" ca="1" si="51"/>
        <v>0</v>
      </c>
      <c r="AL111" s="134">
        <f t="shared" ca="1" si="80"/>
        <v>0</v>
      </c>
      <c r="AM111" s="134">
        <f t="shared" ca="1" si="81"/>
        <v>0</v>
      </c>
      <c r="AN111" s="132">
        <f t="shared" ca="1" si="69"/>
        <v>0</v>
      </c>
      <c r="AO111" s="132">
        <f t="shared" ca="1" si="52"/>
        <v>0</v>
      </c>
      <c r="AP111" s="2">
        <f t="shared" ca="1" si="70"/>
        <v>0</v>
      </c>
      <c r="AQ111" s="2">
        <f t="shared" ca="1" si="53"/>
        <v>0</v>
      </c>
      <c r="AR111" s="2">
        <f t="shared" ca="1" si="54"/>
        <v>0</v>
      </c>
      <c r="AS111" s="2">
        <f t="shared" ca="1" si="55"/>
        <v>30</v>
      </c>
      <c r="AT111" s="2">
        <f t="shared" si="56"/>
        <v>20</v>
      </c>
      <c r="AU111" s="2">
        <f t="shared" ca="1" si="71"/>
        <v>30</v>
      </c>
      <c r="AV111" s="2"/>
      <c r="AW111" s="2"/>
      <c r="AX111" s="2"/>
      <c r="AY111" s="2"/>
      <c r="AZ111" s="2"/>
      <c r="BA111" s="2">
        <f t="shared" ca="1" si="57"/>
        <v>0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customHeight="1">
      <c r="A112" s="4"/>
      <c r="B112" s="268" t="str">
        <f t="shared" ca="1" si="58"/>
        <v xml:space="preserve"> </v>
      </c>
      <c r="C112" s="268"/>
      <c r="D112" s="269" t="str">
        <f ca="1">IF(O112=0,IF(O111=1,SUM(D$61:F111)," "),IF(O112=0," ",IF(O113=1,D$61,IF(O113=0,D$4-D$61*(N$49-1)," "))))</f>
        <v xml:space="preserve"> </v>
      </c>
      <c r="E112" s="269"/>
      <c r="F112" s="269"/>
      <c r="G112" s="87" t="str">
        <f ca="1">IF(O112=0,IF(O111=1,SUM(G$61:G111)," "),IF(N$36=1,Q112,IF(N$36=2,R112," ")))</f>
        <v xml:space="preserve"> </v>
      </c>
      <c r="H112" s="87">
        <v>0</v>
      </c>
      <c r="I112" s="87" t="str">
        <f t="shared" ca="1" si="59"/>
        <v xml:space="preserve"> </v>
      </c>
      <c r="J112" s="87">
        <f t="shared" ca="1" si="60"/>
        <v>0</v>
      </c>
      <c r="K112" s="87">
        <f t="shared" ca="1" si="41"/>
        <v>0</v>
      </c>
      <c r="L112" s="87">
        <v>0</v>
      </c>
      <c r="M112" s="87" t="str">
        <f t="shared" ca="1" si="61"/>
        <v xml:space="preserve"> </v>
      </c>
      <c r="N112" s="2">
        <v>52</v>
      </c>
      <c r="O112" s="2">
        <f t="shared" ca="1" si="34"/>
        <v>0</v>
      </c>
      <c r="P112" s="2">
        <f t="shared" ca="1" si="42"/>
        <v>20</v>
      </c>
      <c r="Q112" s="134">
        <f t="shared" ca="1" si="43"/>
        <v>0</v>
      </c>
      <c r="R112" s="134">
        <f t="shared" ca="1" si="44"/>
        <v>0</v>
      </c>
      <c r="S112" s="134">
        <f t="shared" ca="1" si="62"/>
        <v>0</v>
      </c>
      <c r="T112" s="134" t="str">
        <f t="shared" ca="1" si="63"/>
        <v xml:space="preserve"> </v>
      </c>
      <c r="U112" s="134" t="str">
        <f t="shared" ca="1" si="64"/>
        <v xml:space="preserve"> </v>
      </c>
      <c r="V112" s="134">
        <f t="shared" ca="1" si="77"/>
        <v>0</v>
      </c>
      <c r="W112" s="134">
        <f t="shared" ca="1" si="78"/>
        <v>0</v>
      </c>
      <c r="X112" s="134">
        <f t="shared" ca="1" si="65"/>
        <v>0</v>
      </c>
      <c r="Y112" s="134">
        <f t="shared" ca="1" si="66"/>
        <v>0</v>
      </c>
      <c r="Z112" s="134">
        <f t="shared" ca="1" si="45"/>
        <v>-6.2527760746888816E-13</v>
      </c>
      <c r="AA112" s="134">
        <f t="shared" ca="1" si="79"/>
        <v>0</v>
      </c>
      <c r="AB112" s="134">
        <f t="shared" ca="1" si="46"/>
        <v>0</v>
      </c>
      <c r="AC112" s="134">
        <f t="shared" ca="1" si="35"/>
        <v>0</v>
      </c>
      <c r="AD112" s="134"/>
      <c r="AE112" s="134">
        <f t="shared" ca="1" si="47"/>
        <v>0</v>
      </c>
      <c r="AF112" s="134">
        <f t="shared" ca="1" si="48"/>
        <v>0</v>
      </c>
      <c r="AG112" s="134">
        <f t="shared" ca="1" si="67"/>
        <v>0</v>
      </c>
      <c r="AH112" s="134">
        <f t="shared" ca="1" si="49"/>
        <v>0</v>
      </c>
      <c r="AI112" s="134">
        <f t="shared" ca="1" si="68"/>
        <v>0</v>
      </c>
      <c r="AJ112" s="134">
        <f t="shared" ca="1" si="50"/>
        <v>0</v>
      </c>
      <c r="AK112" s="134">
        <f t="shared" ca="1" si="51"/>
        <v>0</v>
      </c>
      <c r="AL112" s="134">
        <f t="shared" ca="1" si="80"/>
        <v>0</v>
      </c>
      <c r="AM112" s="134">
        <f t="shared" ca="1" si="81"/>
        <v>0</v>
      </c>
      <c r="AN112" s="132">
        <f t="shared" ca="1" si="69"/>
        <v>0</v>
      </c>
      <c r="AO112" s="132">
        <f t="shared" ca="1" si="52"/>
        <v>0</v>
      </c>
      <c r="AP112" s="2">
        <f t="shared" ca="1" si="70"/>
        <v>0</v>
      </c>
      <c r="AQ112" s="2">
        <f t="shared" ca="1" si="53"/>
        <v>0</v>
      </c>
      <c r="AR112" s="2">
        <f t="shared" ca="1" si="54"/>
        <v>0</v>
      </c>
      <c r="AS112" s="2">
        <f t="shared" ca="1" si="55"/>
        <v>30</v>
      </c>
      <c r="AT112" s="2">
        <f t="shared" si="56"/>
        <v>20</v>
      </c>
      <c r="AU112" s="2">
        <f t="shared" ca="1" si="71"/>
        <v>30</v>
      </c>
      <c r="AV112" s="2"/>
      <c r="AW112" s="2"/>
      <c r="AX112" s="2"/>
      <c r="AY112" s="2"/>
      <c r="AZ112" s="2"/>
      <c r="BA112" s="2">
        <f t="shared" ca="1" si="57"/>
        <v>0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customHeight="1">
      <c r="A113" s="4"/>
      <c r="B113" s="268" t="str">
        <f t="shared" ca="1" si="58"/>
        <v xml:space="preserve"> </v>
      </c>
      <c r="C113" s="268"/>
      <c r="D113" s="269" t="str">
        <f ca="1">IF(O113=0,IF(O112=1,SUM(D$61:F112)," "),IF(O113=0," ",IF(O114=1,D$61,IF(O114=0,D$4-D$61*(N$49-1)," "))))</f>
        <v xml:space="preserve"> </v>
      </c>
      <c r="E113" s="269"/>
      <c r="F113" s="269"/>
      <c r="G113" s="87" t="str">
        <f ca="1">IF(O113=0,IF(O112=1,SUM(G$61:G112)," "),IF(N$36=1,Q113,IF(N$36=2,R113," ")))</f>
        <v xml:space="preserve"> </v>
      </c>
      <c r="H113" s="87">
        <v>0</v>
      </c>
      <c r="I113" s="87" t="str">
        <f t="shared" ca="1" si="59"/>
        <v xml:space="preserve"> </v>
      </c>
      <c r="J113" s="87">
        <f t="shared" ca="1" si="60"/>
        <v>0</v>
      </c>
      <c r="K113" s="87">
        <f t="shared" ca="1" si="41"/>
        <v>0</v>
      </c>
      <c r="L113" s="87">
        <v>0</v>
      </c>
      <c r="M113" s="87" t="str">
        <f t="shared" ca="1" si="61"/>
        <v xml:space="preserve"> </v>
      </c>
      <c r="N113" s="2">
        <v>53</v>
      </c>
      <c r="O113" s="2">
        <f t="shared" ca="1" si="34"/>
        <v>0</v>
      </c>
      <c r="P113" s="2">
        <f t="shared" ca="1" si="42"/>
        <v>20</v>
      </c>
      <c r="Q113" s="134">
        <f t="shared" ca="1" si="43"/>
        <v>0</v>
      </c>
      <c r="R113" s="134">
        <f t="shared" ca="1" si="44"/>
        <v>0</v>
      </c>
      <c r="S113" s="134">
        <f t="shared" ca="1" si="62"/>
        <v>0</v>
      </c>
      <c r="T113" s="134" t="str">
        <f t="shared" ca="1" si="63"/>
        <v xml:space="preserve"> </v>
      </c>
      <c r="U113" s="134" t="str">
        <f t="shared" ca="1" si="64"/>
        <v xml:space="preserve"> </v>
      </c>
      <c r="V113" s="134">
        <f t="shared" ca="1" si="77"/>
        <v>0</v>
      </c>
      <c r="W113" s="134">
        <f t="shared" ca="1" si="78"/>
        <v>0</v>
      </c>
      <c r="X113" s="134">
        <f t="shared" ca="1" si="65"/>
        <v>0</v>
      </c>
      <c r="Y113" s="134">
        <f t="shared" ca="1" si="66"/>
        <v>0</v>
      </c>
      <c r="Z113" s="134">
        <f t="shared" ca="1" si="45"/>
        <v>-6.2527760746888816E-13</v>
      </c>
      <c r="AA113" s="134">
        <f t="shared" ca="1" si="79"/>
        <v>0</v>
      </c>
      <c r="AB113" s="134">
        <f t="shared" ca="1" si="46"/>
        <v>0</v>
      </c>
      <c r="AC113" s="134">
        <f t="shared" ca="1" si="35"/>
        <v>0</v>
      </c>
      <c r="AD113" s="134"/>
      <c r="AE113" s="134">
        <f t="shared" ca="1" si="47"/>
        <v>0</v>
      </c>
      <c r="AF113" s="134">
        <f t="shared" ca="1" si="48"/>
        <v>0</v>
      </c>
      <c r="AG113" s="134">
        <f t="shared" ca="1" si="67"/>
        <v>0</v>
      </c>
      <c r="AH113" s="134">
        <f t="shared" ca="1" si="49"/>
        <v>0</v>
      </c>
      <c r="AI113" s="134">
        <f t="shared" ca="1" si="68"/>
        <v>0</v>
      </c>
      <c r="AJ113" s="134">
        <f t="shared" ca="1" si="50"/>
        <v>0</v>
      </c>
      <c r="AK113" s="134">
        <f t="shared" ca="1" si="51"/>
        <v>0</v>
      </c>
      <c r="AL113" s="134">
        <f t="shared" ca="1" si="80"/>
        <v>0</v>
      </c>
      <c r="AM113" s="134">
        <f t="shared" ca="1" si="81"/>
        <v>0</v>
      </c>
      <c r="AN113" s="132">
        <f t="shared" ca="1" si="69"/>
        <v>0</v>
      </c>
      <c r="AO113" s="132">
        <f t="shared" ca="1" si="52"/>
        <v>0</v>
      </c>
      <c r="AP113" s="2">
        <f t="shared" ca="1" si="70"/>
        <v>0</v>
      </c>
      <c r="AQ113" s="2">
        <f t="shared" ca="1" si="53"/>
        <v>0</v>
      </c>
      <c r="AR113" s="2">
        <f t="shared" ca="1" si="54"/>
        <v>0</v>
      </c>
      <c r="AS113" s="2">
        <f t="shared" ca="1" si="55"/>
        <v>30</v>
      </c>
      <c r="AT113" s="2">
        <f t="shared" si="56"/>
        <v>20</v>
      </c>
      <c r="AU113" s="2">
        <f t="shared" ca="1" si="71"/>
        <v>30</v>
      </c>
      <c r="AV113" s="2"/>
      <c r="AW113" s="2"/>
      <c r="AX113" s="2"/>
      <c r="AY113" s="2"/>
      <c r="AZ113" s="2"/>
      <c r="BA113" s="2">
        <f t="shared" ca="1" si="57"/>
        <v>0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customHeight="1">
      <c r="A114" s="4"/>
      <c r="B114" s="268" t="str">
        <f t="shared" ca="1" si="58"/>
        <v xml:space="preserve"> </v>
      </c>
      <c r="C114" s="268"/>
      <c r="D114" s="269" t="str">
        <f ca="1">IF(O114=0,IF(O113=1,SUM(D$61:F113)," "),IF(O114=0," ",IF(O115=1,D$61,IF(O115=0,D$4-D$61*(N$49-1)," "))))</f>
        <v xml:space="preserve"> </v>
      </c>
      <c r="E114" s="269"/>
      <c r="F114" s="269"/>
      <c r="G114" s="87" t="str">
        <f ca="1">IF(O114=0,IF(O113=1,SUM(G$61:G113)," "),IF(N$36=1,Q114,IF(N$36=2,R114," ")))</f>
        <v xml:space="preserve"> </v>
      </c>
      <c r="H114" s="87">
        <v>0</v>
      </c>
      <c r="I114" s="87" t="str">
        <f t="shared" ca="1" si="59"/>
        <v xml:space="preserve"> </v>
      </c>
      <c r="J114" s="87">
        <f t="shared" ca="1" si="60"/>
        <v>0</v>
      </c>
      <c r="K114" s="87">
        <f t="shared" ca="1" si="41"/>
        <v>0</v>
      </c>
      <c r="L114" s="87">
        <v>0</v>
      </c>
      <c r="M114" s="87" t="str">
        <f t="shared" ca="1" si="61"/>
        <v xml:space="preserve"> </v>
      </c>
      <c r="N114" s="2">
        <v>54</v>
      </c>
      <c r="O114" s="2">
        <f t="shared" ca="1" si="34"/>
        <v>0</v>
      </c>
      <c r="P114" s="2">
        <f t="shared" ca="1" si="42"/>
        <v>20</v>
      </c>
      <c r="Q114" s="134">
        <f t="shared" ca="1" si="43"/>
        <v>0</v>
      </c>
      <c r="R114" s="134">
        <f t="shared" ca="1" si="44"/>
        <v>0</v>
      </c>
      <c r="S114" s="134">
        <f t="shared" ca="1" si="62"/>
        <v>0</v>
      </c>
      <c r="T114" s="134" t="str">
        <f t="shared" ca="1" si="63"/>
        <v xml:space="preserve"> </v>
      </c>
      <c r="U114" s="134" t="str">
        <f t="shared" ca="1" si="64"/>
        <v xml:space="preserve"> </v>
      </c>
      <c r="V114" s="134">
        <f t="shared" ca="1" si="77"/>
        <v>0</v>
      </c>
      <c r="W114" s="134">
        <f t="shared" ca="1" si="78"/>
        <v>0</v>
      </c>
      <c r="X114" s="134">
        <f t="shared" ca="1" si="65"/>
        <v>0</v>
      </c>
      <c r="Y114" s="134">
        <f t="shared" ca="1" si="66"/>
        <v>0</v>
      </c>
      <c r="Z114" s="134">
        <f t="shared" ca="1" si="45"/>
        <v>-6.2527760746888816E-13</v>
      </c>
      <c r="AA114" s="134">
        <f t="shared" ca="1" si="79"/>
        <v>0</v>
      </c>
      <c r="AB114" s="134">
        <f t="shared" ca="1" si="46"/>
        <v>0</v>
      </c>
      <c r="AC114" s="134">
        <f t="shared" ca="1" si="35"/>
        <v>0</v>
      </c>
      <c r="AD114" s="134"/>
      <c r="AE114" s="134">
        <f t="shared" ca="1" si="47"/>
        <v>0</v>
      </c>
      <c r="AF114" s="134">
        <f t="shared" ca="1" si="48"/>
        <v>0</v>
      </c>
      <c r="AG114" s="134">
        <f t="shared" ca="1" si="67"/>
        <v>0</v>
      </c>
      <c r="AH114" s="134">
        <f t="shared" ca="1" si="49"/>
        <v>0</v>
      </c>
      <c r="AI114" s="134">
        <f t="shared" ca="1" si="68"/>
        <v>0</v>
      </c>
      <c r="AJ114" s="134">
        <f t="shared" ca="1" si="50"/>
        <v>0</v>
      </c>
      <c r="AK114" s="134">
        <f t="shared" ca="1" si="51"/>
        <v>0</v>
      </c>
      <c r="AL114" s="134">
        <f t="shared" ca="1" si="80"/>
        <v>0</v>
      </c>
      <c r="AM114" s="134">
        <f t="shared" ca="1" si="81"/>
        <v>0</v>
      </c>
      <c r="AN114" s="132">
        <f t="shared" ca="1" si="69"/>
        <v>0</v>
      </c>
      <c r="AO114" s="132">
        <f t="shared" ca="1" si="52"/>
        <v>0</v>
      </c>
      <c r="AP114" s="2">
        <f t="shared" ca="1" si="70"/>
        <v>0</v>
      </c>
      <c r="AQ114" s="2">
        <f t="shared" ca="1" si="53"/>
        <v>0</v>
      </c>
      <c r="AR114" s="2">
        <f t="shared" ca="1" si="54"/>
        <v>0</v>
      </c>
      <c r="AS114" s="2">
        <f t="shared" ca="1" si="55"/>
        <v>30</v>
      </c>
      <c r="AT114" s="2">
        <f t="shared" si="56"/>
        <v>20</v>
      </c>
      <c r="AU114" s="2">
        <f t="shared" ca="1" si="71"/>
        <v>30</v>
      </c>
      <c r="AV114" s="2"/>
      <c r="AW114" s="2"/>
      <c r="AX114" s="2"/>
      <c r="AY114" s="2"/>
      <c r="AZ114" s="2"/>
      <c r="BA114" s="2">
        <f t="shared" ca="1" si="57"/>
        <v>0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customHeight="1">
      <c r="A115" s="4"/>
      <c r="B115" s="268" t="str">
        <f t="shared" ca="1" si="58"/>
        <v xml:space="preserve"> </v>
      </c>
      <c r="C115" s="268"/>
      <c r="D115" s="269" t="str">
        <f ca="1">IF(O115=0,IF(O114=1,SUM(D$61:F114)," "),IF(O115=0," ",IF(O116=1,D$61,IF(O116=0,D$4-D$61*(N$49-1)," "))))</f>
        <v xml:space="preserve"> </v>
      </c>
      <c r="E115" s="269"/>
      <c r="F115" s="269"/>
      <c r="G115" s="87" t="str">
        <f ca="1">IF(O115=0,IF(O114=1,SUM(G$61:G114)," "),IF(N$36=1,Q115,IF(N$36=2,R115," ")))</f>
        <v xml:space="preserve"> </v>
      </c>
      <c r="H115" s="87">
        <v>0</v>
      </c>
      <c r="I115" s="87" t="str">
        <f t="shared" ca="1" si="59"/>
        <v xml:space="preserve"> </v>
      </c>
      <c r="J115" s="87">
        <f t="shared" ca="1" si="60"/>
        <v>0</v>
      </c>
      <c r="K115" s="87">
        <f t="shared" ca="1" si="41"/>
        <v>0</v>
      </c>
      <c r="L115" s="87">
        <v>0</v>
      </c>
      <c r="M115" s="87" t="str">
        <f t="shared" ca="1" si="61"/>
        <v xml:space="preserve"> </v>
      </c>
      <c r="N115" s="2">
        <v>55</v>
      </c>
      <c r="O115" s="2">
        <f t="shared" ca="1" si="34"/>
        <v>0</v>
      </c>
      <c r="P115" s="2">
        <f t="shared" ca="1" si="42"/>
        <v>20</v>
      </c>
      <c r="Q115" s="134">
        <f t="shared" ca="1" si="43"/>
        <v>0</v>
      </c>
      <c r="R115" s="134">
        <f t="shared" ca="1" si="44"/>
        <v>0</v>
      </c>
      <c r="S115" s="134">
        <f t="shared" ca="1" si="62"/>
        <v>0</v>
      </c>
      <c r="T115" s="134" t="str">
        <f t="shared" ca="1" si="63"/>
        <v xml:space="preserve"> </v>
      </c>
      <c r="U115" s="134" t="str">
        <f t="shared" ca="1" si="64"/>
        <v xml:space="preserve"> </v>
      </c>
      <c r="V115" s="134">
        <f t="shared" ca="1" si="77"/>
        <v>0</v>
      </c>
      <c r="W115" s="134">
        <f t="shared" ca="1" si="78"/>
        <v>0</v>
      </c>
      <c r="X115" s="134">
        <f t="shared" ca="1" si="65"/>
        <v>0</v>
      </c>
      <c r="Y115" s="134">
        <f t="shared" ca="1" si="66"/>
        <v>0</v>
      </c>
      <c r="Z115" s="134">
        <f t="shared" ca="1" si="45"/>
        <v>-6.2527760746888816E-13</v>
      </c>
      <c r="AA115" s="134">
        <f t="shared" ca="1" si="79"/>
        <v>0</v>
      </c>
      <c r="AB115" s="134">
        <f t="shared" ca="1" si="46"/>
        <v>0</v>
      </c>
      <c r="AC115" s="134">
        <f t="shared" ca="1" si="35"/>
        <v>0</v>
      </c>
      <c r="AD115" s="134"/>
      <c r="AE115" s="134">
        <f t="shared" ca="1" si="47"/>
        <v>0</v>
      </c>
      <c r="AF115" s="134">
        <f t="shared" ca="1" si="48"/>
        <v>0</v>
      </c>
      <c r="AG115" s="134">
        <f t="shared" ca="1" si="67"/>
        <v>0</v>
      </c>
      <c r="AH115" s="134">
        <f t="shared" ca="1" si="49"/>
        <v>0</v>
      </c>
      <c r="AI115" s="134">
        <f t="shared" ca="1" si="68"/>
        <v>0</v>
      </c>
      <c r="AJ115" s="134">
        <f t="shared" ca="1" si="50"/>
        <v>0</v>
      </c>
      <c r="AK115" s="134">
        <f t="shared" ca="1" si="51"/>
        <v>0</v>
      </c>
      <c r="AL115" s="134">
        <f t="shared" ca="1" si="80"/>
        <v>0</v>
      </c>
      <c r="AM115" s="134">
        <f t="shared" ca="1" si="81"/>
        <v>0</v>
      </c>
      <c r="AN115" s="132">
        <f t="shared" ca="1" si="69"/>
        <v>0</v>
      </c>
      <c r="AO115" s="132">
        <f t="shared" ca="1" si="52"/>
        <v>0</v>
      </c>
      <c r="AP115" s="2">
        <f t="shared" ca="1" si="70"/>
        <v>0</v>
      </c>
      <c r="AQ115" s="2">
        <f t="shared" ca="1" si="53"/>
        <v>0</v>
      </c>
      <c r="AR115" s="2">
        <f t="shared" ca="1" si="54"/>
        <v>0</v>
      </c>
      <c r="AS115" s="2">
        <f t="shared" ca="1" si="55"/>
        <v>30</v>
      </c>
      <c r="AT115" s="2">
        <f t="shared" si="56"/>
        <v>20</v>
      </c>
      <c r="AU115" s="2">
        <f t="shared" ca="1" si="71"/>
        <v>30</v>
      </c>
      <c r="AV115" s="2"/>
      <c r="AW115" s="2"/>
      <c r="AX115" s="2"/>
      <c r="AY115" s="2"/>
      <c r="AZ115" s="2"/>
      <c r="BA115" s="2">
        <f t="shared" ca="1" si="57"/>
        <v>0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customHeight="1">
      <c r="A116" s="4"/>
      <c r="B116" s="268" t="str">
        <f t="shared" ca="1" si="58"/>
        <v xml:space="preserve"> </v>
      </c>
      <c r="C116" s="268"/>
      <c r="D116" s="269" t="str">
        <f ca="1">IF(O116=0,IF(O115=1,SUM(D$61:F115)," "),IF(O116=0," ",IF(O117=1,D$61,IF(O117=0,D$4-D$61*(N$49-1)," "))))</f>
        <v xml:space="preserve"> </v>
      </c>
      <c r="E116" s="269"/>
      <c r="F116" s="269"/>
      <c r="G116" s="87" t="str">
        <f ca="1">IF(O116=0,IF(O115=1,SUM(G$61:G115)," "),IF(N$36=1,Q116,IF(N$36=2,R116," ")))</f>
        <v xml:space="preserve"> </v>
      </c>
      <c r="H116" s="87">
        <v>0</v>
      </c>
      <c r="I116" s="87" t="str">
        <f t="shared" ca="1" si="59"/>
        <v xml:space="preserve"> </v>
      </c>
      <c r="J116" s="87">
        <f t="shared" ca="1" si="60"/>
        <v>0</v>
      </c>
      <c r="K116" s="87">
        <f t="shared" ca="1" si="41"/>
        <v>0</v>
      </c>
      <c r="L116" s="87">
        <v>0</v>
      </c>
      <c r="M116" s="87" t="str">
        <f t="shared" ca="1" si="61"/>
        <v xml:space="preserve"> </v>
      </c>
      <c r="N116" s="2">
        <v>56</v>
      </c>
      <c r="O116" s="2">
        <f t="shared" ca="1" si="34"/>
        <v>0</v>
      </c>
      <c r="P116" s="2">
        <f t="shared" ca="1" si="42"/>
        <v>20</v>
      </c>
      <c r="Q116" s="134">
        <f t="shared" ca="1" si="43"/>
        <v>0</v>
      </c>
      <c r="R116" s="134">
        <f t="shared" ca="1" si="44"/>
        <v>0</v>
      </c>
      <c r="S116" s="134">
        <f t="shared" ca="1" si="62"/>
        <v>0</v>
      </c>
      <c r="T116" s="134" t="str">
        <f t="shared" ca="1" si="63"/>
        <v xml:space="preserve"> </v>
      </c>
      <c r="U116" s="134" t="str">
        <f t="shared" ca="1" si="64"/>
        <v xml:space="preserve"> </v>
      </c>
      <c r="V116" s="134">
        <f t="shared" ca="1" si="77"/>
        <v>0</v>
      </c>
      <c r="W116" s="134">
        <f t="shared" ca="1" si="78"/>
        <v>0</v>
      </c>
      <c r="X116" s="134">
        <f t="shared" ca="1" si="65"/>
        <v>0</v>
      </c>
      <c r="Y116" s="134">
        <f t="shared" ca="1" si="66"/>
        <v>0</v>
      </c>
      <c r="Z116" s="134">
        <f t="shared" ca="1" si="45"/>
        <v>-6.2527760746888816E-13</v>
      </c>
      <c r="AA116" s="134">
        <f t="shared" ca="1" si="79"/>
        <v>0</v>
      </c>
      <c r="AB116" s="134">
        <f t="shared" ca="1" si="46"/>
        <v>0</v>
      </c>
      <c r="AC116" s="134">
        <f t="shared" ca="1" si="35"/>
        <v>0</v>
      </c>
      <c r="AD116" s="134"/>
      <c r="AE116" s="134">
        <f t="shared" ca="1" si="47"/>
        <v>0</v>
      </c>
      <c r="AF116" s="134">
        <f t="shared" ca="1" si="48"/>
        <v>0</v>
      </c>
      <c r="AG116" s="134">
        <f t="shared" ca="1" si="67"/>
        <v>0</v>
      </c>
      <c r="AH116" s="134">
        <f t="shared" ca="1" si="49"/>
        <v>0</v>
      </c>
      <c r="AI116" s="134">
        <f t="shared" ca="1" si="68"/>
        <v>0</v>
      </c>
      <c r="AJ116" s="134">
        <f t="shared" ca="1" si="50"/>
        <v>0</v>
      </c>
      <c r="AK116" s="134">
        <f t="shared" ca="1" si="51"/>
        <v>0</v>
      </c>
      <c r="AL116" s="134">
        <f t="shared" ca="1" si="80"/>
        <v>0</v>
      </c>
      <c r="AM116" s="134">
        <f t="shared" ca="1" si="81"/>
        <v>0</v>
      </c>
      <c r="AN116" s="132">
        <f t="shared" ca="1" si="69"/>
        <v>0</v>
      </c>
      <c r="AO116" s="132">
        <f t="shared" ca="1" si="52"/>
        <v>0</v>
      </c>
      <c r="AP116" s="2">
        <f t="shared" ca="1" si="70"/>
        <v>0</v>
      </c>
      <c r="AQ116" s="2">
        <f t="shared" ca="1" si="53"/>
        <v>0</v>
      </c>
      <c r="AR116" s="2">
        <f t="shared" ca="1" si="54"/>
        <v>0</v>
      </c>
      <c r="AS116" s="2">
        <f t="shared" ca="1" si="55"/>
        <v>30</v>
      </c>
      <c r="AT116" s="2">
        <f t="shared" si="56"/>
        <v>20</v>
      </c>
      <c r="AU116" s="2">
        <f t="shared" ca="1" si="71"/>
        <v>30</v>
      </c>
      <c r="AV116" s="2"/>
      <c r="AW116" s="2"/>
      <c r="AX116" s="2"/>
      <c r="AY116" s="2"/>
      <c r="AZ116" s="2"/>
      <c r="BA116" s="2">
        <f t="shared" ca="1" si="57"/>
        <v>0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customHeight="1">
      <c r="A117" s="4"/>
      <c r="B117" s="268" t="str">
        <f t="shared" ca="1" si="58"/>
        <v xml:space="preserve"> </v>
      </c>
      <c r="C117" s="268"/>
      <c r="D117" s="269" t="str">
        <f ca="1">IF(O117=0,IF(O116=1,SUM(D$61:F116)," "),IF(O117=0," ",IF(O118=1,D$61,IF(O118=0,D$4-D$61*(N$49-1)," "))))</f>
        <v xml:space="preserve"> </v>
      </c>
      <c r="E117" s="269"/>
      <c r="F117" s="269"/>
      <c r="G117" s="87" t="str">
        <f ca="1">IF(O117=0,IF(O116=1,SUM(G$61:G116)," "),IF(N$36=1,Q117,IF(N$36=2,R117," ")))</f>
        <v xml:space="preserve"> </v>
      </c>
      <c r="H117" s="87">
        <v>0</v>
      </c>
      <c r="I117" s="87" t="str">
        <f t="shared" ca="1" si="59"/>
        <v xml:space="preserve"> </v>
      </c>
      <c r="J117" s="87">
        <f t="shared" ca="1" si="60"/>
        <v>0</v>
      </c>
      <c r="K117" s="87">
        <f t="shared" ca="1" si="41"/>
        <v>0</v>
      </c>
      <c r="L117" s="87">
        <v>0</v>
      </c>
      <c r="M117" s="87" t="str">
        <f t="shared" ca="1" si="61"/>
        <v xml:space="preserve"> </v>
      </c>
      <c r="N117" s="2">
        <v>57</v>
      </c>
      <c r="O117" s="2">
        <f t="shared" ca="1" si="34"/>
        <v>0</v>
      </c>
      <c r="P117" s="2">
        <f t="shared" ca="1" si="42"/>
        <v>20</v>
      </c>
      <c r="Q117" s="134">
        <f t="shared" ca="1" si="43"/>
        <v>0</v>
      </c>
      <c r="R117" s="134">
        <f t="shared" ca="1" si="44"/>
        <v>0</v>
      </c>
      <c r="S117" s="134">
        <f t="shared" ca="1" si="62"/>
        <v>0</v>
      </c>
      <c r="T117" s="134" t="str">
        <f t="shared" ca="1" si="63"/>
        <v xml:space="preserve"> </v>
      </c>
      <c r="U117" s="134" t="str">
        <f t="shared" ca="1" si="64"/>
        <v xml:space="preserve"> </v>
      </c>
      <c r="V117" s="134">
        <f t="shared" ca="1" si="77"/>
        <v>0</v>
      </c>
      <c r="W117" s="134">
        <f t="shared" ca="1" si="78"/>
        <v>0</v>
      </c>
      <c r="X117" s="134">
        <f t="shared" ca="1" si="65"/>
        <v>0</v>
      </c>
      <c r="Y117" s="134">
        <f t="shared" ca="1" si="66"/>
        <v>0</v>
      </c>
      <c r="Z117" s="134">
        <f t="shared" ca="1" si="45"/>
        <v>-6.2527760746888816E-13</v>
      </c>
      <c r="AA117" s="134">
        <f t="shared" ca="1" si="79"/>
        <v>0</v>
      </c>
      <c r="AB117" s="134">
        <f t="shared" ca="1" si="46"/>
        <v>0</v>
      </c>
      <c r="AC117" s="134">
        <f t="shared" ca="1" si="35"/>
        <v>0</v>
      </c>
      <c r="AD117" s="134"/>
      <c r="AE117" s="134">
        <f t="shared" ca="1" si="47"/>
        <v>0</v>
      </c>
      <c r="AF117" s="134">
        <f t="shared" ca="1" si="48"/>
        <v>0</v>
      </c>
      <c r="AG117" s="134">
        <f t="shared" ca="1" si="67"/>
        <v>0</v>
      </c>
      <c r="AH117" s="134">
        <f t="shared" ca="1" si="49"/>
        <v>0</v>
      </c>
      <c r="AI117" s="134">
        <f t="shared" ca="1" si="68"/>
        <v>0</v>
      </c>
      <c r="AJ117" s="134">
        <f t="shared" ca="1" si="50"/>
        <v>0</v>
      </c>
      <c r="AK117" s="134">
        <f t="shared" ca="1" si="51"/>
        <v>0</v>
      </c>
      <c r="AL117" s="134">
        <f t="shared" ca="1" si="80"/>
        <v>0</v>
      </c>
      <c r="AM117" s="134">
        <f t="shared" ca="1" si="81"/>
        <v>0</v>
      </c>
      <c r="AN117" s="132">
        <f t="shared" ca="1" si="69"/>
        <v>0</v>
      </c>
      <c r="AO117" s="132">
        <f t="shared" ca="1" si="52"/>
        <v>0</v>
      </c>
      <c r="AP117" s="2">
        <f t="shared" ca="1" si="70"/>
        <v>0</v>
      </c>
      <c r="AQ117" s="2">
        <f t="shared" ca="1" si="53"/>
        <v>0</v>
      </c>
      <c r="AR117" s="2">
        <f t="shared" ca="1" si="54"/>
        <v>0</v>
      </c>
      <c r="AS117" s="2">
        <f t="shared" ca="1" si="55"/>
        <v>30</v>
      </c>
      <c r="AT117" s="2">
        <f t="shared" si="56"/>
        <v>20</v>
      </c>
      <c r="AU117" s="2">
        <f t="shared" ca="1" si="71"/>
        <v>30</v>
      </c>
      <c r="AV117" s="2"/>
      <c r="AW117" s="2"/>
      <c r="AX117" s="2"/>
      <c r="AY117" s="2"/>
      <c r="AZ117" s="2"/>
      <c r="BA117" s="2">
        <f t="shared" ca="1" si="57"/>
        <v>0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5" customHeight="1">
      <c r="A118" s="4"/>
      <c r="B118" s="268" t="str">
        <f t="shared" ca="1" si="58"/>
        <v xml:space="preserve"> </v>
      </c>
      <c r="C118" s="268"/>
      <c r="D118" s="269" t="str">
        <f ca="1">IF(O118=0,IF(O117=1,SUM(D$61:F117)," "),IF(O118=0," ",IF(O119=1,D$61,IF(O119=0,D$4-D$61*(N$49-1)," "))))</f>
        <v xml:space="preserve"> </v>
      </c>
      <c r="E118" s="269"/>
      <c r="F118" s="269"/>
      <c r="G118" s="87" t="str">
        <f ca="1">IF(O118=0,IF(O117=1,SUM(G$61:G117)," "),IF(N$36=1,Q118,IF(N$36=2,R118," ")))</f>
        <v xml:space="preserve"> </v>
      </c>
      <c r="H118" s="87">
        <v>0</v>
      </c>
      <c r="I118" s="87" t="str">
        <f t="shared" ca="1" si="59"/>
        <v xml:space="preserve"> </v>
      </c>
      <c r="J118" s="87">
        <f t="shared" ca="1" si="60"/>
        <v>0</v>
      </c>
      <c r="K118" s="87">
        <f t="shared" ca="1" si="41"/>
        <v>0</v>
      </c>
      <c r="L118" s="87">
        <v>0</v>
      </c>
      <c r="M118" s="87" t="str">
        <f t="shared" ca="1" si="61"/>
        <v xml:space="preserve"> </v>
      </c>
      <c r="N118" s="2">
        <v>58</v>
      </c>
      <c r="O118" s="2">
        <f t="shared" ca="1" si="34"/>
        <v>0</v>
      </c>
      <c r="P118" s="2">
        <f t="shared" ca="1" si="42"/>
        <v>20</v>
      </c>
      <c r="Q118" s="134">
        <f t="shared" ca="1" si="43"/>
        <v>0</v>
      </c>
      <c r="R118" s="134">
        <f t="shared" ca="1" si="44"/>
        <v>0</v>
      </c>
      <c r="S118" s="134">
        <f t="shared" ca="1" si="62"/>
        <v>0</v>
      </c>
      <c r="T118" s="134" t="str">
        <f t="shared" ca="1" si="63"/>
        <v xml:space="preserve"> </v>
      </c>
      <c r="U118" s="134" t="str">
        <f t="shared" ca="1" si="64"/>
        <v xml:space="preserve"> </v>
      </c>
      <c r="V118" s="134">
        <f t="shared" ca="1" si="77"/>
        <v>0</v>
      </c>
      <c r="W118" s="134">
        <f t="shared" ca="1" si="78"/>
        <v>0</v>
      </c>
      <c r="X118" s="134">
        <f t="shared" ca="1" si="65"/>
        <v>0</v>
      </c>
      <c r="Y118" s="134">
        <f t="shared" ca="1" si="66"/>
        <v>0</v>
      </c>
      <c r="Z118" s="134">
        <f t="shared" ca="1" si="45"/>
        <v>-6.2527760746888816E-13</v>
      </c>
      <c r="AA118" s="134">
        <f t="shared" ca="1" si="79"/>
        <v>0</v>
      </c>
      <c r="AB118" s="134">
        <f t="shared" ca="1" si="46"/>
        <v>0</v>
      </c>
      <c r="AC118" s="134">
        <f t="shared" ca="1" si="35"/>
        <v>0</v>
      </c>
      <c r="AD118" s="134"/>
      <c r="AE118" s="134">
        <f t="shared" ca="1" si="47"/>
        <v>0</v>
      </c>
      <c r="AF118" s="134">
        <f t="shared" ca="1" si="48"/>
        <v>0</v>
      </c>
      <c r="AG118" s="134">
        <f t="shared" ca="1" si="67"/>
        <v>0</v>
      </c>
      <c r="AH118" s="134">
        <f t="shared" ca="1" si="49"/>
        <v>0</v>
      </c>
      <c r="AI118" s="134">
        <f t="shared" ca="1" si="68"/>
        <v>0</v>
      </c>
      <c r="AJ118" s="134">
        <f t="shared" ca="1" si="50"/>
        <v>0</v>
      </c>
      <c r="AK118" s="134">
        <f t="shared" ca="1" si="51"/>
        <v>0</v>
      </c>
      <c r="AL118" s="134">
        <f t="shared" ca="1" si="80"/>
        <v>0</v>
      </c>
      <c r="AM118" s="134">
        <f t="shared" ca="1" si="81"/>
        <v>0</v>
      </c>
      <c r="AN118" s="132">
        <f t="shared" ca="1" si="69"/>
        <v>0</v>
      </c>
      <c r="AO118" s="132">
        <f t="shared" ca="1" si="52"/>
        <v>0</v>
      </c>
      <c r="AP118" s="2">
        <f t="shared" ca="1" si="70"/>
        <v>0</v>
      </c>
      <c r="AQ118" s="2">
        <f t="shared" ca="1" si="53"/>
        <v>0</v>
      </c>
      <c r="AR118" s="2">
        <f t="shared" ca="1" si="54"/>
        <v>0</v>
      </c>
      <c r="AS118" s="2">
        <f t="shared" ca="1" si="55"/>
        <v>30</v>
      </c>
      <c r="AT118" s="2">
        <f t="shared" si="56"/>
        <v>20</v>
      </c>
      <c r="AU118" s="2">
        <f t="shared" ca="1" si="71"/>
        <v>30</v>
      </c>
      <c r="AV118" s="2"/>
      <c r="AW118" s="2"/>
      <c r="AX118" s="2"/>
      <c r="AY118" s="2"/>
      <c r="AZ118" s="2"/>
      <c r="BA118" s="2">
        <f t="shared" ca="1" si="57"/>
        <v>0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5" customHeight="1">
      <c r="A119" s="4"/>
      <c r="B119" s="268" t="str">
        <f t="shared" ca="1" si="58"/>
        <v xml:space="preserve"> </v>
      </c>
      <c r="C119" s="268"/>
      <c r="D119" s="269" t="str">
        <f ca="1">IF(O119=0,IF(O118=1,SUM(D$61:F118)," "),IF(O119=0," ",IF(O120=1,D$61,IF(O120=0,D$4-D$61*(N$49-1)," "))))</f>
        <v xml:space="preserve"> </v>
      </c>
      <c r="E119" s="269"/>
      <c r="F119" s="269"/>
      <c r="G119" s="87" t="str">
        <f ca="1">IF(O119=0,IF(O118=1,SUM(G$61:G118)," "),IF(N$36=1,Q119,IF(N$36=2,R119," ")))</f>
        <v xml:space="preserve"> </v>
      </c>
      <c r="H119" s="87">
        <v>0</v>
      </c>
      <c r="I119" s="87" t="str">
        <f t="shared" ca="1" si="59"/>
        <v xml:space="preserve"> </v>
      </c>
      <c r="J119" s="87">
        <f t="shared" ca="1" si="60"/>
        <v>0</v>
      </c>
      <c r="K119" s="87">
        <f t="shared" ca="1" si="41"/>
        <v>0</v>
      </c>
      <c r="L119" s="87">
        <v>0</v>
      </c>
      <c r="M119" s="87" t="str">
        <f t="shared" ca="1" si="61"/>
        <v xml:space="preserve"> </v>
      </c>
      <c r="N119" s="2">
        <v>59</v>
      </c>
      <c r="O119" s="2">
        <f t="shared" ca="1" si="34"/>
        <v>0</v>
      </c>
      <c r="P119" s="2">
        <f t="shared" ca="1" si="42"/>
        <v>20</v>
      </c>
      <c r="Q119" s="134">
        <f t="shared" ca="1" si="43"/>
        <v>0</v>
      </c>
      <c r="R119" s="134">
        <f t="shared" ca="1" si="44"/>
        <v>0</v>
      </c>
      <c r="S119" s="134">
        <f t="shared" ca="1" si="62"/>
        <v>0</v>
      </c>
      <c r="T119" s="134" t="str">
        <f t="shared" ca="1" si="63"/>
        <v xml:space="preserve"> </v>
      </c>
      <c r="U119" s="134" t="str">
        <f t="shared" ca="1" si="64"/>
        <v xml:space="preserve"> </v>
      </c>
      <c r="V119" s="134">
        <f t="shared" ca="1" si="77"/>
        <v>0</v>
      </c>
      <c r="W119" s="134">
        <f t="shared" ca="1" si="78"/>
        <v>0</v>
      </c>
      <c r="X119" s="134">
        <f t="shared" ca="1" si="65"/>
        <v>0</v>
      </c>
      <c r="Y119" s="134">
        <f t="shared" ca="1" si="66"/>
        <v>0</v>
      </c>
      <c r="Z119" s="134">
        <f t="shared" ca="1" si="45"/>
        <v>-6.2527760746888816E-13</v>
      </c>
      <c r="AA119" s="134">
        <f t="shared" ca="1" si="79"/>
        <v>0</v>
      </c>
      <c r="AB119" s="134">
        <f t="shared" ca="1" si="46"/>
        <v>0</v>
      </c>
      <c r="AC119" s="134">
        <f t="shared" ca="1" si="35"/>
        <v>0</v>
      </c>
      <c r="AD119" s="134"/>
      <c r="AE119" s="134">
        <f t="shared" ca="1" si="47"/>
        <v>0</v>
      </c>
      <c r="AF119" s="134">
        <f t="shared" ca="1" si="48"/>
        <v>0</v>
      </c>
      <c r="AG119" s="134">
        <f t="shared" ca="1" si="67"/>
        <v>0</v>
      </c>
      <c r="AH119" s="134">
        <f t="shared" ca="1" si="49"/>
        <v>0</v>
      </c>
      <c r="AI119" s="134">
        <f t="shared" ca="1" si="68"/>
        <v>0</v>
      </c>
      <c r="AJ119" s="134">
        <f t="shared" ca="1" si="50"/>
        <v>0</v>
      </c>
      <c r="AK119" s="134">
        <f t="shared" ca="1" si="51"/>
        <v>0</v>
      </c>
      <c r="AL119" s="134">
        <f t="shared" ca="1" si="80"/>
        <v>0</v>
      </c>
      <c r="AM119" s="134">
        <f t="shared" ca="1" si="81"/>
        <v>0</v>
      </c>
      <c r="AN119" s="132">
        <f t="shared" ca="1" si="69"/>
        <v>0</v>
      </c>
      <c r="AO119" s="132">
        <f t="shared" ca="1" si="52"/>
        <v>0</v>
      </c>
      <c r="AP119" s="2">
        <f t="shared" ca="1" si="70"/>
        <v>0</v>
      </c>
      <c r="AQ119" s="2">
        <f t="shared" ca="1" si="53"/>
        <v>0</v>
      </c>
      <c r="AR119" s="2">
        <f t="shared" ca="1" si="54"/>
        <v>0</v>
      </c>
      <c r="AS119" s="2">
        <f t="shared" ca="1" si="55"/>
        <v>30</v>
      </c>
      <c r="AT119" s="2">
        <f t="shared" si="56"/>
        <v>20</v>
      </c>
      <c r="AU119" s="2">
        <f t="shared" ca="1" si="71"/>
        <v>30</v>
      </c>
      <c r="AV119" s="2"/>
      <c r="AW119" s="2"/>
      <c r="AX119" s="2"/>
      <c r="AY119" s="2"/>
      <c r="AZ119" s="2"/>
      <c r="BA119" s="2">
        <f t="shared" ca="1" si="57"/>
        <v>0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5" customHeight="1">
      <c r="A120" s="4"/>
      <c r="B120" s="268" t="str">
        <f t="shared" ca="1" si="58"/>
        <v xml:space="preserve"> </v>
      </c>
      <c r="C120" s="268"/>
      <c r="D120" s="269" t="str">
        <f ca="1">IF(O120=0,IF(O119=1,SUM(D$61:F119)," "),IF(O120=0," ",IF(O121=1,D$61,IF(O121=0,D$4-D$61*(N$49-1)," "))))</f>
        <v xml:space="preserve"> </v>
      </c>
      <c r="E120" s="269"/>
      <c r="F120" s="269"/>
      <c r="G120" s="87" t="str">
        <f ca="1">IF(O120=0,IF(O119=1,SUM(G$61:G119)," "),IF(N$36=1,Q120,IF(N$36=2,R120," ")))</f>
        <v xml:space="preserve"> </v>
      </c>
      <c r="H120" s="87">
        <v>0</v>
      </c>
      <c r="I120" s="87" t="str">
        <f t="shared" ca="1" si="59"/>
        <v xml:space="preserve"> </v>
      </c>
      <c r="J120" s="87">
        <f t="shared" ca="1" si="60"/>
        <v>0</v>
      </c>
      <c r="K120" s="87">
        <f t="shared" ca="1" si="41"/>
        <v>0</v>
      </c>
      <c r="L120" s="87">
        <v>0</v>
      </c>
      <c r="M120" s="87" t="str">
        <f t="shared" ca="1" si="61"/>
        <v xml:space="preserve"> </v>
      </c>
      <c r="N120" s="2">
        <v>60</v>
      </c>
      <c r="O120" s="2">
        <f t="shared" ca="1" si="34"/>
        <v>0</v>
      </c>
      <c r="P120" s="2">
        <f t="shared" ca="1" si="42"/>
        <v>20</v>
      </c>
      <c r="Q120" s="134">
        <f t="shared" ca="1" si="43"/>
        <v>0</v>
      </c>
      <c r="R120" s="134">
        <f t="shared" ca="1" si="44"/>
        <v>0</v>
      </c>
      <c r="S120" s="134">
        <f t="shared" ca="1" si="62"/>
        <v>0</v>
      </c>
      <c r="T120" s="134" t="str">
        <f t="shared" ca="1" si="63"/>
        <v xml:space="preserve"> </v>
      </c>
      <c r="U120" s="134" t="str">
        <f t="shared" ca="1" si="64"/>
        <v xml:space="preserve"> </v>
      </c>
      <c r="V120" s="134">
        <f t="shared" ca="1" si="77"/>
        <v>0</v>
      </c>
      <c r="W120" s="134">
        <f t="shared" ca="1" si="78"/>
        <v>0</v>
      </c>
      <c r="X120" s="134">
        <f t="shared" ca="1" si="65"/>
        <v>0</v>
      </c>
      <c r="Y120" s="134">
        <f t="shared" ca="1" si="66"/>
        <v>0</v>
      </c>
      <c r="Z120" s="134">
        <f t="shared" ca="1" si="45"/>
        <v>-6.2527760746888816E-13</v>
      </c>
      <c r="AA120" s="134">
        <f t="shared" ca="1" si="79"/>
        <v>0</v>
      </c>
      <c r="AB120" s="134">
        <f t="shared" ca="1" si="46"/>
        <v>0</v>
      </c>
      <c r="AC120" s="134">
        <f t="shared" ca="1" si="35"/>
        <v>0</v>
      </c>
      <c r="AD120" s="134"/>
      <c r="AE120" s="134">
        <f t="shared" ca="1" si="47"/>
        <v>0</v>
      </c>
      <c r="AF120" s="134">
        <f t="shared" ca="1" si="48"/>
        <v>0</v>
      </c>
      <c r="AG120" s="134">
        <f t="shared" ca="1" si="67"/>
        <v>0</v>
      </c>
      <c r="AH120" s="134">
        <f t="shared" ca="1" si="49"/>
        <v>0</v>
      </c>
      <c r="AI120" s="134">
        <f t="shared" ca="1" si="68"/>
        <v>0</v>
      </c>
      <c r="AJ120" s="134">
        <f t="shared" ca="1" si="50"/>
        <v>0</v>
      </c>
      <c r="AK120" s="134">
        <f t="shared" ca="1" si="51"/>
        <v>0</v>
      </c>
      <c r="AL120" s="134">
        <f t="shared" ca="1" si="80"/>
        <v>0</v>
      </c>
      <c r="AM120" s="134">
        <f t="shared" ca="1" si="81"/>
        <v>0</v>
      </c>
      <c r="AN120" s="132">
        <f t="shared" ca="1" si="69"/>
        <v>0</v>
      </c>
      <c r="AO120" s="132">
        <f t="shared" ca="1" si="52"/>
        <v>0</v>
      </c>
      <c r="AP120" s="2">
        <f t="shared" ca="1" si="70"/>
        <v>0</v>
      </c>
      <c r="AQ120" s="2">
        <f t="shared" ca="1" si="53"/>
        <v>0</v>
      </c>
      <c r="AR120" s="2">
        <f t="shared" ca="1" si="54"/>
        <v>0</v>
      </c>
      <c r="AS120" s="2">
        <f t="shared" ca="1" si="55"/>
        <v>30</v>
      </c>
      <c r="AT120" s="2">
        <f t="shared" si="56"/>
        <v>20</v>
      </c>
      <c r="AU120" s="2">
        <f t="shared" ca="1" si="71"/>
        <v>30</v>
      </c>
      <c r="AV120" s="2"/>
      <c r="AW120" s="2"/>
      <c r="AX120" s="2"/>
      <c r="AY120" s="2"/>
      <c r="AZ120" s="2"/>
      <c r="BA120" s="2">
        <f t="shared" ca="1" si="57"/>
        <v>0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5" customHeight="1">
      <c r="A121" s="4"/>
      <c r="B121" s="268" t="str">
        <f t="shared" ca="1" si="58"/>
        <v xml:space="preserve"> </v>
      </c>
      <c r="C121" s="268"/>
      <c r="D121" s="269" t="str">
        <f ca="1">IF(O121=0,IF(O120=1,SUM(D$61:F120)," "),IF(O121=0," ",IF(O122=1,D$61,IF(O122=0,D$4-D$61*(N$49-1)," "))))</f>
        <v xml:space="preserve"> </v>
      </c>
      <c r="E121" s="269"/>
      <c r="F121" s="269"/>
      <c r="G121" s="87" t="str">
        <f ca="1">IF(O121=0,IF(O120=1,SUM(G$61:G120)," "),IF(N$36=1,Q121,IF(N$36=2,R121," ")))</f>
        <v xml:space="preserve"> </v>
      </c>
      <c r="H121" s="87">
        <v>0</v>
      </c>
      <c r="I121" s="87" t="str">
        <f t="shared" ca="1" si="59"/>
        <v xml:space="preserve"> </v>
      </c>
      <c r="J121" s="87">
        <f t="shared" ca="1" si="60"/>
        <v>0</v>
      </c>
      <c r="K121" s="87">
        <f t="shared" ca="1" si="41"/>
        <v>0</v>
      </c>
      <c r="L121" s="87">
        <v>0</v>
      </c>
      <c r="M121" s="87" t="str">
        <f t="shared" ca="1" si="61"/>
        <v xml:space="preserve"> </v>
      </c>
      <c r="N121" s="2">
        <v>61</v>
      </c>
      <c r="O121" s="2">
        <f t="shared" ca="1" si="34"/>
        <v>0</v>
      </c>
      <c r="P121" s="2">
        <f t="shared" ca="1" si="42"/>
        <v>20</v>
      </c>
      <c r="Q121" s="134">
        <f t="shared" ca="1" si="43"/>
        <v>0</v>
      </c>
      <c r="R121" s="134">
        <f t="shared" ca="1" si="44"/>
        <v>0</v>
      </c>
      <c r="S121" s="134">
        <f t="shared" ca="1" si="62"/>
        <v>0</v>
      </c>
      <c r="T121" s="134" t="str">
        <f t="shared" ca="1" si="63"/>
        <v xml:space="preserve"> </v>
      </c>
      <c r="U121" s="134" t="str">
        <f t="shared" ca="1" si="64"/>
        <v xml:space="preserve"> </v>
      </c>
      <c r="V121" s="134">
        <f ca="1">IF(O122=1,S120*D$5*20/36000+S121*D$5*10/36000,IF(O122=0,IF(O121=0,0,IF(D$9&gt;20,S120*D$5*20/36000+S121*D$5*(R$47-20)/36000,S121*D$5*R$47/36000))))</f>
        <v>0</v>
      </c>
      <c r="W121" s="134">
        <f ca="1">IF(O122=1,S120*D$5*20/36000+S121*D$5*10/36000,IF(O122=0,IF(O121=0,0,IF(D$9&gt;20,S120*D$5*20/36000+S121*D$5*(R$47-20)/36000,S121*D$5*R$47/36000))))</f>
        <v>0</v>
      </c>
      <c r="X121" s="134">
        <f ca="1">IF(O122=1,D4*D$5*20/36000+D4*D$5*10/36000,IF(O122=0,IF(O121=0,0,D4*D$5*R$47/36000)))</f>
        <v>0</v>
      </c>
      <c r="Y121" s="134">
        <f t="shared" ca="1" si="66"/>
        <v>0</v>
      </c>
      <c r="Z121" s="134">
        <f t="shared" ca="1" si="45"/>
        <v>-6.2527760746888816E-13</v>
      </c>
      <c r="AA121" s="134">
        <f ca="1">IF(O122=1,Z120*D$5*20/36000+Z121*D$5*10/36000,IF(O122=0,IF(O121=0,0,IF(D$9&gt;20,Z120*D$5*20/36000+Z121*D$5*(R$47-20)/36000,Z121*D$5*R$47/36000))))</f>
        <v>0</v>
      </c>
      <c r="AB121" s="134">
        <f t="shared" ca="1" si="46"/>
        <v>0</v>
      </c>
      <c r="AC121" s="134">
        <f ca="1">S121*R$47</f>
        <v>0</v>
      </c>
      <c r="AD121" s="134"/>
      <c r="AE121" s="134">
        <f t="shared" ca="1" si="47"/>
        <v>0</v>
      </c>
      <c r="AF121" s="134">
        <f t="shared" ca="1" si="48"/>
        <v>0</v>
      </c>
      <c r="AG121" s="134">
        <f ca="1">IF(O122=1,D4*H$47*20/36000+D4*H$47*10/36000,IF(O122=0,IF(O121=0,0,D4*H$47*R$47/36000)))</f>
        <v>0</v>
      </c>
      <c r="AH121" s="134">
        <f t="shared" ca="1" si="49"/>
        <v>0</v>
      </c>
      <c r="AI121" s="134">
        <f ca="1">IF(O122=1,Z120*H$47*20/36000+Z121*H$47*10/36000,IF(O122=0,IF(O121=0,0,Z121*H$47*R$47/36000)))</f>
        <v>0</v>
      </c>
      <c r="AJ121" s="134">
        <f t="shared" ca="1" si="50"/>
        <v>0</v>
      </c>
      <c r="AK121" s="134">
        <f t="shared" ca="1" si="51"/>
        <v>0</v>
      </c>
      <c r="AL121" s="134">
        <f ca="1">IF(O122=1,AK120*H$47*20/36000+AK121*H$47*10/36000,IF(O122=0,IF(O121=0,0,AK121*H$47*R$47/36000)))</f>
        <v>0</v>
      </c>
      <c r="AM121" s="134">
        <f ca="1">IF(O122=1,AK120*H$47*20/36000+AK121*H$47*10/36000,IF(O122=0,IF(O121=0,0,AK121*H$47*R$47/36000)))</f>
        <v>0</v>
      </c>
      <c r="AN121" s="132">
        <f t="shared" ca="1" si="69"/>
        <v>0</v>
      </c>
      <c r="AO121" s="132">
        <f t="shared" ca="1" si="52"/>
        <v>0</v>
      </c>
      <c r="AP121" s="2">
        <f t="shared" ca="1" si="70"/>
        <v>0</v>
      </c>
      <c r="AQ121" s="2">
        <f t="shared" ca="1" si="53"/>
        <v>0</v>
      </c>
      <c r="AR121" s="2">
        <f t="shared" ca="1" si="54"/>
        <v>0</v>
      </c>
      <c r="AS121" s="2">
        <f t="shared" ca="1" si="55"/>
        <v>30</v>
      </c>
      <c r="AT121" s="2">
        <f t="shared" si="56"/>
        <v>20</v>
      </c>
      <c r="AU121" s="2">
        <f t="shared" ca="1" si="71"/>
        <v>30</v>
      </c>
      <c r="AV121" s="2"/>
      <c r="AW121" s="2"/>
      <c r="AX121" s="2"/>
      <c r="AY121" s="2"/>
      <c r="AZ121" s="2"/>
      <c r="BA121" s="2">
        <f t="shared" ca="1" si="57"/>
        <v>0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175" customFormat="1" ht="15" customHeight="1">
      <c r="B122" s="568" t="s">
        <v>269</v>
      </c>
      <c r="C122" s="568"/>
      <c r="D122" s="567">
        <f ca="1">SUM(D61:F120)</f>
        <v>6000</v>
      </c>
      <c r="E122" s="567"/>
      <c r="F122" s="567"/>
      <c r="G122" s="567">
        <f ca="1">SUM(G61:H120)</f>
        <v>1049.8541666666667</v>
      </c>
      <c r="H122" s="567"/>
      <c r="I122" s="197">
        <f ca="1">SUM(I61:I120)</f>
        <v>7049.8541666666661</v>
      </c>
      <c r="J122" s="197">
        <f ca="1">SUM(J61:J120)</f>
        <v>3391.7984189723329</v>
      </c>
      <c r="K122" s="567">
        <f ca="1">SUM(K61:L120)</f>
        <v>585.15074333333337</v>
      </c>
      <c r="L122" s="567"/>
      <c r="M122" s="197">
        <f ca="1">SUM(M61:M120)</f>
        <v>3976.9491623056656</v>
      </c>
      <c r="N122" s="198"/>
      <c r="O122" s="177"/>
      <c r="P122" s="177"/>
      <c r="Q122" s="178"/>
      <c r="R122" s="178"/>
      <c r="S122" s="178"/>
      <c r="T122" s="178"/>
      <c r="U122" s="178"/>
      <c r="V122" s="178">
        <f ca="1">SUM(V61:V121)</f>
        <v>524.92708333333337</v>
      </c>
      <c r="W122" s="178">
        <f ca="1">SUM(W61:W121)</f>
        <v>524.92708333333337</v>
      </c>
      <c r="X122" s="178">
        <f ca="1">SUM(X61:X121)</f>
        <v>968.43333333333339</v>
      </c>
      <c r="Y122" s="178">
        <f ca="1">SUM(Y61:Y121)</f>
        <v>960</v>
      </c>
      <c r="Z122" s="178"/>
      <c r="AA122" s="178"/>
      <c r="AB122" s="178"/>
      <c r="AC122" s="178">
        <f ca="1">SUM(AC61:AC121)</f>
        <v>1167500</v>
      </c>
      <c r="AD122" s="178"/>
      <c r="AE122" s="178" t="e">
        <f ca="1">SUM(AE61:AE121)</f>
        <v>#REF!</v>
      </c>
      <c r="AF122" s="178" t="e">
        <f ca="1">SUM(AF61:AF121)</f>
        <v>#REF!</v>
      </c>
      <c r="AG122" s="178" t="e">
        <f ca="1">SUM(AG61:AG121)</f>
        <v>#REF!</v>
      </c>
      <c r="AH122" s="178" t="e">
        <f ca="1">SUM(AH61:AH121)</f>
        <v>#REF!</v>
      </c>
      <c r="AI122" s="178"/>
      <c r="AJ122" s="178"/>
      <c r="AK122" s="178">
        <f ca="1">SUM(AK61:AK121)</f>
        <v>37500</v>
      </c>
      <c r="AL122" s="178" t="e">
        <f ca="1">SUM(AL61:AL121)</f>
        <v>#REF!</v>
      </c>
      <c r="AM122" s="178" t="e">
        <f ca="1">SUM(AM61:AM121)</f>
        <v>#REF!</v>
      </c>
      <c r="AN122" s="178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</row>
    <row r="123" spans="1:143" ht="66.75" hidden="1" customHeight="1">
      <c r="A123" s="28"/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29"/>
      <c r="O123" s="29"/>
      <c r="P123" s="29"/>
      <c r="Q123" s="29"/>
      <c r="R123" s="29"/>
    </row>
    <row r="124" spans="1:143" ht="9" hidden="1" customHeight="1">
      <c r="A124" s="28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</row>
    <row r="125" spans="1:143" ht="6.75" hidden="1" customHeight="1">
      <c r="A125" s="28"/>
      <c r="B125" s="301"/>
      <c r="C125" s="301"/>
      <c r="D125" s="301"/>
      <c r="E125" s="301"/>
      <c r="F125" s="301"/>
      <c r="G125" s="301"/>
      <c r="H125" s="301"/>
      <c r="I125" s="301"/>
      <c r="J125" s="79"/>
      <c r="K125" s="79"/>
      <c r="L125" s="79"/>
      <c r="M125" s="79"/>
      <c r="N125" s="29"/>
      <c r="Q125" s="29"/>
      <c r="R125" s="29"/>
    </row>
    <row r="126" spans="1:143" ht="14.25" hidden="1" customHeight="1">
      <c r="A126" s="4"/>
      <c r="B126" s="2"/>
      <c r="C126" s="2"/>
      <c r="D126" s="2"/>
      <c r="E126" s="2"/>
      <c r="F126" s="2"/>
      <c r="G126" s="2"/>
      <c r="H126" s="30"/>
      <c r="I126" s="30"/>
      <c r="J126" s="30"/>
      <c r="K126" s="30"/>
      <c r="L126" s="30"/>
      <c r="M126" s="30"/>
      <c r="N126" s="30"/>
      <c r="O126" s="30"/>
      <c r="P126" s="30"/>
      <c r="Q126" s="30"/>
    </row>
    <row r="127" spans="1:143" ht="5.25" hidden="1" customHeight="1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43" s="19" customFormat="1" ht="19.5" hidden="1" customHeight="1">
      <c r="A128" s="4"/>
      <c r="B128" s="305"/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2"/>
      <c r="O128" s="29"/>
      <c r="P128" s="29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</row>
    <row r="129" spans="1:70" s="19" customFormat="1" ht="30" hidden="1" customHeight="1">
      <c r="A129" s="31"/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2"/>
      <c r="O129" s="29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</row>
    <row r="130" spans="1:70" s="19" customFormat="1" ht="5.25" hidden="1" customHeight="1">
      <c r="A130" s="3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2"/>
      <c r="O130" s="300"/>
      <c r="P130" s="300"/>
      <c r="Q130" s="300"/>
      <c r="R130" s="300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</row>
    <row r="131" spans="1:70" s="19" customFormat="1" ht="12.75" hidden="1" customHeight="1">
      <c r="A131" s="31"/>
      <c r="B131" s="302"/>
      <c r="C131" s="302"/>
      <c r="D131" s="302"/>
      <c r="E131" s="302"/>
      <c r="F131" s="302"/>
      <c r="G131" s="302"/>
      <c r="H131" s="302"/>
      <c r="I131" s="302"/>
      <c r="J131" s="302"/>
      <c r="K131" s="302"/>
      <c r="L131" s="199"/>
      <c r="M131" s="199"/>
      <c r="N131" s="2"/>
      <c r="O131" s="2"/>
      <c r="P131" s="2"/>
      <c r="Q131" s="2"/>
      <c r="R131" s="2"/>
      <c r="S131" s="2"/>
      <c r="T131" s="2"/>
      <c r="U131" s="2"/>
      <c r="V131" s="2" t="s">
        <v>42</v>
      </c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</row>
    <row r="132" spans="1:70" s="34" customFormat="1" ht="25.5" hidden="1" customHeight="1">
      <c r="A132" s="32">
        <f t="shared" ref="A132:A138" si="82">IF(LEFT(B132,1)="I",1,0)</f>
        <v>0</v>
      </c>
      <c r="B132" s="299"/>
      <c r="C132" s="299"/>
      <c r="D132" s="299"/>
      <c r="E132" s="299"/>
      <c r="F132" s="299"/>
      <c r="G132" s="299"/>
      <c r="H132" s="299"/>
      <c r="I132" s="299"/>
      <c r="J132" s="67"/>
      <c r="K132" s="67"/>
      <c r="L132" s="67"/>
      <c r="M132" s="67"/>
      <c r="N132" s="137"/>
      <c r="O132" s="138"/>
      <c r="P132" s="138"/>
      <c r="Q132" s="138"/>
      <c r="R132" s="138"/>
      <c r="S132" s="138"/>
      <c r="T132" s="138"/>
      <c r="U132" s="138"/>
      <c r="V132" s="138" t="s">
        <v>43</v>
      </c>
      <c r="W132" s="138" t="s">
        <v>43</v>
      </c>
      <c r="X132" s="138"/>
      <c r="Y132" s="138"/>
      <c r="Z132" s="138"/>
      <c r="AA132" s="138"/>
      <c r="AB132" s="138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</row>
    <row r="133" spans="1:70" s="34" customFormat="1" ht="25.5" hidden="1" customHeight="1">
      <c r="A133" s="32">
        <f t="shared" si="82"/>
        <v>0</v>
      </c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137"/>
      <c r="O133" s="139"/>
      <c r="P133" s="139"/>
      <c r="Q133" s="139"/>
      <c r="R133" s="139"/>
      <c r="S133" s="139"/>
      <c r="T133" s="139"/>
      <c r="U133" s="139"/>
      <c r="V133" s="139" t="s">
        <v>45</v>
      </c>
      <c r="W133" s="139" t="s">
        <v>45</v>
      </c>
      <c r="X133" s="139"/>
      <c r="Y133" s="139"/>
      <c r="Z133" s="139"/>
      <c r="AA133" s="139"/>
      <c r="AB133" s="139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</row>
    <row r="134" spans="1:70" s="34" customFormat="1" ht="25.5" hidden="1" customHeight="1">
      <c r="A134" s="32">
        <f t="shared" si="82"/>
        <v>0</v>
      </c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137"/>
      <c r="O134" s="139"/>
      <c r="P134" s="139"/>
      <c r="Q134" s="139"/>
      <c r="R134" s="139"/>
      <c r="S134" s="139"/>
      <c r="T134" s="139"/>
      <c r="U134" s="139"/>
      <c r="V134" s="138" t="s">
        <v>48</v>
      </c>
      <c r="W134" s="138" t="s">
        <v>48</v>
      </c>
      <c r="X134" s="138"/>
      <c r="Y134" s="138"/>
      <c r="Z134" s="138"/>
      <c r="AA134" s="138"/>
      <c r="AB134" s="138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</row>
    <row r="135" spans="1:70" s="34" customFormat="1" ht="25.5" hidden="1" customHeight="1">
      <c r="A135" s="32">
        <f t="shared" si="82"/>
        <v>0</v>
      </c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137"/>
      <c r="O135" s="139"/>
      <c r="P135" s="139"/>
      <c r="Q135" s="139"/>
      <c r="R135" s="139"/>
      <c r="S135" s="140"/>
      <c r="T135" s="140"/>
      <c r="U135" s="140"/>
      <c r="V135" s="139" t="s">
        <v>98</v>
      </c>
      <c r="W135" s="139" t="s">
        <v>98</v>
      </c>
      <c r="X135" s="139"/>
      <c r="Y135" s="139"/>
      <c r="Z135" s="139"/>
      <c r="AA135" s="139"/>
      <c r="AB135" s="139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</row>
    <row r="136" spans="1:70" s="34" customFormat="1" ht="25.5" hidden="1" customHeight="1">
      <c r="A136" s="32">
        <f t="shared" si="82"/>
        <v>0</v>
      </c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137"/>
      <c r="O136" s="139"/>
      <c r="P136" s="139"/>
      <c r="Q136" s="139"/>
      <c r="R136" s="139"/>
      <c r="S136" s="139"/>
      <c r="T136" s="139"/>
      <c r="U136" s="139"/>
      <c r="V136" s="139" t="s">
        <v>54</v>
      </c>
      <c r="W136" s="139" t="s">
        <v>55</v>
      </c>
      <c r="X136" s="139"/>
      <c r="Y136" s="139"/>
      <c r="Z136" s="139"/>
      <c r="AA136" s="139"/>
      <c r="AB136" s="139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</row>
    <row r="137" spans="1:70" s="34" customFormat="1" ht="25.5" hidden="1" customHeight="1">
      <c r="A137" s="32">
        <f t="shared" si="82"/>
        <v>0</v>
      </c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137"/>
      <c r="O137" s="139"/>
      <c r="P137" s="139"/>
      <c r="Q137" s="139"/>
      <c r="R137" s="139"/>
      <c r="S137" s="139"/>
      <c r="T137" s="139"/>
      <c r="U137" s="139"/>
      <c r="V137" s="139" t="s">
        <v>106</v>
      </c>
      <c r="W137" s="139" t="s">
        <v>106</v>
      </c>
      <c r="X137" s="139"/>
      <c r="Y137" s="139"/>
      <c r="Z137" s="139"/>
      <c r="AA137" s="139"/>
      <c r="AB137" s="139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</row>
    <row r="138" spans="1:70" s="34" customFormat="1" ht="25.5" hidden="1" customHeight="1">
      <c r="A138" s="32">
        <f t="shared" si="82"/>
        <v>0</v>
      </c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137"/>
      <c r="O138" s="139"/>
      <c r="P138" s="139"/>
      <c r="Q138" s="139"/>
      <c r="R138" s="139"/>
      <c r="S138" s="139"/>
      <c r="T138" s="139"/>
      <c r="U138" s="139"/>
      <c r="V138" s="138" t="s">
        <v>61</v>
      </c>
      <c r="W138" s="138" t="s">
        <v>62</v>
      </c>
      <c r="X138" s="138"/>
      <c r="Y138" s="138"/>
      <c r="Z138" s="138"/>
      <c r="AA138" s="138"/>
      <c r="AB138" s="138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</row>
    <row r="139" spans="1:70" s="34" customFormat="1" ht="25.5" hidden="1" customHeight="1">
      <c r="A139" s="32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137"/>
      <c r="O139" s="139"/>
      <c r="P139" s="139"/>
      <c r="Q139" s="139"/>
      <c r="R139" s="139"/>
      <c r="S139" s="139"/>
      <c r="T139" s="189"/>
      <c r="U139" s="189"/>
      <c r="V139" s="139"/>
      <c r="W139" s="138"/>
      <c r="X139" s="138"/>
      <c r="Y139" s="138"/>
      <c r="Z139" s="138"/>
      <c r="AA139" s="138"/>
      <c r="AB139" s="138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</row>
    <row r="140" spans="1:70" s="34" customFormat="1" ht="25.5" hidden="1" customHeight="1">
      <c r="A140" s="32">
        <f t="shared" ref="A140:A155" si="83">IF(LEFT(B140,1)="I",1,0)</f>
        <v>0</v>
      </c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137"/>
      <c r="O140" s="139"/>
      <c r="P140" s="139"/>
      <c r="Q140" s="139"/>
      <c r="R140" s="139"/>
      <c r="S140" s="139"/>
      <c r="T140" s="139"/>
      <c r="U140" s="139"/>
      <c r="V140" s="139" t="s">
        <v>36</v>
      </c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</row>
    <row r="141" spans="1:70" s="34" customFormat="1" ht="25.5" hidden="1" customHeight="1">
      <c r="A141" s="32">
        <f t="shared" si="83"/>
        <v>0</v>
      </c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137"/>
      <c r="O141" s="139"/>
      <c r="P141" s="139"/>
      <c r="Q141" s="139"/>
      <c r="R141" s="139"/>
      <c r="S141" s="139"/>
      <c r="T141" s="139"/>
      <c r="U141" s="139"/>
      <c r="V141" s="139" t="s">
        <v>36</v>
      </c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</row>
    <row r="142" spans="1:70" s="34" customFormat="1" ht="25.5" hidden="1" customHeight="1">
      <c r="A142" s="32">
        <f t="shared" si="83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137"/>
      <c r="O142" s="139"/>
      <c r="P142" s="139"/>
      <c r="Q142" s="139"/>
      <c r="R142" s="139"/>
      <c r="S142" s="138"/>
      <c r="T142" s="138"/>
      <c r="U142" s="138"/>
      <c r="V142" s="139" t="s">
        <v>36</v>
      </c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70" s="34" customFormat="1" ht="25.5" hidden="1" customHeight="1">
      <c r="A143" s="32">
        <f t="shared" si="83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137"/>
      <c r="O143" s="139"/>
      <c r="P143" s="139"/>
      <c r="Q143" s="139"/>
      <c r="R143" s="139"/>
      <c r="S143" s="139"/>
      <c r="T143" s="139"/>
      <c r="U143" s="139"/>
      <c r="V143" s="139" t="s">
        <v>36</v>
      </c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70" s="34" customFormat="1" ht="25.5" hidden="1" customHeight="1">
      <c r="A144" s="32">
        <f t="shared" si="83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39"/>
      <c r="T144" s="139"/>
      <c r="U144" s="139"/>
      <c r="V144" s="137" t="s">
        <v>36</v>
      </c>
      <c r="W144" s="138" t="s">
        <v>48</v>
      </c>
      <c r="X144" s="138"/>
      <c r="Y144" s="138"/>
      <c r="Z144" s="138"/>
      <c r="AA144" s="138"/>
      <c r="AB144" s="138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83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7" t="s">
        <v>36</v>
      </c>
      <c r="W145" s="139" t="s">
        <v>98</v>
      </c>
      <c r="X145" s="139"/>
      <c r="Y145" s="139"/>
      <c r="Z145" s="139"/>
      <c r="AA145" s="139"/>
      <c r="AB145" s="139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83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38"/>
      <c r="T146" s="138"/>
      <c r="U146" s="138"/>
      <c r="V146" s="137" t="s">
        <v>36</v>
      </c>
      <c r="W146" s="139" t="s">
        <v>54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83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7"/>
      <c r="T147" s="137"/>
      <c r="U147" s="137"/>
      <c r="V147" s="137" t="s">
        <v>36</v>
      </c>
      <c r="W147" s="139" t="s">
        <v>73</v>
      </c>
      <c r="X147" s="139"/>
      <c r="Y147" s="139"/>
      <c r="Z147" s="139"/>
      <c r="AA147" s="139"/>
      <c r="AB147" s="139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>
        <f t="shared" si="83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9"/>
      <c r="T148" s="139"/>
      <c r="U148" s="139"/>
      <c r="V148" s="139" t="s">
        <v>36</v>
      </c>
      <c r="W148" s="139" t="s">
        <v>105</v>
      </c>
      <c r="X148" s="139"/>
      <c r="Y148" s="139"/>
      <c r="Z148" s="139"/>
      <c r="AA148" s="139"/>
      <c r="AB148" s="139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si="83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8"/>
      <c r="T149" s="138"/>
      <c r="U149" s="138"/>
      <c r="V149" s="138" t="s">
        <v>36</v>
      </c>
      <c r="W149" s="137" t="s">
        <v>36</v>
      </c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>
        <f t="shared" si="83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8"/>
      <c r="P150" s="138"/>
      <c r="Q150" s="138"/>
      <c r="R150" s="138"/>
      <c r="S150" s="138"/>
      <c r="T150" s="138"/>
      <c r="U150" s="138"/>
      <c r="V150" s="138" t="s">
        <v>36</v>
      </c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si="83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9"/>
      <c r="P151" s="139"/>
      <c r="Q151" s="139"/>
      <c r="R151" s="139"/>
      <c r="S151" s="138"/>
      <c r="T151" s="138"/>
      <c r="U151" s="138"/>
      <c r="V151" s="138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83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8"/>
      <c r="T152" s="138"/>
      <c r="U152" s="138"/>
      <c r="V152" s="138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83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8"/>
      <c r="T153" s="138"/>
      <c r="U153" s="138"/>
      <c r="V153" s="138" t="s">
        <v>36</v>
      </c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83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8"/>
      <c r="R154" s="138"/>
      <c r="S154" s="138"/>
      <c r="T154" s="138"/>
      <c r="U154" s="138"/>
      <c r="V154" s="138" t="s">
        <v>36</v>
      </c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83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8"/>
      <c r="P155" s="138"/>
      <c r="Q155" s="138"/>
      <c r="R155" s="138"/>
      <c r="S155" s="138"/>
      <c r="T155" s="138"/>
      <c r="U155" s="138"/>
      <c r="V155" s="138" t="s">
        <v>36</v>
      </c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</sheetData>
  <sheetProtection password="C7A8" sheet="1"/>
  <mergeCells count="229">
    <mergeCell ref="D105:F105"/>
    <mergeCell ref="D97:F97"/>
    <mergeCell ref="D84:F84"/>
    <mergeCell ref="D74:F74"/>
    <mergeCell ref="D103:F103"/>
    <mergeCell ref="B65:C65"/>
    <mergeCell ref="B67:C67"/>
    <mergeCell ref="D65:F65"/>
    <mergeCell ref="B105:C105"/>
    <mergeCell ref="B104:C104"/>
    <mergeCell ref="B96:C96"/>
    <mergeCell ref="B103:C103"/>
    <mergeCell ref="B102:C102"/>
    <mergeCell ref="B99:C99"/>
    <mergeCell ref="B100:C100"/>
    <mergeCell ref="B97:C97"/>
    <mergeCell ref="D98:F98"/>
    <mergeCell ref="B95:C95"/>
    <mergeCell ref="D95:F95"/>
    <mergeCell ref="B92:C92"/>
    <mergeCell ref="D92:F92"/>
    <mergeCell ref="B93:C93"/>
    <mergeCell ref="D94:F94"/>
    <mergeCell ref="B94:C94"/>
    <mergeCell ref="B108:C108"/>
    <mergeCell ref="B106:C106"/>
    <mergeCell ref="B107:C107"/>
    <mergeCell ref="G122:H122"/>
    <mergeCell ref="B71:C71"/>
    <mergeCell ref="D99:F99"/>
    <mergeCell ref="D101:F101"/>
    <mergeCell ref="B91:C91"/>
    <mergeCell ref="D91:F91"/>
    <mergeCell ref="B98:C98"/>
    <mergeCell ref="B88:C88"/>
    <mergeCell ref="D88:F88"/>
    <mergeCell ref="D96:F96"/>
    <mergeCell ref="B89:C89"/>
    <mergeCell ref="D71:F71"/>
    <mergeCell ref="B115:C115"/>
    <mergeCell ref="D115:F115"/>
    <mergeCell ref="B112:C112"/>
    <mergeCell ref="B116:C116"/>
    <mergeCell ref="D116:F116"/>
    <mergeCell ref="D119:F119"/>
    <mergeCell ref="B114:C114"/>
    <mergeCell ref="D114:F114"/>
    <mergeCell ref="D117:F117"/>
    <mergeCell ref="B153:M153"/>
    <mergeCell ref="B144:M144"/>
    <mergeCell ref="B151:M151"/>
    <mergeCell ref="B136:M136"/>
    <mergeCell ref="B137:M137"/>
    <mergeCell ref="B155:M155"/>
    <mergeCell ref="Q130:R130"/>
    <mergeCell ref="B132:I132"/>
    <mergeCell ref="B148:M148"/>
    <mergeCell ref="B143:M143"/>
    <mergeCell ref="B138:M138"/>
    <mergeCell ref="B154:M154"/>
    <mergeCell ref="B142:M142"/>
    <mergeCell ref="B150:M150"/>
    <mergeCell ref="B152:M152"/>
    <mergeCell ref="B149:M149"/>
    <mergeCell ref="B145:M145"/>
    <mergeCell ref="B146:M146"/>
    <mergeCell ref="B139:M139"/>
    <mergeCell ref="B147:M147"/>
    <mergeCell ref="B140:M140"/>
    <mergeCell ref="B141:M141"/>
    <mergeCell ref="B135:M135"/>
    <mergeCell ref="B123:M123"/>
    <mergeCell ref="B125:I125"/>
    <mergeCell ref="K122:L122"/>
    <mergeCell ref="B129:M129"/>
    <mergeCell ref="B128:M128"/>
    <mergeCell ref="O130:P130"/>
    <mergeCell ref="B134:M134"/>
    <mergeCell ref="B131:K131"/>
    <mergeCell ref="B133:M133"/>
    <mergeCell ref="B122:C122"/>
    <mergeCell ref="D122:F122"/>
    <mergeCell ref="B117:C117"/>
    <mergeCell ref="D121:F121"/>
    <mergeCell ref="B121:C121"/>
    <mergeCell ref="B118:C118"/>
    <mergeCell ref="D118:F118"/>
    <mergeCell ref="B120:C120"/>
    <mergeCell ref="D120:F120"/>
    <mergeCell ref="B119:C119"/>
    <mergeCell ref="D100:F100"/>
    <mergeCell ref="B101:C101"/>
    <mergeCell ref="B113:C113"/>
    <mergeCell ref="D113:F113"/>
    <mergeCell ref="B110:C110"/>
    <mergeCell ref="D104:F104"/>
    <mergeCell ref="D102:F102"/>
    <mergeCell ref="D107:F107"/>
    <mergeCell ref="D108:F108"/>
    <mergeCell ref="D106:F106"/>
    <mergeCell ref="D109:F109"/>
    <mergeCell ref="B111:C111"/>
    <mergeCell ref="D112:F112"/>
    <mergeCell ref="D111:F111"/>
    <mergeCell ref="D110:F110"/>
    <mergeCell ref="B109:C109"/>
    <mergeCell ref="D89:F89"/>
    <mergeCell ref="B90:C90"/>
    <mergeCell ref="D90:F90"/>
    <mergeCell ref="D93:F93"/>
    <mergeCell ref="B86:C86"/>
    <mergeCell ref="D86:F86"/>
    <mergeCell ref="D83:F83"/>
    <mergeCell ref="B85:C85"/>
    <mergeCell ref="D85:F85"/>
    <mergeCell ref="B84:C84"/>
    <mergeCell ref="B83:C83"/>
    <mergeCell ref="B87:C87"/>
    <mergeCell ref="D87:F87"/>
    <mergeCell ref="D70:F70"/>
    <mergeCell ref="D59:I59"/>
    <mergeCell ref="B62:C62"/>
    <mergeCell ref="D62:F62"/>
    <mergeCell ref="B63:C63"/>
    <mergeCell ref="D63:F63"/>
    <mergeCell ref="B77:C77"/>
    <mergeCell ref="D77:F77"/>
    <mergeCell ref="B82:C82"/>
    <mergeCell ref="D82:F82"/>
    <mergeCell ref="B81:C81"/>
    <mergeCell ref="D81:F81"/>
    <mergeCell ref="B78:C78"/>
    <mergeCell ref="D78:F78"/>
    <mergeCell ref="B79:C79"/>
    <mergeCell ref="D79:F79"/>
    <mergeCell ref="B80:C80"/>
    <mergeCell ref="D80:F80"/>
    <mergeCell ref="B76:C76"/>
    <mergeCell ref="D76:F76"/>
    <mergeCell ref="D72:F72"/>
    <mergeCell ref="B73:C73"/>
    <mergeCell ref="B72:C72"/>
    <mergeCell ref="D73:F73"/>
    <mergeCell ref="B75:C75"/>
    <mergeCell ref="D75:F75"/>
    <mergeCell ref="B74:C74"/>
    <mergeCell ref="B70:C70"/>
    <mergeCell ref="D2:G2"/>
    <mergeCell ref="B4:C4"/>
    <mergeCell ref="D4:F4"/>
    <mergeCell ref="B5:C5"/>
    <mergeCell ref="D5:F5"/>
    <mergeCell ref="B61:C61"/>
    <mergeCell ref="D61:F61"/>
    <mergeCell ref="D7:F7"/>
    <mergeCell ref="B10:C10"/>
    <mergeCell ref="B69:C69"/>
    <mergeCell ref="D69:F69"/>
    <mergeCell ref="D68:F68"/>
    <mergeCell ref="B66:C66"/>
    <mergeCell ref="D66:F66"/>
    <mergeCell ref="D67:F67"/>
    <mergeCell ref="B68:C68"/>
    <mergeCell ref="B64:C64"/>
    <mergeCell ref="D64:F64"/>
    <mergeCell ref="C29:F29"/>
    <mergeCell ref="C30:F30"/>
    <mergeCell ref="D6:G6"/>
    <mergeCell ref="D10:G10"/>
    <mergeCell ref="D9:F9"/>
    <mergeCell ref="C27:F27"/>
    <mergeCell ref="D55:G55"/>
    <mergeCell ref="C26:F26"/>
    <mergeCell ref="B59:C60"/>
    <mergeCell ref="D58:F58"/>
    <mergeCell ref="J59:M59"/>
    <mergeCell ref="D57:G57"/>
    <mergeCell ref="D56:G56"/>
    <mergeCell ref="D60:F60"/>
    <mergeCell ref="H18:M18"/>
    <mergeCell ref="B19:B20"/>
    <mergeCell ref="C19:F20"/>
    <mergeCell ref="B21:B22"/>
    <mergeCell ref="C21:F22"/>
    <mergeCell ref="D11:G11"/>
    <mergeCell ref="D8:F8"/>
    <mergeCell ref="B1:C1"/>
    <mergeCell ref="D1:G1"/>
    <mergeCell ref="B40:J40"/>
    <mergeCell ref="G36:I39"/>
    <mergeCell ref="B2:C2"/>
    <mergeCell ref="B6:C6"/>
    <mergeCell ref="B8:C8"/>
    <mergeCell ref="B9:C9"/>
    <mergeCell ref="B7:C7"/>
    <mergeCell ref="B35:F35"/>
    <mergeCell ref="G35:H35"/>
    <mergeCell ref="C32:F32"/>
    <mergeCell ref="C31:F31"/>
    <mergeCell ref="G28:M28"/>
    <mergeCell ref="G29:M29"/>
    <mergeCell ref="G30:M30"/>
    <mergeCell ref="B23:B24"/>
    <mergeCell ref="C23:F24"/>
    <mergeCell ref="H21:M21"/>
    <mergeCell ref="G24:M24"/>
    <mergeCell ref="G31:M31"/>
    <mergeCell ref="G32:M32"/>
    <mergeCell ref="H19:M19"/>
    <mergeCell ref="G20:M20"/>
    <mergeCell ref="N47:Q47"/>
    <mergeCell ref="N46:Q46"/>
    <mergeCell ref="C28:F28"/>
    <mergeCell ref="C25:F25"/>
    <mergeCell ref="C17:F17"/>
    <mergeCell ref="C18:F18"/>
    <mergeCell ref="O36:R36"/>
    <mergeCell ref="G17:M17"/>
    <mergeCell ref="B13:M13"/>
    <mergeCell ref="B14:M14"/>
    <mergeCell ref="B15:M15"/>
    <mergeCell ref="B16:M16"/>
    <mergeCell ref="G25:M25"/>
    <mergeCell ref="G26:M26"/>
    <mergeCell ref="G27:M27"/>
    <mergeCell ref="B34:F34"/>
    <mergeCell ref="G34:H34"/>
    <mergeCell ref="G22:M22"/>
    <mergeCell ref="H23:M23"/>
  </mergeCells>
  <conditionalFormatting sqref="B62:C121 D84:G121 I84:I121">
    <cfRule type="expression" dxfId="105" priority="35" stopIfTrue="1">
      <formula>$O62</formula>
    </cfRule>
  </conditionalFormatting>
  <conditionalFormatting sqref="B132:E155">
    <cfRule type="expression" dxfId="104" priority="31" stopIfTrue="1">
      <formula>A132</formula>
    </cfRule>
  </conditionalFormatting>
  <conditionalFormatting sqref="B61:I61">
    <cfRule type="expression" dxfId="103" priority="29" stopIfTrue="1">
      <formula>$O$61</formula>
    </cfRule>
  </conditionalFormatting>
  <conditionalFormatting sqref="D4:E4">
    <cfRule type="cellIs" dxfId="102" priority="4" stopIfTrue="1" operator="greaterThan">
      <formula>5000</formula>
    </cfRule>
  </conditionalFormatting>
  <conditionalFormatting sqref="D8:E8">
    <cfRule type="cellIs" dxfId="101" priority="5" stopIfTrue="1" operator="greaterThan">
      <formula>$D$7</formula>
    </cfRule>
  </conditionalFormatting>
  <conditionalFormatting sqref="D81:G81 I81">
    <cfRule type="expression" dxfId="100" priority="8" stopIfTrue="1">
      <formula>$O$81</formula>
    </cfRule>
  </conditionalFormatting>
  <conditionalFormatting sqref="D82:G82 I82">
    <cfRule type="expression" dxfId="99" priority="7" stopIfTrue="1">
      <formula>$O$82</formula>
    </cfRule>
  </conditionalFormatting>
  <conditionalFormatting sqref="D83:G83 I83">
    <cfRule type="expression" dxfId="98" priority="6" stopIfTrue="1">
      <formula>$O$83</formula>
    </cfRule>
  </conditionalFormatting>
  <conditionalFormatting sqref="D62:I62">
    <cfRule type="expression" dxfId="97" priority="28" stopIfTrue="1">
      <formula>$O$62</formula>
    </cfRule>
  </conditionalFormatting>
  <conditionalFormatting sqref="D63:I63">
    <cfRule type="expression" dxfId="96" priority="27" stopIfTrue="1">
      <formula>$O$63</formula>
    </cfRule>
  </conditionalFormatting>
  <conditionalFormatting sqref="D64:I64">
    <cfRule type="expression" dxfId="95" priority="26" stopIfTrue="1">
      <formula>$O$64</formula>
    </cfRule>
  </conditionalFormatting>
  <conditionalFormatting sqref="D65:I65">
    <cfRule type="expression" dxfId="94" priority="25" stopIfTrue="1">
      <formula>$O$65</formula>
    </cfRule>
  </conditionalFormatting>
  <conditionalFormatting sqref="D66:I66">
    <cfRule type="expression" dxfId="93" priority="24" stopIfTrue="1">
      <formula>$O$66</formula>
    </cfRule>
  </conditionalFormatting>
  <conditionalFormatting sqref="D67:I67">
    <cfRule type="expression" dxfId="92" priority="23" stopIfTrue="1">
      <formula>$O$67</formula>
    </cfRule>
  </conditionalFormatting>
  <conditionalFormatting sqref="D68:I68">
    <cfRule type="expression" dxfId="91" priority="22" stopIfTrue="1">
      <formula>$O$68</formula>
    </cfRule>
  </conditionalFormatting>
  <conditionalFormatting sqref="D69:I69">
    <cfRule type="expression" dxfId="90" priority="21" stopIfTrue="1">
      <formula>$O$69</formula>
    </cfRule>
  </conditionalFormatting>
  <conditionalFormatting sqref="D70:I70">
    <cfRule type="expression" dxfId="89" priority="20" stopIfTrue="1">
      <formula>$O$70</formula>
    </cfRule>
  </conditionalFormatting>
  <conditionalFormatting sqref="D71:I71">
    <cfRule type="expression" dxfId="88" priority="19" stopIfTrue="1">
      <formula>$O$71</formula>
    </cfRule>
  </conditionalFormatting>
  <conditionalFormatting sqref="D72:I72">
    <cfRule type="expression" dxfId="87" priority="18" stopIfTrue="1">
      <formula>$O$72</formula>
    </cfRule>
  </conditionalFormatting>
  <conditionalFormatting sqref="D73:I73">
    <cfRule type="expression" dxfId="86" priority="17" stopIfTrue="1">
      <formula>$O$73</formula>
    </cfRule>
  </conditionalFormatting>
  <conditionalFormatting sqref="D74:I74">
    <cfRule type="expression" dxfId="85" priority="16" stopIfTrue="1">
      <formula>$O$74</formula>
    </cfRule>
  </conditionalFormatting>
  <conditionalFormatting sqref="D75:I75">
    <cfRule type="expression" dxfId="84" priority="15" stopIfTrue="1">
      <formula>$O$75</formula>
    </cfRule>
  </conditionalFormatting>
  <conditionalFormatting sqref="D76:I76">
    <cfRule type="expression" dxfId="83" priority="14" stopIfTrue="1">
      <formula>$O$76</formula>
    </cfRule>
  </conditionalFormatting>
  <conditionalFormatting sqref="D77:I77">
    <cfRule type="expression" dxfId="82" priority="13" stopIfTrue="1">
      <formula>$O$77</formula>
    </cfRule>
  </conditionalFormatting>
  <conditionalFormatting sqref="D78:I78">
    <cfRule type="expression" dxfId="81" priority="12" stopIfTrue="1">
      <formula>$O$78</formula>
    </cfRule>
  </conditionalFormatting>
  <conditionalFormatting sqref="D79:I79">
    <cfRule type="expression" dxfId="80" priority="10" stopIfTrue="1">
      <formula>$O$79</formula>
    </cfRule>
  </conditionalFormatting>
  <conditionalFormatting sqref="D80:I80 H81:H121">
    <cfRule type="expression" dxfId="79" priority="9" stopIfTrue="1">
      <formula>$O$80</formula>
    </cfRule>
  </conditionalFormatting>
  <conditionalFormatting sqref="F132:K155">
    <cfRule type="expression" dxfId="78" priority="30" stopIfTrue="1">
      <formula>D132</formula>
    </cfRule>
  </conditionalFormatting>
  <conditionalFormatting sqref="G4 D5:E5">
    <cfRule type="expression" dxfId="77" priority="1" stopIfTrue="1">
      <formula>$N$40</formula>
    </cfRule>
  </conditionalFormatting>
  <conditionalFormatting sqref="H45:M45">
    <cfRule type="expression" dxfId="76" priority="11" stopIfTrue="1">
      <formula>$A$36</formula>
    </cfRule>
  </conditionalFormatting>
  <conditionalFormatting sqref="J60:L60">
    <cfRule type="expression" dxfId="75" priority="3" stopIfTrue="1">
      <formula>$D$8</formula>
    </cfRule>
  </conditionalFormatting>
  <conditionalFormatting sqref="J59:M59 M60">
    <cfRule type="expression" dxfId="74" priority="2" stopIfTrue="1">
      <formula>$D$8</formula>
    </cfRule>
  </conditionalFormatting>
  <conditionalFormatting sqref="J61:M121">
    <cfRule type="expression" dxfId="73" priority="34" stopIfTrue="1">
      <formula>$BA61</formula>
    </cfRule>
  </conditionalFormatting>
  <conditionalFormatting sqref="L132:L155">
    <cfRule type="expression" dxfId="72" priority="32" stopIfTrue="1">
      <formula>I132</formula>
    </cfRule>
  </conditionalFormatting>
  <conditionalFormatting sqref="M132:M155">
    <cfRule type="expression" dxfId="71" priority="33" stopIfTrue="1">
      <formula>I132</formula>
    </cfRule>
  </conditionalFormatting>
  <dataValidations count="2">
    <dataValidation type="list" allowBlank="1" showInputMessage="1" showErrorMessage="1" sqref="D8:E8" xr:uid="{00000000-0002-0000-1200-000000000000}">
      <formula1>$AF$48:$AF$50</formula1>
    </dataValidation>
    <dataValidation type="list" allowBlank="1" showInputMessage="1" showErrorMessage="1" sqref="D7:E7" xr:uid="{00000000-0002-0000-1200-000001000000}">
      <formula1>$AE$48:$AE$52</formula1>
    </dataValidation>
  </dataValidations>
  <pageMargins left="0.70866141732283472" right="0.70866141732283472" top="0.74803149606299213" bottom="0.74803149606299213" header="0.31496062992125984" footer="0.31496062992125984"/>
  <pageSetup scale="76" orientation="portrait" r:id="rId1"/>
  <headerFooter alignWithMargins="0"/>
  <rowBreaks count="2" manualBreakCount="2">
    <brk id="35" max="16383" man="1"/>
    <brk id="121" min="1" max="7" man="1"/>
  </rowBreaks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EK175"/>
  <sheetViews>
    <sheetView zoomScale="90" zoomScaleNormal="90" workbookViewId="0">
      <selection activeCell="D11" sqref="D11:E11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140625" style="21" customWidth="1"/>
    <col min="9" max="10" width="16.5703125" style="21" customWidth="1"/>
    <col min="11" max="11" width="0.140625" style="21" customWidth="1"/>
    <col min="12" max="12" width="15.7109375" style="21" customWidth="1"/>
    <col min="13" max="45" width="15.7109375" style="2" hidden="1" customWidth="1"/>
    <col min="46" max="50" width="15.7109375" style="21" hidden="1" customWidth="1"/>
    <col min="51" max="51" width="15.7109375" style="2" hidden="1" customWidth="1"/>
    <col min="52" max="59" width="15.7109375" style="21" hidden="1" customWidth="1"/>
    <col min="60" max="62" width="15.7109375" style="21" customWidth="1"/>
    <col min="63" max="64" width="15.7109375" style="47" customWidth="1"/>
    <col min="65" max="65" width="15.7109375" style="20" customWidth="1"/>
    <col min="66" max="141" width="9.140625" style="20"/>
    <col min="142" max="16384" width="9.140625" style="21"/>
  </cols>
  <sheetData>
    <row r="1" spans="1:64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  <c r="BK1" s="19"/>
      <c r="BL1" s="19"/>
    </row>
    <row r="2" spans="1:64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64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  <c r="BK3" s="19"/>
      <c r="BL3" s="19"/>
    </row>
    <row r="4" spans="1:64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64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</row>
    <row r="6" spans="1:64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64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64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f>IF(H8=1,0,IF(D8&gt;1,IF(D8&lt;999999999999,1,0),0))</f>
        <v>1</v>
      </c>
      <c r="N8" s="2">
        <f>IF(D8=0,0,IF(H8=1,0,IF(M8=1,0,1)))</f>
        <v>0</v>
      </c>
      <c r="O8" s="2">
        <f>N8+M8+H8</f>
        <v>1</v>
      </c>
    </row>
    <row r="9" spans="1:64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BK9" s="19"/>
      <c r="BL9" s="19"/>
    </row>
    <row r="10" spans="1:64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7000</v>
      </c>
      <c r="E10" s="433"/>
      <c r="F10" s="11" t="s">
        <v>189</v>
      </c>
      <c r="G10" s="12" t="s">
        <v>7</v>
      </c>
      <c r="H10" s="13">
        <f ca="1">F22+G22+A92+D10</f>
        <v>11238.418456111111</v>
      </c>
      <c r="I10" s="40"/>
      <c r="J10" s="40"/>
      <c r="K10" s="40"/>
      <c r="L10" s="40"/>
      <c r="BK10" s="19"/>
      <c r="BL10" s="19"/>
    </row>
    <row r="11" spans="1:64" ht="15" customHeight="1">
      <c r="A11" s="7"/>
      <c r="B11" s="408" t="s">
        <v>8</v>
      </c>
      <c r="C11" s="409"/>
      <c r="D11" s="413">
        <v>29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27</v>
      </c>
      <c r="R11" s="2">
        <f ca="1">IF(DAY(D16)=31,31,30)</f>
        <v>30</v>
      </c>
      <c r="Z11" s="2">
        <f>IF(D14=12,IF(D15&lt;&gt;3,IF(D15&lt;&gt;6,1,0),0),0)</f>
        <v>0</v>
      </c>
      <c r="AA11" s="2">
        <f>IF(Z11=1,1,IF(Z13=1,1,0))</f>
        <v>0</v>
      </c>
    </row>
    <row r="12" spans="1:64" ht="14.25" hidden="1">
      <c r="A12" s="7"/>
      <c r="B12" s="408" t="s">
        <v>10</v>
      </c>
      <c r="C12" s="409"/>
      <c r="D12" s="422">
        <v>0</v>
      </c>
      <c r="E12" s="423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2</v>
      </c>
      <c r="BK12" s="19"/>
      <c r="BL12" s="19"/>
    </row>
    <row r="13" spans="1:64" ht="27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Z13" s="2">
        <f>IF(D14=6,IF(D15&lt;&gt;3,1,0),0)</f>
        <v>0</v>
      </c>
    </row>
    <row r="14" spans="1:64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</row>
    <row r="15" spans="1:64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</row>
    <row r="16" spans="1:64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 ca="1">A14-D15</f>
        <v>42</v>
      </c>
    </row>
    <row r="17" spans="1:141" ht="15" customHeight="1">
      <c r="A17" s="4">
        <f ca="1"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</row>
    <row r="18" spans="1:141" ht="13.5" customHeight="1" thickBot="1">
      <c r="A18" s="4"/>
      <c r="B18" s="343" t="s">
        <v>214</v>
      </c>
      <c r="C18" s="344"/>
      <c r="D18" s="376" t="s">
        <v>215</v>
      </c>
      <c r="E18" s="402"/>
      <c r="F18" s="403"/>
      <c r="G18" s="4"/>
      <c r="H18" s="4"/>
      <c r="I18" s="4"/>
      <c r="J18" s="4"/>
      <c r="K18" s="4"/>
      <c r="L18" s="4"/>
    </row>
    <row r="19" spans="1:141" ht="0.75" hidden="1" customHeight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t="6.75" customHeight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t="4.5" customHeight="1">
      <c r="A22" s="4"/>
      <c r="B22" s="4"/>
      <c r="C22" s="4"/>
      <c r="D22" s="404">
        <f ca="1">SUM(D25:E85)</f>
        <v>13999.999999999995</v>
      </c>
      <c r="E22" s="272"/>
      <c r="F22" s="22">
        <f ca="1">SUM(F25:F86)/2</f>
        <v>4238.4184561111115</v>
      </c>
      <c r="G22" s="22">
        <f ca="1">SUM(G25:G86)/2</f>
        <v>0</v>
      </c>
      <c r="H22" s="22">
        <f ca="1">SUM(H25:H72)</f>
        <v>11238.418456111112</v>
      </c>
      <c r="I22" s="22"/>
      <c r="J22" s="22"/>
      <c r="K22" s="22"/>
      <c r="L22" s="22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9.75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  <c r="BK24" s="52"/>
      <c r="BL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269">
        <f ca="1">IF(N25=0,0,IF(F10="USD",ROUND(D10/M14,0),IF(F10="бел. рублей",IF(AX25&lt;=5,AU25,AU25)," ")))</f>
        <v>145.83000000000001</v>
      </c>
      <c r="E25" s="269"/>
      <c r="F25" s="87">
        <f ca="1">IF(M1=1,P25,IF(M1=2,Q25," "))</f>
        <v>152.25</v>
      </c>
      <c r="G25" s="87">
        <f ca="1">IF(M1=1,AC25,IF(M1=2,AD25," "))</f>
        <v>0</v>
      </c>
      <c r="H25" s="87">
        <f ca="1">SUM(D25:G25)+A87</f>
        <v>298.08000000000004</v>
      </c>
      <c r="I25" s="87">
        <f ca="1">T25</f>
        <v>145.83000000000001</v>
      </c>
      <c r="J25" s="87">
        <f ca="1">AA25</f>
        <v>152.25</v>
      </c>
      <c r="K25" s="87">
        <f ca="1">AH25</f>
        <v>0</v>
      </c>
      <c r="L25" s="87">
        <f ca="1">SUM(I25:K25)+A87</f>
        <v>298.08000000000004</v>
      </c>
      <c r="M25" s="2">
        <v>1</v>
      </c>
      <c r="N25" s="2">
        <f ca="1">IF(M1=1,IF(M14&gt;0,1,0),IF(M1=2,IF(M14&gt;0,1,0),0))</f>
        <v>1</v>
      </c>
      <c r="O25" s="2">
        <f t="shared" ref="O25:O30" ca="1" si="0">IF(M25=A$14,IF(DATE(YEAR(0),MONTH(0),DAY(D$16)-1)&lt;AR25,DATE(YEAR(0),MONTH(0),DAY(D$16)-1),AR25),AR25)</f>
        <v>20</v>
      </c>
      <c r="P25" s="134">
        <f ca="1">U25</f>
        <v>152.25</v>
      </c>
      <c r="Q25" s="134">
        <f ca="1">V25</f>
        <v>152.25</v>
      </c>
      <c r="R25" s="134">
        <f>D10</f>
        <v>7000</v>
      </c>
      <c r="S25" s="134">
        <f ca="1">AU25</f>
        <v>145.83000000000001</v>
      </c>
      <c r="T25" s="134">
        <f ca="1">AU25</f>
        <v>145.83000000000001</v>
      </c>
      <c r="U25" s="134">
        <f ca="1">R25*Q11*D11/36000</f>
        <v>152.25</v>
      </c>
      <c r="V25" s="134">
        <f ca="1">R25*Q11*D11/36000</f>
        <v>152.25</v>
      </c>
      <c r="W25" s="134">
        <f ca="1">D10*Q11*D11/36000</f>
        <v>152.25</v>
      </c>
      <c r="X25" s="134">
        <f ca="1">IF(D10*Q11*D11/36000&lt;&gt;0,IF(VALUE(RIGHT(ROUND(D10*Q11*D11/36000,0)))&lt;=5,ROUND(D10*Q11*D11/36000,0)-VALUE(RIGHT(ROUND(D10*Q11*D11/36000,0))),ROUND(D10*Q11*D11/36000,0)+10-VALUE(RIGHT(ROUND(D10*Q11*D11/36000,0)))),0)</f>
        <v>150</v>
      </c>
      <c r="Y25" s="134">
        <f>IF(M25&lt;=(D$15+1),D$10,Y24-I24)</f>
        <v>7000</v>
      </c>
      <c r="Z25" s="134">
        <f ca="1">Y25*Q11*D11/36000</f>
        <v>152.25</v>
      </c>
      <c r="AA25" s="134">
        <f ca="1">Z25</f>
        <v>152.25</v>
      </c>
      <c r="AB25" s="134">
        <f ca="1">R25*Q11</f>
        <v>189000</v>
      </c>
      <c r="AC25" s="134">
        <f t="shared" ref="AC25:AC85" ca="1" si="1">ROUNDUP(AJ25,-1)</f>
        <v>0</v>
      </c>
      <c r="AD25" s="134">
        <f ca="1">IF(F10="USD",ROUND(AK25,2),IF(F10="бел. рублей",ROUNDUP(AK25,-1)," "))</f>
        <v>0</v>
      </c>
      <c r="AE25" s="134">
        <f ca="1">AI25*Q11*G12/36000</f>
        <v>0</v>
      </c>
      <c r="AF25" s="134">
        <f ca="1">IF(AE25&lt;&gt;0,IF(VALUE(RIGHT(ROUND(AE25,0)))&lt;=5,ROUND(AE25,0)-VALUE(RIGHT(ROUND(AE25,0))),ROUND(AE25,0)+10-VALUE(RIGHT(ROUND(AE25,0)))),0)</f>
        <v>0</v>
      </c>
      <c r="AG25" s="134">
        <f ca="1">Y25*Q11*G12/36000</f>
        <v>0</v>
      </c>
      <c r="AH25" s="134">
        <f ca="1">IF(AG25&lt;&gt;0,IF(VALUE(RIGHT(ROUND(AG25,0)))&lt;=5,ROUND(AG25,0)-VALUE(RIGHT(ROUND(AG25,0))),ROUND(AG25,0)+10-VALUE(RIGHT(ROUND(AG25,0)))),0)</f>
        <v>0</v>
      </c>
      <c r="AI25" s="134">
        <f>R25</f>
        <v>7000</v>
      </c>
      <c r="AJ25" s="134">
        <f ca="1">AI25*Q11*G12/36000</f>
        <v>0</v>
      </c>
      <c r="AK25" s="134">
        <f ca="1">AI25*Q11*G12/36000</f>
        <v>0</v>
      </c>
      <c r="AL25" s="132">
        <f ca="1">IF(N25=0,0,MONTH(D16)+1)</f>
        <v>2</v>
      </c>
      <c r="AM25" s="132">
        <f ca="1">IF(AL25=13,1,AL25)</f>
        <v>2</v>
      </c>
      <c r="AN25" s="2">
        <f ca="1">IF(N25=0,0,YEAR(D16))</f>
        <v>2024</v>
      </c>
      <c r="AO25" s="2">
        <f t="shared" ref="AO25:AO85" ca="1" si="2">IF(AM25=1,AN25+1,AN25)</f>
        <v>2024</v>
      </c>
      <c r="AP25" s="2">
        <f ca="1">IF((AN25/2012)=1,1,IF((AN25/2016)=1,1,IF((AN25/2020)=1,1,IF((AN25/2024)=1,1,IF((AN25/2028)=1,1,IF((AN25/2032)=1,1,0))))))</f>
        <v>1</v>
      </c>
      <c r="AQ25" s="2">
        <f ca="1">IF(AM25=2,IF(AP25=1,29,28),30)</f>
        <v>29</v>
      </c>
      <c r="AR25" s="2">
        <f>IF(C$24=30,AQ25,20)</f>
        <v>20</v>
      </c>
      <c r="AS25" s="2"/>
      <c r="AT25" s="21"/>
      <c r="AU25" s="142">
        <f ca="1">ROUND(IF(N25=0,0,IF(F10="USD",ROUND(D10/M14,2),IF(F10="бел. рублей",D10/M14," "))),2)</f>
        <v>145.83000000000001</v>
      </c>
      <c r="AV25" s="132" t="str">
        <f ca="1">RIGHT(AU25)</f>
        <v>3</v>
      </c>
      <c r="AW25" s="2">
        <f ca="1">VALUE(AV25)</f>
        <v>3</v>
      </c>
      <c r="AX25" s="2">
        <f ca="1">10-AW25</f>
        <v>7</v>
      </c>
      <c r="AY25" s="2">
        <f ca="1">IF(D$15=0,0,IF(N25=1,1,0))</f>
        <v>1</v>
      </c>
      <c r="AZ25" s="21"/>
      <c r="BA25" s="21"/>
      <c r="BB25" s="21"/>
      <c r="BC25" s="21"/>
      <c r="BD25" s="21"/>
      <c r="BE25" s="21"/>
      <c r="BF25" s="21"/>
      <c r="BG25" s="146">
        <f ca="1">ROUND((D10-D25*(M14-1)),2)</f>
        <v>145.99</v>
      </c>
      <c r="BH25" s="21"/>
      <c r="BI25" s="21"/>
      <c r="BJ25" s="21"/>
      <c r="BK25" s="52"/>
      <c r="BL25" s="52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>A25+1</f>
        <v>2</v>
      </c>
      <c r="B26" s="268">
        <f t="shared" ref="B26:B48" ca="1" si="3">IF(N26=0,IF(N25=1,"ИТОГО"," "),DATE(YEAR(B25),MONTH(B25)+1,O26))</f>
        <v>45371</v>
      </c>
      <c r="C26" s="401"/>
      <c r="D26" s="269">
        <f ca="1">IF(N26=0,IF(N25=1,D25," "),IF(N26=0,0,IF(N27=1,D25,IF(N27=0,ROUNDUP(D10-D26*(M14-1),2)," "))))</f>
        <v>145.83000000000001</v>
      </c>
      <c r="E26" s="269"/>
      <c r="F26" s="87">
        <f ca="1">IF(N26=0,IF(N25=1,F25," "),IF(M1=1,P26,IF(M1=2,Q26," ")))</f>
        <v>167.99192499999998</v>
      </c>
      <c r="G26" s="87">
        <f ca="1">IF(N26=0,IF(N25=1,G25," "),IF(M1=1,AC26,IF(M1=2,AD26," ")))</f>
        <v>0</v>
      </c>
      <c r="H26" s="87">
        <f t="shared" ref="H26:H86" ca="1" si="4">IF(SUM(D26:G26)=0," ",SUM(D26:G26))</f>
        <v>313.82192499999996</v>
      </c>
      <c r="I26" s="87">
        <f ca="1">IF(N26=1,IF(N27=1,IF(M26&lt;=D$15,T26,AV$26),D$10-AV$26*M$16+AV$26),0)</f>
        <v>148.93617021276594</v>
      </c>
      <c r="J26" s="87">
        <f ca="1">AA26</f>
        <v>169.16666666666666</v>
      </c>
      <c r="K26" s="87">
        <f ca="1">AH26</f>
        <v>0</v>
      </c>
      <c r="L26" s="87">
        <f ca="1">IF(SUM(I26:K26)=0," ",SUM(I26:K26))</f>
        <v>318.10283687943263</v>
      </c>
      <c r="M26" s="2">
        <f>M25+1</f>
        <v>2</v>
      </c>
      <c r="N26" s="2">
        <f ca="1">IF(M1=1,IF(M14&gt;1,1,0),IF(M1=2,IF(M14&gt;1,1,0),0))</f>
        <v>1</v>
      </c>
      <c r="O26" s="2">
        <f t="shared" ca="1" si="0"/>
        <v>20</v>
      </c>
      <c r="P26" s="134">
        <f t="shared" ref="P26:P85" ca="1" si="5">U26</f>
        <v>167.99192499999998</v>
      </c>
      <c r="Q26" s="134">
        <f t="shared" ref="Q26:Q85" ca="1" si="6">V26</f>
        <v>167.99192499999998</v>
      </c>
      <c r="R26" s="134">
        <f ca="1">IF(N26=0,0,R25-D25)</f>
        <v>6854.17</v>
      </c>
      <c r="S26" s="134">
        <f>IF(M26&lt;=D$15,D$10/(D$14-M25),D26)</f>
        <v>148.93617021276594</v>
      </c>
      <c r="T26" s="134">
        <f>S26</f>
        <v>148.93617021276594</v>
      </c>
      <c r="U26" s="134">
        <f ca="1">IF(N27=1,R25*D11*20/36000+R26*D11*10/36000,IF(N27=0,IF(N26=0,0,R26*D11*Q12/36000+R25*D11*20/36000+R26*D11*10/36000)))</f>
        <v>167.99192499999998</v>
      </c>
      <c r="V26" s="134">
        <f ca="1">IF(N27=1,R25*D11*20/36000+R26*D11*10/36000,IF(N27=0,IF(N26=0,0,R26*D11*Q12/36000+R25*D11*20/36000+R26*D11*10/36000)))</f>
        <v>167.99192499999998</v>
      </c>
      <c r="W26" s="134">
        <f ca="1">IF(N27=1,$D$10*$D$11*20/36000+$D$10*$D$11*10/36000,IF(N27=0,IF(N26=0,0,$D$10*$D$11*$Q$12/36000+$D$10*$D$11*20/36000+$D$10*$D$11*10/36000)))</f>
        <v>169.16666666666666</v>
      </c>
      <c r="X26" s="134">
        <f ca="1">IF(W26&lt;&gt;0,IF(VALUE(RIGHT(ROUND(W26,0)))&lt;=5,ROUND(W26,0)-VALUE(RIGHT(ROUND(W26,0))),ROUND(W26,0)+10-VALUE(RIGHT(ROUND(W26,0)))),0)</f>
        <v>170</v>
      </c>
      <c r="Y26" s="134">
        <f t="shared" ref="Y26:Y85" si="7">IF(M26&lt;=(D$15+1),D$10,Y25-I25)</f>
        <v>7000</v>
      </c>
      <c r="Z26" s="134">
        <f ca="1">IF(N27=1,Y25*D$11*20/36000+Y26*D$11*10/36000,IF(N27=0,IF(N26=0,0,Y26*D$11*Q$12/36000+Y25*D$11*20/36000+Y26*D$11*10/36000)))</f>
        <v>169.16666666666666</v>
      </c>
      <c r="AA26" s="134">
        <f t="shared" ref="AA26:AA85" ca="1" si="8">Z26</f>
        <v>169.16666666666666</v>
      </c>
      <c r="AB26" s="134">
        <f ca="1">IF(R27=0,R26*Q12,(R25*20+R26*10))</f>
        <v>208541.7</v>
      </c>
      <c r="AC26" s="134">
        <f t="shared" ca="1" si="1"/>
        <v>0</v>
      </c>
      <c r="AD26" s="134">
        <f ca="1">IF(F10="USD",ROUND(AK26,2),IF(F10="бел. рублей",ROUNDUP(AK26,-1)," "))</f>
        <v>0</v>
      </c>
      <c r="AE26" s="134">
        <f ca="1">IF(N27=1,D$10*G$12*20/36000+D$10*G$12*10/36000,IF(N27=0,IF(N26=0,0,D$10*G$12*Q$12/36000+D$10*G$12*20/36000+D$10*G$12*10/36000)))</f>
        <v>0</v>
      </c>
      <c r="AF26" s="134">
        <f t="shared" ref="AF26:AF85" ca="1" si="9">IF(AE26&lt;&gt;0,IF(VALUE(RIGHT(ROUND(AE26,0)))&lt;=5,ROUND(AE26,0)-VALUE(RIGHT(ROUND(AE26,0))),ROUND(AE26,0)+10-VALUE(RIGHT(ROUND(AE26,0)))),0)</f>
        <v>0</v>
      </c>
      <c r="AG26" s="134">
        <f ca="1">IF(N27=1,Y25*G$12*20/36000+Y26*G$12*10/36000,IF(N27=0,IF(N26=0,0,Y26*G$12*Q$12/36000+Y25*G$12*20/36000+Y26*G$12*10/36000)))</f>
        <v>0</v>
      </c>
      <c r="AH26" s="134">
        <f t="shared" ref="AH26:AH85" ca="1" si="10">IF(AG26&lt;&gt;0,IF(VALUE(RIGHT(ROUND(AG26,0)))&lt;=5,ROUND(AG26,0)-VALUE(RIGHT(ROUND(AG26,0))),ROUND(AG26,0)+10-VALUE(RIGHT(ROUND(AG26,0)))),0)</f>
        <v>0</v>
      </c>
      <c r="AI26" s="134">
        <f t="shared" ref="AI26:AI48" ca="1" si="11">R26</f>
        <v>6854.17</v>
      </c>
      <c r="AJ26" s="134">
        <f ca="1">IF(N27=1,AI25*G12*20/36000+AI26*G12*10/36000,IF(N27=0,IF(N26=0,0,AI26*G12*Q12/36000+AI25*G12*20/36000+AI26*G12*10/36000)))</f>
        <v>0</v>
      </c>
      <c r="AK26" s="134">
        <f ca="1">IF(N27=1,AI25*G12*20/36000+AI26*G12*10/36000,IF(N27=0,IF(N26=0,0,AI26*G12*Q12/36000+AI25*G12*20/36000+AI26*G12*10/36000)))</f>
        <v>0</v>
      </c>
      <c r="AL26" s="132">
        <f t="shared" ref="AL26:AL85" ca="1" si="12">IF(N26=0,0,MONTH(B25)+1)</f>
        <v>3</v>
      </c>
      <c r="AM26" s="132">
        <f t="shared" ref="AM26:AM85" ca="1" si="13">IF(AL26=13,1,AL26)</f>
        <v>3</v>
      </c>
      <c r="AN26" s="2">
        <f t="shared" ref="AN26:AN85" ca="1" si="14">IF(N26=0,0,YEAR(B25))</f>
        <v>2024</v>
      </c>
      <c r="AO26" s="2">
        <f t="shared" ca="1" si="2"/>
        <v>2024</v>
      </c>
      <c r="AP26" s="2">
        <f t="shared" ref="AP26:AP72" ca="1" si="15">IF((AN26/2012)=1,1,IF((AN26/2016)=1,1,IF((AN26/2020)=1,1,IF((AN26/2024)=1,1,IF((AN26/2028)=1,1,IF((AN26/2032)=1,1,0))))))</f>
        <v>1</v>
      </c>
      <c r="AQ26" s="2">
        <f t="shared" ref="AQ26:AQ72" ca="1" si="16">IF(AM26=2,IF(AP26=1,29,28),30)</f>
        <v>30</v>
      </c>
      <c r="AR26" s="2">
        <f t="shared" ref="AR26:AR85" si="17">IF(C$24=30,AQ26,20)</f>
        <v>20</v>
      </c>
      <c r="AS26" s="2">
        <f ca="1">AQ25</f>
        <v>29</v>
      </c>
      <c r="AT26" s="21"/>
      <c r="AU26" s="2">
        <f ca="1">D$10/(A$14-D$15)</f>
        <v>166.66666666666666</v>
      </c>
      <c r="AV26" s="144">
        <f ca="1">ROUNDUP(AU26,2)</f>
        <v>166.67</v>
      </c>
      <c r="AW26" s="21"/>
      <c r="AX26" s="21"/>
      <c r="AY26" s="2">
        <f t="shared" ref="AY26:AY85" ca="1" si="18">IF(D$15=0,0,IF(N26=1,1,0))</f>
        <v>1</v>
      </c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52"/>
      <c r="BL26" s="52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ref="A27:A48" si="19">A26+1</f>
        <v>3</v>
      </c>
      <c r="B27" s="268">
        <f t="shared" ca="1" si="3"/>
        <v>45402</v>
      </c>
      <c r="C27" s="401"/>
      <c r="D27" s="269">
        <f ca="1">IF(N27=0,IF(N26=1,D25+D26," "),IF(N27=0,0,IF(N28=1,D25,IF(N28=0,D10-D25*(M14-1)," "))))</f>
        <v>145.83000000000001</v>
      </c>
      <c r="E27" s="269"/>
      <c r="F27" s="87">
        <f ca="1">IF(N27=0,IF(N26=1,F25+F26," "),IF(M1=1,P27,IF(M1=2,Q27," ")))</f>
        <v>164.46769999999998</v>
      </c>
      <c r="G27" s="87">
        <f ca="1">IF(N27=0,IF(N26=1,G25+G26," "),IF(M1=1,AC27,IF(M1=2,AD27," ")))</f>
        <v>0</v>
      </c>
      <c r="H27" s="87">
        <f t="shared" ca="1" si="4"/>
        <v>310.29769999999996</v>
      </c>
      <c r="I27" s="87">
        <f ca="1">IF(N27=1,IF(N28=1,IF(M27&lt;=D$15,T27,AV$26),D$10-AV$26*M$16+AV$26),0)</f>
        <v>152.17391304347825</v>
      </c>
      <c r="J27" s="87">
        <f ca="1">AA27</f>
        <v>169.16666666666666</v>
      </c>
      <c r="K27" s="87">
        <f ca="1">AH27</f>
        <v>0</v>
      </c>
      <c r="L27" s="87">
        <f ca="1">IF(SUM(I27:K27)=0," ",SUM(I27:K27))</f>
        <v>321.34057971014488</v>
      </c>
      <c r="M27" s="2">
        <f t="shared" ref="M27:M48" si="20">M26+1</f>
        <v>3</v>
      </c>
      <c r="N27" s="2">
        <f ca="1">IF(M1=1,IF(M14&gt;2,1,0),IF(M1=2,IF(M14&gt;2,1,0),0))</f>
        <v>1</v>
      </c>
      <c r="O27" s="2">
        <f t="shared" ca="1" si="0"/>
        <v>20</v>
      </c>
      <c r="P27" s="134">
        <f t="shared" ca="1" si="5"/>
        <v>164.46769999999998</v>
      </c>
      <c r="Q27" s="134">
        <f t="shared" ca="1" si="6"/>
        <v>164.46769999999998</v>
      </c>
      <c r="R27" s="134">
        <f t="shared" ref="R27:R48" ca="1" si="21">IF(N27=0,0,R26-D26)</f>
        <v>6708.34</v>
      </c>
      <c r="S27" s="134">
        <f t="shared" ref="S27:S85" si="22">IF(M27&lt;=D$15,D$10/(D$14-M26),D27)</f>
        <v>152.17391304347825</v>
      </c>
      <c r="T27" s="134">
        <f t="shared" ref="T27:T85" si="23">S27</f>
        <v>152.17391304347825</v>
      </c>
      <c r="U27" s="134">
        <f ca="1">IF(N28=1,R26*D11*20/36000+R27*D11*10/36000,IF(N28=0,IF(N27=0,0,R27*D11*Q12/36000+R26*D11*20/36000+R27*D11*10/36000)))</f>
        <v>164.46769999999998</v>
      </c>
      <c r="V27" s="134">
        <f ca="1">IF(N28=1,R26*D11*20/36000+R27*D11*10/36000,IF(N28=0,IF(N27=0,0,R27*D11*Q12/36000+R26*D11*20/36000+R27*D11*10/36000)))</f>
        <v>164.46769999999998</v>
      </c>
      <c r="W27" s="134">
        <f t="shared" ref="W27:W32" ca="1" si="24">IF(N28=1,$D$10*$D$11*20/36000+$D$10*$D$11*10/36000,IF(N28=0,IF(N27=0,0,$D$10*$D$11*$Q$12/36000+$D$10*$D$11*20/36000+$D$10*$D$11*10/36000)))</f>
        <v>169.16666666666666</v>
      </c>
      <c r="X27" s="134">
        <f t="shared" ref="X27:X85" ca="1" si="25">IF(W27&lt;&gt;0,IF(VALUE(RIGHT(ROUND(W27,0)))&lt;=5,ROUND(W27,0)-VALUE(RIGHT(ROUND(W27,0))),ROUND(W27,0)+10-VALUE(RIGHT(ROUND(W27,0)))),0)</f>
        <v>170</v>
      </c>
      <c r="Y27" s="134">
        <f t="shared" si="7"/>
        <v>7000</v>
      </c>
      <c r="Z27" s="134">
        <f ca="1">IF(N28=1,Y26*D$11*20/36000+Y27*D$11*10/36000,IF(N28=0,IF(N27=0,0,Y27*D$11*Q$12/36000+Y26*D$11*20/36000+Y27*D$11*10/36000)))</f>
        <v>169.16666666666666</v>
      </c>
      <c r="AA27" s="134">
        <f t="shared" ca="1" si="8"/>
        <v>169.16666666666666</v>
      </c>
      <c r="AB27" s="134">
        <f ca="1">IF(R28=0,R27*Q12,(R26*20+R27*10))</f>
        <v>204166.8</v>
      </c>
      <c r="AC27" s="134">
        <f t="shared" ca="1" si="1"/>
        <v>0</v>
      </c>
      <c r="AD27" s="134">
        <f ca="1">IF(F10="USD",ROUND(AK27,2),IF(F10="бел. рублей",ROUNDUP(AK27,-1)," "))</f>
        <v>0</v>
      </c>
      <c r="AE27" s="134">
        <f ca="1">IF(N28=1,D$10*G$12*20/36000+D$10*G$12*10/36000,IF(N28=0,IF(N27=0,0,D$10*G$12*Q$12/36000+D$10*G$12*20/36000+D$10*G$12*10/36000)))</f>
        <v>0</v>
      </c>
      <c r="AF27" s="134">
        <f t="shared" ca="1" si="9"/>
        <v>0</v>
      </c>
      <c r="AG27" s="134">
        <f t="shared" ref="AG27:AG84" ca="1" si="26">IF(N28=1,Y26*G$12*20/36000+Y27*G$12*10/36000,IF(N28=0,IF(N27=0,0,Y27*G$12*Q$12/36000+Y26*G$12*20/36000+Y27*G$12*10/36000)))</f>
        <v>0</v>
      </c>
      <c r="AH27" s="134">
        <f t="shared" ca="1" si="10"/>
        <v>0</v>
      </c>
      <c r="AI27" s="134">
        <f t="shared" ca="1" si="11"/>
        <v>6708.34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ca="1" si="12"/>
        <v>4</v>
      </c>
      <c r="AM27" s="132">
        <f t="shared" ca="1" si="13"/>
        <v>4</v>
      </c>
      <c r="AN27" s="2">
        <f t="shared" ca="1" si="14"/>
        <v>2024</v>
      </c>
      <c r="AO27" s="2">
        <f t="shared" ca="1" si="2"/>
        <v>2024</v>
      </c>
      <c r="AP27" s="2">
        <f t="shared" ca="1" si="15"/>
        <v>1</v>
      </c>
      <c r="AQ27" s="2">
        <f t="shared" ca="1" si="16"/>
        <v>30</v>
      </c>
      <c r="AR27" s="2">
        <f t="shared" si="17"/>
        <v>20</v>
      </c>
      <c r="AS27" s="2">
        <f t="shared" ref="AS27:AS85" ca="1" si="27">AQ26</f>
        <v>30</v>
      </c>
      <c r="AT27" s="21"/>
      <c r="AU27" s="21"/>
      <c r="AV27" s="21"/>
      <c r="AW27" s="21"/>
      <c r="AX27" s="21"/>
      <c r="AY27" s="2">
        <f t="shared" ca="1" si="18"/>
        <v>1</v>
      </c>
      <c r="AZ27" s="21"/>
      <c r="BA27" s="21">
        <v>12</v>
      </c>
      <c r="BB27" s="21">
        <v>3</v>
      </c>
      <c r="BC27" s="21"/>
      <c r="BD27" s="21"/>
      <c r="BE27" s="21"/>
      <c r="BF27" s="21"/>
      <c r="BG27" s="21"/>
      <c r="BH27" s="21"/>
      <c r="BI27" s="21"/>
      <c r="BJ27" s="21"/>
      <c r="BK27" s="52"/>
      <c r="BL27" s="52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9"/>
        <v>4</v>
      </c>
      <c r="B28" s="268">
        <f t="shared" ca="1" si="3"/>
        <v>45432</v>
      </c>
      <c r="C28" s="401"/>
      <c r="D28" s="269">
        <f ca="1">IF(N28=0,IF(N27=1,D25+D26+D27," "),IF(N28=0,0,IF(N29=1,D25,IF(N29=0,D10-D25*(M14-1)," "))))</f>
        <v>145.83000000000001</v>
      </c>
      <c r="E28" s="269"/>
      <c r="F28" s="87">
        <f ca="1">IF(N28=0,IF(N27=1,F25+F26+F27," "),IF(M1=1,P28,IF(M1=2,Q28," ")))</f>
        <v>160.94347500000001</v>
      </c>
      <c r="G28" s="87">
        <f ca="1">IF(N28=0,IF(N27=1,G25+G26+G27," "),IF(M1=1,AC28,IF(M1=2,AD28," ")))</f>
        <v>0</v>
      </c>
      <c r="H28" s="87">
        <f t="shared" ca="1" si="4"/>
        <v>306.77347500000002</v>
      </c>
      <c r="I28" s="87">
        <f t="shared" ref="I28:I85" ca="1" si="28">IF(N28=1,IF(N29=1,IF(M28&lt;=D$15,T28,AV$26),D$10-AV$26*M$16+AV$26),0)</f>
        <v>155.55555555555554</v>
      </c>
      <c r="J28" s="87">
        <f t="shared" ref="J28:J85" ca="1" si="29">AA28</f>
        <v>169.16666666666666</v>
      </c>
      <c r="K28" s="87">
        <f t="shared" ref="K28:K85" ca="1" si="30">AH28</f>
        <v>0</v>
      </c>
      <c r="L28" s="87">
        <f t="shared" ref="L28:L85" ca="1" si="31">IF(SUM(I28:K28)=0," ",SUM(I28:K28))</f>
        <v>324.72222222222217</v>
      </c>
      <c r="M28" s="2">
        <f t="shared" si="20"/>
        <v>4</v>
      </c>
      <c r="N28" s="2">
        <f ca="1">IF(M1=1,IF(M14&gt;3,1,0),IF(M1=2,IF(M14&gt;3,1,0),0))</f>
        <v>1</v>
      </c>
      <c r="O28" s="2">
        <f t="shared" ca="1" si="0"/>
        <v>20</v>
      </c>
      <c r="P28" s="134">
        <f t="shared" ca="1" si="5"/>
        <v>160.94347500000001</v>
      </c>
      <c r="Q28" s="134">
        <f t="shared" ca="1" si="6"/>
        <v>160.94347500000001</v>
      </c>
      <c r="R28" s="134">
        <f t="shared" ca="1" si="21"/>
        <v>6562.51</v>
      </c>
      <c r="S28" s="134">
        <f t="shared" si="22"/>
        <v>155.55555555555554</v>
      </c>
      <c r="T28" s="134">
        <f t="shared" si="23"/>
        <v>155.55555555555554</v>
      </c>
      <c r="U28" s="134">
        <f ca="1">IF(N29=1,R27*D11*20/36000+R28*D11*10/36000,IF(N29=0,IF(N28=0,0,R28*D11*Q12/36000+R27*D11*20/36000+R28*D11*10/36000)))</f>
        <v>160.94347500000001</v>
      </c>
      <c r="V28" s="134">
        <f ca="1">IF(N29=1,R27*D11*20/36000+R28*D11*10/36000,IF(N29=0,IF(N28=0,0,R28*D11*Q12/36000+R27*D11*20/36000+R28*D11*10/36000)))</f>
        <v>160.94347500000001</v>
      </c>
      <c r="W28" s="134">
        <f t="shared" ca="1" si="24"/>
        <v>169.16666666666666</v>
      </c>
      <c r="X28" s="134">
        <f t="shared" ca="1" si="25"/>
        <v>170</v>
      </c>
      <c r="Y28" s="134">
        <f t="shared" si="7"/>
        <v>7000</v>
      </c>
      <c r="Z28" s="134">
        <f ca="1">IF(N29=1,Y27*D$11*20/36000+Y28*D$11*10/36000,IF(N29=0,IF(N28=0,0,Y28*D$11*Q$12/36000+Y27*D$11*20/36000+Y28*D$11*10/36000)))</f>
        <v>169.16666666666666</v>
      </c>
      <c r="AA28" s="134">
        <f t="shared" ca="1" si="8"/>
        <v>169.16666666666666</v>
      </c>
      <c r="AB28" s="134">
        <f ca="1">IF(R29=0,R28*Q12,(R27*20+R28*10))</f>
        <v>199791.9</v>
      </c>
      <c r="AC28" s="134">
        <f t="shared" ca="1" si="1"/>
        <v>0</v>
      </c>
      <c r="AD28" s="134">
        <f ca="1">IF(F10="USD",ROUND(AK28,2),IF(F10="бел. рублей",ROUNDUP(AK28,-1)," "))</f>
        <v>0</v>
      </c>
      <c r="AE28" s="134">
        <f t="shared" ref="AE28:AE84" ca="1" si="32">IF(N29=1,D$10*G$12*20/36000+D$10*G$12*10/36000,IF(N29=0,IF(N28=0,0,D$10*G$12*Q$12/36000+D$10*G$12*20/36000+D$10*G$12*10/36000)))</f>
        <v>0</v>
      </c>
      <c r="AF28" s="134">
        <f t="shared" ca="1" si="9"/>
        <v>0</v>
      </c>
      <c r="AG28" s="134">
        <f t="shared" ca="1" si="26"/>
        <v>0</v>
      </c>
      <c r="AH28" s="134">
        <f t="shared" ca="1" si="10"/>
        <v>0</v>
      </c>
      <c r="AI28" s="134">
        <f t="shared" ca="1" si="11"/>
        <v>6562.51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12"/>
        <v>5</v>
      </c>
      <c r="AM28" s="132">
        <f t="shared" ca="1" si="13"/>
        <v>5</v>
      </c>
      <c r="AN28" s="2">
        <f t="shared" ca="1" si="14"/>
        <v>2024</v>
      </c>
      <c r="AO28" s="2">
        <f t="shared" ca="1" si="2"/>
        <v>2024</v>
      </c>
      <c r="AP28" s="2">
        <f t="shared" ca="1" si="15"/>
        <v>1</v>
      </c>
      <c r="AQ28" s="2">
        <f t="shared" ca="1" si="16"/>
        <v>30</v>
      </c>
      <c r="AR28" s="2">
        <f t="shared" si="17"/>
        <v>20</v>
      </c>
      <c r="AS28" s="2">
        <f t="shared" ca="1" si="27"/>
        <v>30</v>
      </c>
      <c r="AT28" s="21"/>
      <c r="AU28" s="21"/>
      <c r="AV28" s="21"/>
      <c r="AW28" s="21"/>
      <c r="AX28" s="21"/>
      <c r="AY28" s="2">
        <f t="shared" ca="1" si="18"/>
        <v>1</v>
      </c>
      <c r="AZ28" s="21"/>
      <c r="BA28" s="21">
        <v>24</v>
      </c>
      <c r="BB28" s="21">
        <v>6</v>
      </c>
      <c r="BC28" s="21"/>
      <c r="BD28" s="21"/>
      <c r="BE28" s="21"/>
      <c r="BF28" s="21"/>
      <c r="BG28" s="21"/>
      <c r="BH28" s="21"/>
      <c r="BI28" s="21"/>
      <c r="BJ28" s="21"/>
      <c r="BK28" s="52"/>
      <c r="BL28" s="52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9"/>
        <v>5</v>
      </c>
      <c r="B29" s="268">
        <f t="shared" ca="1" si="3"/>
        <v>45463</v>
      </c>
      <c r="C29" s="401"/>
      <c r="D29" s="269">
        <f ca="1">IF(N29=0,IF(N28=1,D25+D26+D27+D28," "),IF(N29=0,0,IF(N30=1,D25,IF(N30=0,D10-D25*(M14-1)," "))))</f>
        <v>145.83000000000001</v>
      </c>
      <c r="E29" s="269"/>
      <c r="F29" s="87">
        <f ca="1">IF(N29=0,IF(N28=1,F25+F26+F27+F28," "),IF(M1=1,P29,IF(M1=2,Q29," ")))</f>
        <v>157.41925000000001</v>
      </c>
      <c r="G29" s="87">
        <f ca="1">IF(N29=0,IF(N28=1,G25+G26+G27+G28," "),IF(M1=1,AC29,IF(M1=2,AD29," ")))</f>
        <v>0</v>
      </c>
      <c r="H29" s="87">
        <f t="shared" ca="1" si="4"/>
        <v>303.24925000000002</v>
      </c>
      <c r="I29" s="87">
        <f t="shared" ca="1" si="28"/>
        <v>159.09090909090909</v>
      </c>
      <c r="J29" s="87">
        <f t="shared" ca="1" si="29"/>
        <v>169.16666666666666</v>
      </c>
      <c r="K29" s="87">
        <f t="shared" ca="1" si="30"/>
        <v>0</v>
      </c>
      <c r="L29" s="87">
        <f t="shared" ca="1" si="31"/>
        <v>328.25757575757575</v>
      </c>
      <c r="M29" s="2">
        <f t="shared" si="20"/>
        <v>5</v>
      </c>
      <c r="N29" s="2">
        <f ca="1">IF(M1=1,IF(M14&gt;4,1,0),IF(M1=2,IF(M14&gt;4,1,0),0))</f>
        <v>1</v>
      </c>
      <c r="O29" s="2">
        <f t="shared" ca="1" si="0"/>
        <v>20</v>
      </c>
      <c r="P29" s="134">
        <f t="shared" ca="1" si="5"/>
        <v>157.41925000000001</v>
      </c>
      <c r="Q29" s="134">
        <f t="shared" ca="1" si="6"/>
        <v>157.41925000000001</v>
      </c>
      <c r="R29" s="134">
        <f t="shared" ca="1" si="21"/>
        <v>6416.68</v>
      </c>
      <c r="S29" s="134">
        <f t="shared" si="22"/>
        <v>159.09090909090909</v>
      </c>
      <c r="T29" s="134">
        <f t="shared" si="23"/>
        <v>159.09090909090909</v>
      </c>
      <c r="U29" s="134">
        <f ca="1">IF(N30=1,R28*D11*20/36000+R29*D11*10/36000,IF(N30=0,IF(N29=0,0,R29*D11*Q12/36000+R28*D11*20/36000+R29*D11*10/36000)))</f>
        <v>157.41925000000001</v>
      </c>
      <c r="V29" s="134">
        <f ca="1">IF(N30=1,R28*D11*20/36000+R29*D11*10/36000,IF(N30=0,IF(N29=0,0,R29*D11*Q12/36000+R28*D11*20/36000+R29*D11*10/36000)))</f>
        <v>157.41925000000001</v>
      </c>
      <c r="W29" s="134">
        <f t="shared" ca="1" si="24"/>
        <v>169.16666666666666</v>
      </c>
      <c r="X29" s="134">
        <f t="shared" ca="1" si="25"/>
        <v>170</v>
      </c>
      <c r="Y29" s="134">
        <f t="shared" si="7"/>
        <v>7000</v>
      </c>
      <c r="Z29" s="134">
        <f ca="1">IF(N30=1,Y28*D$11*20/36000+Y29*D$11*10/36000,IF(N30=0,IF(N29=0,0,Y29*D$11*Q$12/36000+Y28*D$11*20/36000+Y29*D$11*10/36000)))</f>
        <v>169.16666666666666</v>
      </c>
      <c r="AA29" s="134">
        <f t="shared" ca="1" si="8"/>
        <v>169.16666666666666</v>
      </c>
      <c r="AB29" s="134">
        <f ca="1">IF(R30=0,R29*Q12,(R28*20+R29*10))</f>
        <v>195417</v>
      </c>
      <c r="AC29" s="134">
        <f t="shared" ca="1" si="1"/>
        <v>0</v>
      </c>
      <c r="AD29" s="134">
        <f ca="1">IF(F10="USD",ROUND(AK29,2),IF(F10="бел. рублей",ROUNDUP(AK29,-1)," "))</f>
        <v>0</v>
      </c>
      <c r="AE29" s="134">
        <f t="shared" ca="1" si="32"/>
        <v>0</v>
      </c>
      <c r="AF29" s="134">
        <f t="shared" ca="1" si="9"/>
        <v>0</v>
      </c>
      <c r="AG29" s="134">
        <f t="shared" ca="1" si="26"/>
        <v>0</v>
      </c>
      <c r="AH29" s="134">
        <f t="shared" ca="1" si="10"/>
        <v>0</v>
      </c>
      <c r="AI29" s="134">
        <f t="shared" ca="1" si="11"/>
        <v>6416.68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12"/>
        <v>6</v>
      </c>
      <c r="AM29" s="132">
        <f t="shared" ca="1" si="13"/>
        <v>6</v>
      </c>
      <c r="AN29" s="2">
        <f t="shared" ca="1" si="14"/>
        <v>2024</v>
      </c>
      <c r="AO29" s="2">
        <f t="shared" ca="1" si="2"/>
        <v>2024</v>
      </c>
      <c r="AP29" s="2">
        <f t="shared" ca="1" si="15"/>
        <v>1</v>
      </c>
      <c r="AQ29" s="2">
        <f t="shared" ca="1" si="16"/>
        <v>30</v>
      </c>
      <c r="AR29" s="2">
        <f t="shared" si="17"/>
        <v>20</v>
      </c>
      <c r="AS29" s="2">
        <f t="shared" ca="1" si="27"/>
        <v>30</v>
      </c>
      <c r="AT29" s="21"/>
      <c r="AU29" s="21"/>
      <c r="AV29" s="21"/>
      <c r="AW29" s="21"/>
      <c r="AX29" s="21"/>
      <c r="AY29" s="2">
        <f t="shared" ca="1" si="18"/>
        <v>1</v>
      </c>
      <c r="AZ29" s="21"/>
      <c r="BA29" s="21">
        <v>36</v>
      </c>
      <c r="BB29" s="21">
        <v>12</v>
      </c>
      <c r="BC29" s="21"/>
      <c r="BD29" s="21"/>
      <c r="BE29" s="21"/>
      <c r="BF29" s="21"/>
      <c r="BG29" s="21"/>
      <c r="BH29" s="21"/>
      <c r="BI29" s="21"/>
      <c r="BJ29" s="21"/>
      <c r="BK29" s="52"/>
      <c r="BL29" s="52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9"/>
        <v>6</v>
      </c>
      <c r="B30" s="268">
        <f t="shared" ca="1" si="3"/>
        <v>45493</v>
      </c>
      <c r="C30" s="401"/>
      <c r="D30" s="269">
        <f ca="1">IF(N30=0,IF(N29=1,D25+D26+D27+D28+D29," "),IF(N30=0,0,IF(N31=1,D25,IF(N31=0,D10-D25*(M14-1)," "))))</f>
        <v>145.83000000000001</v>
      </c>
      <c r="E30" s="269"/>
      <c r="F30" s="87">
        <f ca="1">IF(N30=0,IF(N29=1,F25+F26+F27+F28+F29," "),IF(M1=1,P30,IF(M1=2,Q30," ")))</f>
        <v>153.895025</v>
      </c>
      <c r="G30" s="87">
        <f ca="1">IF(N30=0,IF(N29=1,G25+G26+G27+G28+G29," "),IF(M1=1,AC30,IF(M1=2,AD30," ")))</f>
        <v>0</v>
      </c>
      <c r="H30" s="87">
        <f t="shared" ca="1" si="4"/>
        <v>299.72502500000002</v>
      </c>
      <c r="I30" s="87">
        <f t="shared" ca="1" si="28"/>
        <v>162.7906976744186</v>
      </c>
      <c r="J30" s="87">
        <f t="shared" ca="1" si="29"/>
        <v>169.16666666666666</v>
      </c>
      <c r="K30" s="87">
        <f t="shared" ca="1" si="30"/>
        <v>0</v>
      </c>
      <c r="L30" s="87">
        <f t="shared" ca="1" si="31"/>
        <v>331.95736434108528</v>
      </c>
      <c r="M30" s="2">
        <f t="shared" si="20"/>
        <v>6</v>
      </c>
      <c r="N30" s="2">
        <f ca="1">IF(M1=1,IF(M14&gt;5,1,0),IF(M1=2,IF(M14&gt;5,1,0),0))</f>
        <v>1</v>
      </c>
      <c r="O30" s="2">
        <f t="shared" ca="1" si="0"/>
        <v>20</v>
      </c>
      <c r="P30" s="134">
        <f t="shared" ca="1" si="5"/>
        <v>153.895025</v>
      </c>
      <c r="Q30" s="134">
        <f t="shared" ca="1" si="6"/>
        <v>153.895025</v>
      </c>
      <c r="R30" s="134">
        <f t="shared" ca="1" si="21"/>
        <v>6270.85</v>
      </c>
      <c r="S30" s="134">
        <f t="shared" si="22"/>
        <v>162.7906976744186</v>
      </c>
      <c r="T30" s="134">
        <f t="shared" si="23"/>
        <v>162.7906976744186</v>
      </c>
      <c r="U30" s="134">
        <f ca="1">IF(N31=1,R29*D11*20/36000+R30*D11*10/36000,IF(N31=0,IF(N30=0,0,R30*D11*Q12/36000+R29*D11*20/36000+R30*D11*10/36000)))</f>
        <v>153.895025</v>
      </c>
      <c r="V30" s="134">
        <f ca="1">IF(N31=1,R29*D11*20/36000+R30*D11*10/36000,IF(N31=0,IF(N30=0,0,R30*D11*Q12/36000+R29*D11*20/36000+R30*D11*10/36000)))</f>
        <v>153.895025</v>
      </c>
      <c r="W30" s="134">
        <f t="shared" ca="1" si="24"/>
        <v>169.16666666666666</v>
      </c>
      <c r="X30" s="134">
        <f t="shared" ca="1" si="25"/>
        <v>170</v>
      </c>
      <c r="Y30" s="134">
        <f t="shared" si="7"/>
        <v>7000</v>
      </c>
      <c r="Z30" s="134">
        <f ca="1">IF(N31=1,Y29*D$11*20/36000+Y30*D$11*10/36000,IF(N31=0,IF(N30=0,0,Y30*D$11*Q$12/36000+Y29*D$11*20/36000+Y30*D$11*10/36000)))</f>
        <v>169.16666666666666</v>
      </c>
      <c r="AA30" s="134">
        <f t="shared" ca="1" si="8"/>
        <v>169.16666666666666</v>
      </c>
      <c r="AB30" s="134">
        <f ca="1">IF(R31=0,R30*Q12,(R29*20+R30*10))</f>
        <v>191042.1</v>
      </c>
      <c r="AC30" s="134">
        <f t="shared" ca="1" si="1"/>
        <v>0</v>
      </c>
      <c r="AD30" s="134">
        <f ca="1">IF(F10="USD",ROUND(AK30,2),IF(F10="бел. рублей",ROUNDUP(AK30,-1)," "))</f>
        <v>0</v>
      </c>
      <c r="AE30" s="134">
        <f t="shared" ca="1" si="32"/>
        <v>0</v>
      </c>
      <c r="AF30" s="134">
        <f t="shared" ca="1" si="9"/>
        <v>0</v>
      </c>
      <c r="AG30" s="134">
        <f t="shared" ca="1" si="26"/>
        <v>0</v>
      </c>
      <c r="AH30" s="134">
        <f t="shared" ca="1" si="10"/>
        <v>0</v>
      </c>
      <c r="AI30" s="134">
        <f t="shared" ca="1" si="11"/>
        <v>6270.85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12"/>
        <v>7</v>
      </c>
      <c r="AM30" s="132">
        <f t="shared" ca="1" si="13"/>
        <v>7</v>
      </c>
      <c r="AN30" s="2">
        <f t="shared" ca="1" si="14"/>
        <v>2024</v>
      </c>
      <c r="AO30" s="2">
        <f t="shared" ca="1" si="2"/>
        <v>2024</v>
      </c>
      <c r="AP30" s="2">
        <f t="shared" ca="1" si="15"/>
        <v>1</v>
      </c>
      <c r="AQ30" s="2">
        <f t="shared" ca="1" si="16"/>
        <v>30</v>
      </c>
      <c r="AR30" s="2">
        <f t="shared" si="17"/>
        <v>20</v>
      </c>
      <c r="AS30" s="2">
        <f t="shared" ca="1" si="27"/>
        <v>30</v>
      </c>
      <c r="AT30" s="21"/>
      <c r="AU30" s="21"/>
      <c r="AV30" s="21"/>
      <c r="AW30" s="21"/>
      <c r="AX30" s="21"/>
      <c r="AY30" s="2">
        <f t="shared" ca="1" si="18"/>
        <v>1</v>
      </c>
      <c r="AZ30" s="21"/>
      <c r="BA30" s="21">
        <v>48</v>
      </c>
      <c r="BB30" s="21"/>
      <c r="BC30" s="21"/>
      <c r="BD30" s="21"/>
      <c r="BE30" s="21"/>
      <c r="BF30" s="21"/>
      <c r="BG30" s="21"/>
      <c r="BH30" s="21"/>
      <c r="BI30" s="21"/>
      <c r="BJ30" s="21"/>
      <c r="BK30" s="52"/>
      <c r="BL30" s="52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9"/>
        <v>7</v>
      </c>
      <c r="B31" s="268">
        <f ca="1">IF(N31=0,IF(N30=1,"ИТОГО"," "),IF(M31=M$14,DATE(YEAR(B30),MONTH(B30),O31),DATE(YEAR(B30),MONTH(B30)+1,O31)))</f>
        <v>45524</v>
      </c>
      <c r="C31" s="401"/>
      <c r="D31" s="269">
        <f ca="1">IF(N31=0,IF(N30=1,D25+D26+D27+D28+D29+D30," "),IF(N31=0," ",IF(N32=1,D25,IF(N32=0,D10-D25*(M14-1)," "))))</f>
        <v>145.83000000000001</v>
      </c>
      <c r="E31" s="269"/>
      <c r="F31" s="87">
        <f ca="1">IF(N31=0,IF(N30=1,F25+F26+F27+F28+F29+F30," "),IF(M1=1,P31,IF(M1=2,Q31," ")))</f>
        <v>150.37080000000003</v>
      </c>
      <c r="G31" s="87">
        <f ca="1">IF(N31=0,IF(N30=1,G25+G26+G27+G28+G29+G30," "),IF(M1=1,AC31,IF(M1=2,AD31," ")))</f>
        <v>0</v>
      </c>
      <c r="H31" s="87">
        <f t="shared" ca="1" si="4"/>
        <v>296.20080000000007</v>
      </c>
      <c r="I31" s="87">
        <f t="shared" ca="1" si="28"/>
        <v>166.67</v>
      </c>
      <c r="J31" s="87">
        <f t="shared" ca="1" si="29"/>
        <v>169.16666666666666</v>
      </c>
      <c r="K31" s="87">
        <f t="shared" ca="1" si="30"/>
        <v>0</v>
      </c>
      <c r="L31" s="87">
        <f t="shared" ca="1" si="31"/>
        <v>335.83666666666664</v>
      </c>
      <c r="M31" s="2">
        <f t="shared" si="20"/>
        <v>7</v>
      </c>
      <c r="N31" s="2">
        <f ca="1">IF(M1=1,IF(M14&gt;6,1,0),IF(M1=2,IF(M14&gt;6,1,0),0))</f>
        <v>1</v>
      </c>
      <c r="O31" s="2">
        <f ca="1">IF(M31=A$14,IF(MONTH(B30)=-2,AS31,DATE(YEAR(0),MONTH(0),DAY(D$16)-1)),AR31)</f>
        <v>20</v>
      </c>
      <c r="P31" s="134">
        <f t="shared" ca="1" si="5"/>
        <v>150.37080000000003</v>
      </c>
      <c r="Q31" s="134">
        <f t="shared" ca="1" si="6"/>
        <v>150.37080000000003</v>
      </c>
      <c r="R31" s="134">
        <f t="shared" ca="1" si="21"/>
        <v>6125.02</v>
      </c>
      <c r="S31" s="134">
        <f t="shared" ca="1" si="22"/>
        <v>145.83000000000001</v>
      </c>
      <c r="T31" s="134">
        <f t="shared" ca="1" si="23"/>
        <v>145.83000000000001</v>
      </c>
      <c r="U31" s="134">
        <f ca="1">IF(N32=1,R30*D$11*20/36000+R31*D$11*10/36000,IF(N32=0,IF(N31=0,0,IF(D$16&gt;20,R30*D$11*20/36000+R31*D$11*(Q$12-20)/36000,R31*D$11*Q$12/36000))))</f>
        <v>150.37080000000003</v>
      </c>
      <c r="V31" s="134">
        <f ca="1">IF(N32=1,R30*D$11*20/36000+R31*D$11*10/36000,IF(N32=0,IF(N31=0,0,IF(D$16&gt;20,R30*D$11*20/36000+R31*D$11*(Q$12-20)/36000,R31*D$11*Q$12/36000))))</f>
        <v>150.37080000000003</v>
      </c>
      <c r="W31" s="134">
        <f t="shared" ca="1" si="24"/>
        <v>169.16666666666666</v>
      </c>
      <c r="X31" s="134">
        <f t="shared" ca="1" si="25"/>
        <v>170</v>
      </c>
      <c r="Y31" s="134">
        <f t="shared" si="7"/>
        <v>7000</v>
      </c>
      <c r="Z31" s="134">
        <f ca="1">IF(N32=1,Y30*D$11*20/36000+Y31*D$11*10/36000,IF(N32=0,IF(N31=0,0,IF(D$16&gt;20,Y30*D$11*20/36000+Y31*D$11*(Q$12-20)/36000,Y31*D$11*Q$12/36000))))</f>
        <v>169.16666666666666</v>
      </c>
      <c r="AA31" s="134">
        <f t="shared" ca="1" si="8"/>
        <v>169.16666666666666</v>
      </c>
      <c r="AB31" s="134">
        <f ca="1">IF(R32=0,R31*Q12,(R30*20+R31*10))</f>
        <v>186667.2</v>
      </c>
      <c r="AC31" s="134">
        <f t="shared" ca="1" si="1"/>
        <v>0</v>
      </c>
      <c r="AD31" s="134">
        <f ca="1">IF(F10="USD",ROUND(AK31,2),IF(F10="бел. рублей",ROUNDUP(AK31,-1)," "))</f>
        <v>0</v>
      </c>
      <c r="AE31" s="134">
        <f t="shared" ca="1" si="32"/>
        <v>0</v>
      </c>
      <c r="AF31" s="134">
        <f t="shared" ca="1" si="9"/>
        <v>0</v>
      </c>
      <c r="AG31" s="134">
        <f t="shared" ca="1" si="26"/>
        <v>0</v>
      </c>
      <c r="AH31" s="134">
        <f t="shared" ca="1" si="10"/>
        <v>0</v>
      </c>
      <c r="AI31" s="134">
        <f t="shared" ca="1" si="11"/>
        <v>6125.02</v>
      </c>
      <c r="AJ31" s="134">
        <f ca="1">IF(N32=1,AI30*G$12*20/36000+AI31*G$12*10/36000,IF(N32=0,IF(N31=0,0,AI31*G$12*Q$12/36000)))</f>
        <v>0</v>
      </c>
      <c r="AK31" s="134">
        <f ca="1">IF(N32=1,AI30*G$12*20/36000+AI31*G$12*10/36000,IF(N32=0,IF(N31=0,0,AI31*G$12*Q$12/36000)))</f>
        <v>0</v>
      </c>
      <c r="AL31" s="132">
        <f t="shared" ca="1" si="12"/>
        <v>8</v>
      </c>
      <c r="AM31" s="132">
        <f t="shared" ca="1" si="13"/>
        <v>8</v>
      </c>
      <c r="AN31" s="2">
        <f t="shared" ca="1" si="14"/>
        <v>2024</v>
      </c>
      <c r="AO31" s="2">
        <f t="shared" ca="1" si="2"/>
        <v>2024</v>
      </c>
      <c r="AP31" s="2">
        <f t="shared" ca="1" si="15"/>
        <v>1</v>
      </c>
      <c r="AQ31" s="2">
        <f t="shared" ca="1" si="16"/>
        <v>30</v>
      </c>
      <c r="AR31" s="2">
        <f t="shared" si="17"/>
        <v>20</v>
      </c>
      <c r="AS31" s="2">
        <f t="shared" ca="1" si="27"/>
        <v>30</v>
      </c>
      <c r="AT31" s="21"/>
      <c r="AU31" s="21"/>
      <c r="AV31" s="21"/>
      <c r="AW31" s="21"/>
      <c r="AX31" s="21"/>
      <c r="AY31" s="2">
        <f t="shared" ca="1" si="18"/>
        <v>1</v>
      </c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52"/>
      <c r="BL31" s="52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9"/>
        <v>8</v>
      </c>
      <c r="B32" s="268">
        <f t="shared" ca="1" si="3"/>
        <v>45555</v>
      </c>
      <c r="C32" s="401"/>
      <c r="D32" s="269">
        <f ca="1">IF(N32=0,IF(N31=1,D25+D26+D27+D28+D29+D30+D31," "),IF(N32=0," ",IF(N33=1,D25,IF(N33=0,D10-D25*(M14-1)," "))))</f>
        <v>145.83000000000001</v>
      </c>
      <c r="E32" s="269"/>
      <c r="F32" s="87">
        <f ca="1">IF(N32=0,IF(N31=1,F25+F26+F27+F28+F29+F30+F31," "),IF(M1=1,P32,IF(M1=2,Q32," ")))</f>
        <v>146.84657500000003</v>
      </c>
      <c r="G32" s="87">
        <f ca="1">IF(N32=0,IF(N31=1,G25+G26+G27+G28+G29+G30+G31," "),IF(M1=1,AC32,IF(M1=2,AD32," ")))</f>
        <v>0</v>
      </c>
      <c r="H32" s="87">
        <f t="shared" ca="1" si="4"/>
        <v>292.67657500000007</v>
      </c>
      <c r="I32" s="87">
        <f t="shared" ca="1" si="28"/>
        <v>166.67</v>
      </c>
      <c r="J32" s="87">
        <f ca="1">AA32</f>
        <v>167.82404722222222</v>
      </c>
      <c r="K32" s="87">
        <f t="shared" ca="1" si="30"/>
        <v>0</v>
      </c>
      <c r="L32" s="87">
        <f t="shared" ca="1" si="31"/>
        <v>334.49404722222221</v>
      </c>
      <c r="M32" s="2">
        <f t="shared" si="20"/>
        <v>8</v>
      </c>
      <c r="N32" s="2">
        <f ca="1">IF(M1=1,IF(M14&gt;7,1,0),IF(M1=2,IF(M14&gt;7,1,0),0))</f>
        <v>1</v>
      </c>
      <c r="O32" s="2">
        <f ca="1">IF(M32=A$14,IF(DATE(YEAR(0),MONTH(0),DAY(D$16)-1)&lt;AR32,DATE(YEAR(0),MONTH(0),DAY(D$16)-1),AR32),AR32)</f>
        <v>20</v>
      </c>
      <c r="P32" s="134">
        <f t="shared" ca="1" si="5"/>
        <v>146.84657500000003</v>
      </c>
      <c r="Q32" s="134">
        <f t="shared" ca="1" si="6"/>
        <v>146.84657500000003</v>
      </c>
      <c r="R32" s="134">
        <f t="shared" ca="1" si="21"/>
        <v>5979.1900000000005</v>
      </c>
      <c r="S32" s="134">
        <f t="shared" ca="1" si="22"/>
        <v>145.83000000000001</v>
      </c>
      <c r="T32" s="134">
        <f t="shared" ca="1" si="23"/>
        <v>145.83000000000001</v>
      </c>
      <c r="U32" s="134">
        <f t="shared" ref="U32:U85" ca="1" si="33">IF(N33=1,R31*D$11*20/36000+R32*D$11*10/36000,IF(N33=0,IF(N32=0,0,IF(D$16&gt;20,R31*D$11*20/36000+R32*D$11*(Q$12-20)/36000,R32*D$11*Q$12/36000))))</f>
        <v>146.84657500000003</v>
      </c>
      <c r="V32" s="134">
        <f t="shared" ref="V32:V85" ca="1" si="34">IF(N33=1,R31*D$11*20/36000+R32*D$11*10/36000,IF(N33=0,IF(N32=0,0,IF(D$16&gt;20,R31*D$11*20/36000+R32*D$11*(Q$12-20)/36000,R32*D$11*Q$12/36000))))</f>
        <v>146.84657500000003</v>
      </c>
      <c r="W32" s="134">
        <f t="shared" ca="1" si="24"/>
        <v>169.16666666666666</v>
      </c>
      <c r="X32" s="134">
        <f t="shared" ca="1" si="25"/>
        <v>170</v>
      </c>
      <c r="Y32" s="134">
        <f t="shared" ca="1" si="7"/>
        <v>6833.33</v>
      </c>
      <c r="Z32" s="134">
        <f ca="1">IF(N33=1,Y31*D$11*20/36000+Y32*D$11*10/36000,IF(N33=0,IF(N32=0,0,IF(D$16&gt;20,Y31*D$11*20/36000+Y32*D$11*(Q$12-20)/36000,Y32*D$11*Q$12/36000))))</f>
        <v>167.82404722222222</v>
      </c>
      <c r="AA32" s="134">
        <f t="shared" ca="1" si="8"/>
        <v>167.82404722222222</v>
      </c>
      <c r="AB32" s="134">
        <f ca="1">IF(R33=0,R32*Q12,(R31*20+R32*10))</f>
        <v>182292.30000000002</v>
      </c>
      <c r="AC32" s="134">
        <f t="shared" ca="1" si="1"/>
        <v>0</v>
      </c>
      <c r="AD32" s="134">
        <f ca="1">IF(F10="USD",ROUND(AK32,2),IF(F10="бел. рублей",ROUNDUP(AK32,-1)," "))</f>
        <v>0</v>
      </c>
      <c r="AE32" s="134">
        <f t="shared" ca="1" si="32"/>
        <v>0</v>
      </c>
      <c r="AF32" s="134">
        <f t="shared" ca="1" si="9"/>
        <v>0</v>
      </c>
      <c r="AG32" s="134">
        <f t="shared" ca="1" si="26"/>
        <v>0</v>
      </c>
      <c r="AH32" s="134">
        <f t="shared" ca="1" si="10"/>
        <v>0</v>
      </c>
      <c r="AI32" s="134">
        <f t="shared" ca="1" si="11"/>
        <v>5979.1900000000005</v>
      </c>
      <c r="AJ32" s="134">
        <f ca="1">IF(N33=1,AI31*G12*20/36000+AI32*G12*10/36000,IF(N33=0,IF(N32=0,0,AI32*G12*Q12/36000+AI31*G12*20/36000+AI32*G12*10/36000)))</f>
        <v>0</v>
      </c>
      <c r="AK32" s="134">
        <f ca="1">IF(N33=1,AI31*G12*20/36000+AI32*G12*10/36000,IF(N33=0,IF(N32=0,0,AI32*G12*Q12/36000+AI31*G12*20/36000+AI32*G12*10/36000)))</f>
        <v>0</v>
      </c>
      <c r="AL32" s="132">
        <f t="shared" ca="1" si="12"/>
        <v>9</v>
      </c>
      <c r="AM32" s="132">
        <f t="shared" ca="1" si="13"/>
        <v>9</v>
      </c>
      <c r="AN32" s="2">
        <f t="shared" ca="1" si="14"/>
        <v>2024</v>
      </c>
      <c r="AO32" s="2">
        <f t="shared" ca="1" si="2"/>
        <v>2024</v>
      </c>
      <c r="AP32" s="2">
        <f t="shared" ca="1" si="15"/>
        <v>1</v>
      </c>
      <c r="AQ32" s="2">
        <f t="shared" ca="1" si="16"/>
        <v>30</v>
      </c>
      <c r="AR32" s="2">
        <f t="shared" si="17"/>
        <v>20</v>
      </c>
      <c r="AS32" s="2">
        <f t="shared" ca="1" si="27"/>
        <v>30</v>
      </c>
      <c r="AT32" s="21"/>
      <c r="AU32" s="21"/>
      <c r="AV32" s="21"/>
      <c r="AW32" s="21"/>
      <c r="AX32" s="21"/>
      <c r="AY32" s="2">
        <f t="shared" ca="1" si="18"/>
        <v>1</v>
      </c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52"/>
      <c r="BL32" s="52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9"/>
        <v>9</v>
      </c>
      <c r="B33" s="268">
        <f t="shared" ca="1" si="3"/>
        <v>45585</v>
      </c>
      <c r="C33" s="401"/>
      <c r="D33" s="269">
        <f ca="1">IF(N33=0,IF(N32=1,D25+D26+D27+D28+D29+D30+D31+D32," "),IF(N33=0," ",IF(N34=1,D25,IF(N34=0,D10-D25*(M14-1)," "))))</f>
        <v>145.83000000000001</v>
      </c>
      <c r="E33" s="269"/>
      <c r="F33" s="87">
        <f ca="1">IF(N33=0,IF(N32=1,F25+F26+F27+F28+F29+F30+F31+F32," "),IF(M1=1,P33,IF(M1=2,Q33," ")))</f>
        <v>143.32235</v>
      </c>
      <c r="G33" s="87">
        <f ca="1">IF(N33=0,IF(N32=1,G25+G26+G27+G28+G29+G30+G31+G32," "),IF(M1=1,AC33,IF(M1=2,AD33," ")))</f>
        <v>0</v>
      </c>
      <c r="H33" s="87">
        <f t="shared" ca="1" si="4"/>
        <v>289.15235000000001</v>
      </c>
      <c r="I33" s="87">
        <f t="shared" ca="1" si="28"/>
        <v>166.67</v>
      </c>
      <c r="J33" s="87">
        <f t="shared" ca="1" si="29"/>
        <v>163.79618888888888</v>
      </c>
      <c r="K33" s="87">
        <f t="shared" ca="1" si="30"/>
        <v>0</v>
      </c>
      <c r="L33" s="87">
        <f t="shared" ca="1" si="31"/>
        <v>330.46618888888884</v>
      </c>
      <c r="M33" s="2">
        <f t="shared" si="20"/>
        <v>9</v>
      </c>
      <c r="N33" s="2">
        <f ca="1">IF(M1=1,IF(M14&gt;8,1,0),IF(M1=2,IF(M14&gt;8,1,0),0))</f>
        <v>1</v>
      </c>
      <c r="O33" s="2">
        <f ca="1">IF(M33=A$14,IF(DATE(YEAR(0),MONTH(0),DAY(D$16)-1)&lt;AR33,DATE(YEAR(0),MONTH(0),DAY(D$16)-1),AR33),AR33)</f>
        <v>20</v>
      </c>
      <c r="P33" s="134">
        <f t="shared" ca="1" si="5"/>
        <v>143.32235</v>
      </c>
      <c r="Q33" s="134">
        <f t="shared" ca="1" si="6"/>
        <v>143.32235</v>
      </c>
      <c r="R33" s="134">
        <f t="shared" ca="1" si="21"/>
        <v>5833.3600000000006</v>
      </c>
      <c r="S33" s="134">
        <f t="shared" ca="1" si="22"/>
        <v>145.83000000000001</v>
      </c>
      <c r="T33" s="134">
        <f t="shared" ca="1" si="23"/>
        <v>145.83000000000001</v>
      </c>
      <c r="U33" s="134">
        <f t="shared" ca="1" si="33"/>
        <v>143.32235</v>
      </c>
      <c r="V33" s="134">
        <f t="shared" ca="1" si="34"/>
        <v>143.32235</v>
      </c>
      <c r="W33" s="134">
        <f t="shared" ref="W33:W84" ca="1" si="35">IF(N34=1,$D$10*$D$11*20/36000+$D$10*$D$11*10/36000,IF(N34=0,IF(N33=0,0,$D$10*$D$11*$Q$12/36000+$D$10*$D$11*20/36000+$D$10*$D$11*10/36000)))</f>
        <v>169.16666666666666</v>
      </c>
      <c r="X33" s="134">
        <f t="shared" ca="1" si="25"/>
        <v>170</v>
      </c>
      <c r="Y33" s="134">
        <f t="shared" ca="1" si="7"/>
        <v>6666.66</v>
      </c>
      <c r="Z33" s="134">
        <f t="shared" ref="Z33:Z85" ca="1" si="36">IF(N34=1,Y32*D$11*20/36000+Y33*D$11*10/36000,IF(N34=0,IF(N33=0,0,IF(D$16&gt;20,Y32*D$11*20/36000+Y33*D$11*(Q$12-20)/36000,Y33*D$11*Q$12/36000))))</f>
        <v>163.79618888888888</v>
      </c>
      <c r="AA33" s="134">
        <f t="shared" ca="1" si="8"/>
        <v>163.79618888888888</v>
      </c>
      <c r="AB33" s="134">
        <f ca="1">IF(R34=0,R33*Q12,(R32*20+R33*10))</f>
        <v>177917.40000000002</v>
      </c>
      <c r="AC33" s="134">
        <f t="shared" ca="1" si="1"/>
        <v>0</v>
      </c>
      <c r="AD33" s="134">
        <f ca="1">IF(F10="USD",ROUND(AK33,2),IF(F10="бел. рублей",ROUNDUP(AK33,-1)," "))</f>
        <v>0</v>
      </c>
      <c r="AE33" s="134">
        <f t="shared" ca="1" si="32"/>
        <v>0</v>
      </c>
      <c r="AF33" s="134">
        <f t="shared" ca="1" si="9"/>
        <v>0</v>
      </c>
      <c r="AG33" s="134">
        <f t="shared" ca="1" si="26"/>
        <v>0</v>
      </c>
      <c r="AH33" s="134">
        <f t="shared" ca="1" si="10"/>
        <v>0</v>
      </c>
      <c r="AI33" s="134">
        <f t="shared" ca="1" si="11"/>
        <v>5833.3600000000006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12"/>
        <v>10</v>
      </c>
      <c r="AM33" s="132">
        <f t="shared" ca="1" si="13"/>
        <v>10</v>
      </c>
      <c r="AN33" s="2">
        <f t="shared" ca="1" si="14"/>
        <v>2024</v>
      </c>
      <c r="AO33" s="2">
        <f t="shared" ca="1" si="2"/>
        <v>2024</v>
      </c>
      <c r="AP33" s="2">
        <f t="shared" ca="1" si="15"/>
        <v>1</v>
      </c>
      <c r="AQ33" s="2">
        <f t="shared" ca="1" si="16"/>
        <v>30</v>
      </c>
      <c r="AR33" s="2">
        <f t="shared" si="17"/>
        <v>20</v>
      </c>
      <c r="AS33" s="2">
        <f t="shared" ca="1" si="27"/>
        <v>30</v>
      </c>
      <c r="AT33" s="21"/>
      <c r="AU33" s="21"/>
      <c r="AV33" s="21"/>
      <c r="AW33" s="21"/>
      <c r="AX33" s="21"/>
      <c r="AY33" s="2">
        <f t="shared" ca="1" si="18"/>
        <v>1</v>
      </c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52"/>
      <c r="BL33" s="52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9"/>
        <v>10</v>
      </c>
      <c r="B34" s="268">
        <f t="shared" ca="1" si="3"/>
        <v>45616</v>
      </c>
      <c r="C34" s="401"/>
      <c r="D34" s="269">
        <f ca="1">IF(N34=0,IF(N33=1,D25+D26+D27+D28+D29+D30+D31+D32+D33," "),IF(N34=0," ",IF(N35=1,D25,IF(N35=0,D10-D25*(M14-1)," "))))</f>
        <v>145.83000000000001</v>
      </c>
      <c r="E34" s="269"/>
      <c r="F34" s="87">
        <f ca="1">IF(N34=0,IF(N33=1,F25+F26+F27+F28+F29+F30+F31+F32+F33," "),IF(M1=1,P34,IF(M1=2,Q34," ")))</f>
        <v>139.798125</v>
      </c>
      <c r="G34" s="87">
        <f ca="1">IF(N34=0,IF(N33=1,G25+G26+G27+G28+G29+G30+G31+G32+G33," "),IF(M1=1,AC34,IF(M1=2,AD34," ")))</f>
        <v>0</v>
      </c>
      <c r="H34" s="87">
        <f t="shared" ca="1" si="4"/>
        <v>285.62812500000001</v>
      </c>
      <c r="I34" s="87">
        <f t="shared" ca="1" si="28"/>
        <v>166.67</v>
      </c>
      <c r="J34" s="87">
        <f t="shared" ca="1" si="29"/>
        <v>159.76833055555554</v>
      </c>
      <c r="K34" s="87">
        <f t="shared" ca="1" si="30"/>
        <v>0</v>
      </c>
      <c r="L34" s="87">
        <f t="shared" ca="1" si="31"/>
        <v>326.43833055555552</v>
      </c>
      <c r="M34" s="2">
        <f t="shared" si="20"/>
        <v>10</v>
      </c>
      <c r="N34" s="2">
        <f ca="1">IF(M1=1,IF(M14&gt;9,1,0),IF(M1=2,IF(M14&gt;9,1,0),0))</f>
        <v>1</v>
      </c>
      <c r="O34" s="2">
        <f ca="1">IF(M34=A$14,IF(DATE(YEAR(0),MONTH(0),DAY(D$16)-1)&lt;AR34,DATE(YEAR(0),MONTH(0),DAY(D$16)-1),AR34),AR34)</f>
        <v>20</v>
      </c>
      <c r="P34" s="134">
        <f t="shared" ca="1" si="5"/>
        <v>139.798125</v>
      </c>
      <c r="Q34" s="134">
        <f t="shared" ca="1" si="6"/>
        <v>139.798125</v>
      </c>
      <c r="R34" s="134">
        <f t="shared" ca="1" si="21"/>
        <v>5687.5300000000007</v>
      </c>
      <c r="S34" s="134">
        <f t="shared" ca="1" si="22"/>
        <v>145.83000000000001</v>
      </c>
      <c r="T34" s="134">
        <f t="shared" ca="1" si="23"/>
        <v>145.83000000000001</v>
      </c>
      <c r="U34" s="134">
        <f t="shared" ca="1" si="33"/>
        <v>139.798125</v>
      </c>
      <c r="V34" s="134">
        <f t="shared" ca="1" si="34"/>
        <v>139.798125</v>
      </c>
      <c r="W34" s="134">
        <f t="shared" ca="1" si="35"/>
        <v>169.16666666666666</v>
      </c>
      <c r="X34" s="134">
        <f t="shared" ca="1" si="25"/>
        <v>170</v>
      </c>
      <c r="Y34" s="134">
        <f t="shared" ca="1" si="7"/>
        <v>6499.99</v>
      </c>
      <c r="Z34" s="134">
        <f t="shared" ca="1" si="36"/>
        <v>159.76833055555554</v>
      </c>
      <c r="AA34" s="134">
        <f t="shared" ca="1" si="8"/>
        <v>159.76833055555554</v>
      </c>
      <c r="AB34" s="134">
        <f ca="1">IF(R35=0,R34*Q12,(R33*20+R34*10))</f>
        <v>173542.5</v>
      </c>
      <c r="AC34" s="134">
        <f t="shared" ca="1" si="1"/>
        <v>0</v>
      </c>
      <c r="AD34" s="134">
        <f ca="1">IF(F10="USD",ROUND(AK34,2),IF(F10="бел. рублей",ROUNDUP(AK34,-1)," "))</f>
        <v>0</v>
      </c>
      <c r="AE34" s="134">
        <f t="shared" ca="1" si="32"/>
        <v>0</v>
      </c>
      <c r="AF34" s="134">
        <f t="shared" ca="1" si="9"/>
        <v>0</v>
      </c>
      <c r="AG34" s="134">
        <f t="shared" ca="1" si="26"/>
        <v>0</v>
      </c>
      <c r="AH34" s="134">
        <f t="shared" ca="1" si="10"/>
        <v>0</v>
      </c>
      <c r="AI34" s="134">
        <f t="shared" ca="1" si="11"/>
        <v>5687.5300000000007</v>
      </c>
      <c r="AJ34" s="134">
        <f ca="1">IF(N35=1,AI33*G12*20/36000+AI34*G12*10/36000,IF(N35=0,IF(N34=0,0,AI34*G12*Q12/36000+29*G12*20/36000+AI34*G12*10/36000)))</f>
        <v>0</v>
      </c>
      <c r="AK34" s="134">
        <f ca="1">IF(N35=1,AI33*G12*20/36000+AI34*G12*10/36000,IF(N35=0,IF(N34=0,0,AI34*G12*Q12/36000+29*G12*20/36000+AI34*G12*10/36000)))</f>
        <v>0</v>
      </c>
      <c r="AL34" s="132">
        <f t="shared" ca="1" si="12"/>
        <v>11</v>
      </c>
      <c r="AM34" s="132">
        <f t="shared" ca="1" si="13"/>
        <v>11</v>
      </c>
      <c r="AN34" s="2">
        <f t="shared" ca="1" si="14"/>
        <v>2024</v>
      </c>
      <c r="AO34" s="2">
        <f t="shared" ca="1" si="2"/>
        <v>2024</v>
      </c>
      <c r="AP34" s="2">
        <f t="shared" ca="1" si="15"/>
        <v>1</v>
      </c>
      <c r="AQ34" s="2">
        <f t="shared" ca="1" si="16"/>
        <v>30</v>
      </c>
      <c r="AR34" s="2">
        <f t="shared" si="17"/>
        <v>20</v>
      </c>
      <c r="AS34" s="2">
        <f t="shared" ca="1" si="27"/>
        <v>30</v>
      </c>
      <c r="AT34" s="21"/>
      <c r="AU34" s="21"/>
      <c r="AV34" s="21"/>
      <c r="AW34" s="21"/>
      <c r="AX34" s="21"/>
      <c r="AY34" s="2">
        <f t="shared" ca="1" si="18"/>
        <v>1</v>
      </c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52"/>
      <c r="BL34" s="52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>A34+1</f>
        <v>11</v>
      </c>
      <c r="B35" s="268">
        <f ca="1">IF(N35=0,IF(N34=1,"ИТОГО"," "),DATE(YEAR(B34),MONTH(B34)+1,O35))</f>
        <v>45646</v>
      </c>
      <c r="C35" s="401"/>
      <c r="D35" s="269">
        <f ca="1">IF(N35=0,IF(N34=1,D25+D26+D27+D28+D29+D30+D31+D32+D33+D34," "),IF(N35=0," ",IF(N36=1,D25,IF(N36=0,D10-D25*(M14-1)," "))))</f>
        <v>145.83000000000001</v>
      </c>
      <c r="E35" s="269"/>
      <c r="F35" s="87">
        <f ca="1">IF(N35=0,IF(N34=1,F25+F26+F27+F28+F29+F30+F31+F32+F33+F34," "),IF(M1=1,P35,IF(M1=2,Q35," ")))</f>
        <v>136.27390000000003</v>
      </c>
      <c r="G35" s="87">
        <f ca="1">IF(N35=0,IF(N34=1,G25+G26+G27+G28+G29+G30+G31+G32+G33+G34," "),IF(M1=1,AC35,IF(M1=2,AD35," ")))</f>
        <v>0</v>
      </c>
      <c r="H35" s="87">
        <f t="shared" ca="1" si="4"/>
        <v>282.10390000000007</v>
      </c>
      <c r="I35" s="87">
        <f t="shared" ca="1" si="28"/>
        <v>166.67</v>
      </c>
      <c r="J35" s="87">
        <f t="shared" ca="1" si="29"/>
        <v>155.74047222222222</v>
      </c>
      <c r="K35" s="87">
        <f t="shared" ca="1" si="30"/>
        <v>0</v>
      </c>
      <c r="L35" s="87">
        <f t="shared" ca="1" si="31"/>
        <v>322.41047222222221</v>
      </c>
      <c r="M35" s="2">
        <f>M34+1</f>
        <v>11</v>
      </c>
      <c r="N35" s="2">
        <f ca="1">IF(M1=1,IF(M14&gt;10,1,0),IF(M1=2,IF(M14&gt;10,1,0),0))</f>
        <v>1</v>
      </c>
      <c r="O35" s="2">
        <f ca="1">IF(M35=A$14,IF(DATE(YEAR(0),MONTH(0),DAY(D$16)-1)&lt;AR35,DATE(YEAR(0),MONTH(0),DAY(D$16)-1),AR35),AR35)</f>
        <v>20</v>
      </c>
      <c r="P35" s="134">
        <f t="shared" ca="1" si="5"/>
        <v>136.27390000000003</v>
      </c>
      <c r="Q35" s="134">
        <f t="shared" ca="1" si="6"/>
        <v>136.27390000000003</v>
      </c>
      <c r="R35" s="134">
        <f ca="1">IF(N35=0,0,R34-D34)</f>
        <v>5541.7000000000007</v>
      </c>
      <c r="S35" s="134">
        <f t="shared" ca="1" si="22"/>
        <v>145.83000000000001</v>
      </c>
      <c r="T35" s="134">
        <f t="shared" ca="1" si="23"/>
        <v>145.83000000000001</v>
      </c>
      <c r="U35" s="134">
        <f t="shared" ca="1" si="33"/>
        <v>136.27390000000003</v>
      </c>
      <c r="V35" s="134">
        <f t="shared" ca="1" si="34"/>
        <v>136.27390000000003</v>
      </c>
      <c r="W35" s="134">
        <f t="shared" ca="1" si="35"/>
        <v>169.16666666666666</v>
      </c>
      <c r="X35" s="134">
        <f t="shared" ca="1" si="25"/>
        <v>170</v>
      </c>
      <c r="Y35" s="134">
        <f t="shared" ca="1" si="7"/>
        <v>6333.32</v>
      </c>
      <c r="Z35" s="134">
        <f t="shared" ca="1" si="36"/>
        <v>155.74047222222222</v>
      </c>
      <c r="AA35" s="134">
        <f t="shared" ca="1" si="8"/>
        <v>155.74047222222222</v>
      </c>
      <c r="AB35" s="134">
        <f ca="1">IF(R36=0,R35*Q12,(R34*20+R35*10))</f>
        <v>169167.6</v>
      </c>
      <c r="AC35" s="134">
        <f t="shared" ca="1" si="1"/>
        <v>0</v>
      </c>
      <c r="AD35" s="134">
        <f ca="1">IF(F10="USD",ROUND(AK35,2),IF(F10="бел. рублей",ROUNDUP(AK35,-1)," "))</f>
        <v>0</v>
      </c>
      <c r="AE35" s="134">
        <f t="shared" ca="1" si="32"/>
        <v>0</v>
      </c>
      <c r="AF35" s="134">
        <f t="shared" ca="1" si="9"/>
        <v>0</v>
      </c>
      <c r="AG35" s="134">
        <f t="shared" ca="1" si="26"/>
        <v>0</v>
      </c>
      <c r="AH35" s="134">
        <f t="shared" ca="1" si="10"/>
        <v>0</v>
      </c>
      <c r="AI35" s="134">
        <f t="shared" ca="1" si="11"/>
        <v>5541.7000000000007</v>
      </c>
      <c r="AJ35" s="134">
        <f ca="1">IF(N36=1,AI34*G12*20/36000+AI35*G12*10/36000,IF(N36=0,IF(N35=0,0,AI35*G12*Q12/36000+AI34*G12*20/36000+AI35*G12*10/36000)))</f>
        <v>0</v>
      </c>
      <c r="AK35" s="134">
        <f ca="1">IF(N36=1,AI34*G12*20/36000+AI35*G12*10/36000,IF(N36=0,IF(N35=0,0,AI35*G12*Q12/36000+AI34*G12*20/36000+AI35*G12*10/36000)))</f>
        <v>0</v>
      </c>
      <c r="AL35" s="132">
        <f t="shared" ca="1" si="12"/>
        <v>12</v>
      </c>
      <c r="AM35" s="132">
        <f t="shared" ca="1" si="13"/>
        <v>12</v>
      </c>
      <c r="AN35" s="2">
        <f t="shared" ca="1" si="14"/>
        <v>2024</v>
      </c>
      <c r="AO35" s="2">
        <f t="shared" ca="1" si="2"/>
        <v>2024</v>
      </c>
      <c r="AP35" s="2">
        <f t="shared" ca="1" si="15"/>
        <v>1</v>
      </c>
      <c r="AQ35" s="2">
        <f t="shared" ca="1" si="16"/>
        <v>30</v>
      </c>
      <c r="AR35" s="2">
        <f t="shared" si="17"/>
        <v>20</v>
      </c>
      <c r="AS35" s="2">
        <f t="shared" ca="1" si="27"/>
        <v>30</v>
      </c>
      <c r="AT35" s="21"/>
      <c r="AU35" s="21"/>
      <c r="AV35" s="21"/>
      <c r="AW35" s="21"/>
      <c r="AX35" s="21"/>
      <c r="AY35" s="2">
        <f t="shared" ca="1" si="18"/>
        <v>1</v>
      </c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52"/>
      <c r="BL35" s="52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9"/>
        <v>12</v>
      </c>
      <c r="B36" s="268">
        <f t="shared" ca="1" si="3"/>
        <v>45677</v>
      </c>
      <c r="C36" s="401"/>
      <c r="D36" s="269">
        <f ca="1">IF(N36=0,IF(N35=1,D25+D26+D27+D28+D29+D30+D31+D32+D33+D34+D35," "),IF(N36=0," ",IF(N37=1,D25,IF(N37=0,D10-D25*(M14-1)," "))))</f>
        <v>145.83000000000001</v>
      </c>
      <c r="E36" s="269"/>
      <c r="F36" s="87">
        <f ca="1">IF(N36=0,IF(N35=1,F25+F26+F27+F28+F29+F30+F31+F32+F33+F34+F35," "),IF(M1=1,P36,IF(M1=2,Q36," ")))</f>
        <v>132.74967500000002</v>
      </c>
      <c r="G36" s="87">
        <f ca="1">IF(N36=0,IF(N35=1,G25+G26+G27+G28+G29+G30+G31+G32+G33+G34+G35," "),IF(M1=1,AC36,IF(M1=2,AD36," ")))</f>
        <v>0</v>
      </c>
      <c r="H36" s="87">
        <f t="shared" ca="1" si="4"/>
        <v>278.57967500000007</v>
      </c>
      <c r="I36" s="87">
        <f t="shared" ca="1" si="28"/>
        <v>166.67</v>
      </c>
      <c r="J36" s="87">
        <f t="shared" ca="1" si="29"/>
        <v>151.71261388888888</v>
      </c>
      <c r="K36" s="87">
        <f t="shared" ca="1" si="30"/>
        <v>0</v>
      </c>
      <c r="L36" s="87">
        <f t="shared" ca="1" si="31"/>
        <v>318.38261388888884</v>
      </c>
      <c r="M36" s="2">
        <f t="shared" si="20"/>
        <v>12</v>
      </c>
      <c r="N36" s="2">
        <f ca="1">IF(M1=1,IF(M14&gt;11,1,0),IF(M1=2,IF(M14&gt;11,1,0),0))</f>
        <v>1</v>
      </c>
      <c r="O36" s="2">
        <f ca="1">IF(M36=A$14,IF(DATE(YEAR(0),MONTH(0),DAY(D$16)-1)&lt;AR36,DATE(YEAR(0),MONTH(0),DAY(D$16)-1),AR36),AR36)</f>
        <v>20</v>
      </c>
      <c r="P36" s="134">
        <f t="shared" ca="1" si="5"/>
        <v>132.74967500000002</v>
      </c>
      <c r="Q36" s="134">
        <f t="shared" ca="1" si="6"/>
        <v>132.74967500000002</v>
      </c>
      <c r="R36" s="134">
        <f t="shared" ca="1" si="21"/>
        <v>5395.8700000000008</v>
      </c>
      <c r="S36" s="134">
        <f t="shared" ca="1" si="22"/>
        <v>145.83000000000001</v>
      </c>
      <c r="T36" s="134">
        <f t="shared" ca="1" si="23"/>
        <v>145.83000000000001</v>
      </c>
      <c r="U36" s="134">
        <f ca="1">IF(N37=1,R35*D11*20/36000+R36*D11*10/36000,IF(N37=0,IF(N36=0,0,R36*D11*Q12/36000+R35*D11*20/36000+R36*D11*10/36000)))</f>
        <v>132.74967500000002</v>
      </c>
      <c r="V36" s="134">
        <f ca="1">IF(N37=1,R35*D11*20/36000+R36*D11*10/36000,IF(N37=0,IF(N36=0,0,R36*D11*Q12/36000+R35*D11*20/36000+R36*D11*10/36000)))</f>
        <v>132.74967500000002</v>
      </c>
      <c r="W36" s="134">
        <f t="shared" ca="1" si="35"/>
        <v>169.16666666666666</v>
      </c>
      <c r="X36" s="134">
        <f t="shared" ca="1" si="25"/>
        <v>170</v>
      </c>
      <c r="Y36" s="134">
        <f t="shared" ca="1" si="7"/>
        <v>6166.65</v>
      </c>
      <c r="Z36" s="134">
        <f t="shared" ca="1" si="36"/>
        <v>151.71261388888888</v>
      </c>
      <c r="AA36" s="134">
        <f t="shared" ca="1" si="8"/>
        <v>151.71261388888888</v>
      </c>
      <c r="AB36" s="134">
        <f ca="1">IF(R37=0,R36*Q12,(R35*20+R36*10))</f>
        <v>164792.70000000001</v>
      </c>
      <c r="AC36" s="134">
        <f t="shared" ca="1" si="1"/>
        <v>0</v>
      </c>
      <c r="AD36" s="134">
        <f ca="1">IF(F10="USD",ROUND(AK36,2),IF(F10="бел. рублей",ROUNDUP(AK36,-1)," "))</f>
        <v>0</v>
      </c>
      <c r="AE36" s="134">
        <f t="shared" ca="1" si="32"/>
        <v>0</v>
      </c>
      <c r="AF36" s="134">
        <f t="shared" ca="1" si="9"/>
        <v>0</v>
      </c>
      <c r="AG36" s="134">
        <f t="shared" ca="1" si="26"/>
        <v>0</v>
      </c>
      <c r="AH36" s="134">
        <f t="shared" ca="1" si="10"/>
        <v>0</v>
      </c>
      <c r="AI36" s="134">
        <f t="shared" ca="1" si="11"/>
        <v>5395.8700000000008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12"/>
        <v>13</v>
      </c>
      <c r="AM36" s="132">
        <f t="shared" ca="1" si="13"/>
        <v>1</v>
      </c>
      <c r="AN36" s="2">
        <f t="shared" ca="1" si="14"/>
        <v>2024</v>
      </c>
      <c r="AO36" s="2">
        <f t="shared" ca="1" si="2"/>
        <v>2025</v>
      </c>
      <c r="AP36" s="2">
        <f t="shared" ca="1" si="15"/>
        <v>1</v>
      </c>
      <c r="AQ36" s="2">
        <f t="shared" ca="1" si="16"/>
        <v>30</v>
      </c>
      <c r="AR36" s="2">
        <f t="shared" si="17"/>
        <v>20</v>
      </c>
      <c r="AS36" s="2">
        <f t="shared" ca="1" si="27"/>
        <v>30</v>
      </c>
      <c r="AT36" s="21"/>
      <c r="AU36" s="21"/>
      <c r="AV36" s="21"/>
      <c r="AW36" s="21"/>
      <c r="AX36" s="21"/>
      <c r="AY36" s="2">
        <f t="shared" ca="1" si="18"/>
        <v>1</v>
      </c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52"/>
      <c r="BL36" s="52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9"/>
        <v>13</v>
      </c>
      <c r="B37" s="268">
        <f ca="1">IF(N37=0,IF(N36=1,"ИТОГО"," "),IF(M37=M14,DATE(YEAR(B36),MONTH(B36),O37),DATE(YEAR(B36),MONTH(B36)+1,O37)))</f>
        <v>45708</v>
      </c>
      <c r="C37" s="401"/>
      <c r="D37" s="269">
        <f ca="1">IF(N37=0,IF(N36=1,D25+D26+D27+D28+D29+D30+D31+D32+D33+D34+D35+D36," "),IF(N37=0," ",IF(N38=1,D25,IF(N38=0,D10-D25*(M14-1)," "))))</f>
        <v>145.83000000000001</v>
      </c>
      <c r="E37" s="269"/>
      <c r="F37" s="87">
        <f ca="1">IF(N37=0,IF(N36=1,F25+F26+F27+F28+F29+F30+F31+F32+F33+F34+F35+F36," "),IF(M1=1,P37,IF(M1=2,Q37," ")))</f>
        <v>129.22545000000002</v>
      </c>
      <c r="G37" s="87">
        <f ca="1">IF(N37=0,IF(N36=1,G25+G26+G27+G28+G29+G30+G31+G32+G33+G34+G35+G36," "),IF(M1=1,AC37,IF(M1=2,AD37," ")))</f>
        <v>0</v>
      </c>
      <c r="H37" s="87">
        <f t="shared" ca="1" si="4"/>
        <v>275.05545000000006</v>
      </c>
      <c r="I37" s="87">
        <f t="shared" ca="1" si="28"/>
        <v>166.67</v>
      </c>
      <c r="J37" s="87">
        <f t="shared" ca="1" si="29"/>
        <v>147.68475555555554</v>
      </c>
      <c r="K37" s="87">
        <f t="shared" ca="1" si="30"/>
        <v>0</v>
      </c>
      <c r="L37" s="87">
        <f t="shared" ca="1" si="31"/>
        <v>314.35475555555553</v>
      </c>
      <c r="M37" s="2">
        <f t="shared" si="20"/>
        <v>13</v>
      </c>
      <c r="N37" s="2">
        <f ca="1">IF(M1=1,IF(M14&gt;12,1,0),IF(M1=2,IF(M14&gt;12,1,0),0))</f>
        <v>1</v>
      </c>
      <c r="O37" s="2">
        <f ca="1">IF(M37=A$14,IF(MONTH(B36)=-2,AS37,DATE(YEAR(0),MONTH(0),DAY(D$16)-1)),AR37)</f>
        <v>20</v>
      </c>
      <c r="P37" s="134">
        <f t="shared" ca="1" si="5"/>
        <v>129.22545000000002</v>
      </c>
      <c r="Q37" s="134">
        <f t="shared" ca="1" si="6"/>
        <v>129.22545000000002</v>
      </c>
      <c r="R37" s="134">
        <f t="shared" ca="1" si="21"/>
        <v>5250.0400000000009</v>
      </c>
      <c r="S37" s="134">
        <f t="shared" ca="1" si="22"/>
        <v>145.83000000000001</v>
      </c>
      <c r="T37" s="134">
        <f t="shared" ca="1" si="23"/>
        <v>145.83000000000001</v>
      </c>
      <c r="U37" s="134">
        <f t="shared" ca="1" si="33"/>
        <v>129.22545000000002</v>
      </c>
      <c r="V37" s="134">
        <f t="shared" ca="1" si="34"/>
        <v>129.22545000000002</v>
      </c>
      <c r="W37" s="134">
        <f t="shared" ca="1" si="35"/>
        <v>169.16666666666666</v>
      </c>
      <c r="X37" s="134">
        <f t="shared" ca="1" si="25"/>
        <v>170</v>
      </c>
      <c r="Y37" s="134">
        <f t="shared" ca="1" si="7"/>
        <v>5999.98</v>
      </c>
      <c r="Z37" s="134">
        <f t="shared" ca="1" si="36"/>
        <v>147.68475555555554</v>
      </c>
      <c r="AA37" s="134">
        <f t="shared" ca="1" si="8"/>
        <v>147.68475555555554</v>
      </c>
      <c r="AB37" s="134">
        <f ca="1">IF(R38=0,R37*Q12,(R36*20+R37*10))</f>
        <v>160417.80000000005</v>
      </c>
      <c r="AC37" s="134">
        <f t="shared" ca="1" si="1"/>
        <v>0</v>
      </c>
      <c r="AD37" s="134">
        <f ca="1">IF(F10="USD",ROUND(AK37,2),IF(F10="бел. рублей",ROUNDUP(AK37,-1)," "))</f>
        <v>0</v>
      </c>
      <c r="AE37" s="134">
        <f t="shared" ca="1" si="32"/>
        <v>0</v>
      </c>
      <c r="AF37" s="134">
        <f t="shared" ca="1" si="9"/>
        <v>0</v>
      </c>
      <c r="AG37" s="134">
        <f t="shared" ca="1" si="26"/>
        <v>0</v>
      </c>
      <c r="AH37" s="134">
        <f t="shared" ca="1" si="10"/>
        <v>0</v>
      </c>
      <c r="AI37" s="134">
        <f t="shared" ca="1" si="11"/>
        <v>5250.0400000000009</v>
      </c>
      <c r="AJ37" s="134">
        <f ca="1">IF(N38=1,AI36*G12*20/36000+AI37*G12*10/36000,IF(N38=0,IF(N37=0,0,AI37*G12*Q12/36000)))</f>
        <v>0</v>
      </c>
      <c r="AK37" s="134">
        <f ca="1">IF(N38=1,AI36*G12*20/36000+AI37*G12*10/36000,IF(N38=0,IF(N37=0,0,AI37*G12*Q12/36000)))</f>
        <v>0</v>
      </c>
      <c r="AL37" s="132">
        <f t="shared" ca="1" si="12"/>
        <v>2</v>
      </c>
      <c r="AM37" s="132">
        <f t="shared" ca="1" si="13"/>
        <v>2</v>
      </c>
      <c r="AN37" s="2">
        <f t="shared" ca="1" si="14"/>
        <v>2025</v>
      </c>
      <c r="AO37" s="2">
        <f t="shared" ca="1" si="2"/>
        <v>2025</v>
      </c>
      <c r="AP37" s="2">
        <f t="shared" ca="1" si="15"/>
        <v>0</v>
      </c>
      <c r="AQ37" s="2">
        <f t="shared" ca="1" si="16"/>
        <v>28</v>
      </c>
      <c r="AR37" s="2">
        <f t="shared" si="17"/>
        <v>20</v>
      </c>
      <c r="AS37" s="2">
        <f t="shared" ca="1" si="27"/>
        <v>30</v>
      </c>
      <c r="AT37" s="21"/>
      <c r="AU37" s="21"/>
      <c r="AV37" s="21"/>
      <c r="AW37" s="21"/>
      <c r="AX37" s="21"/>
      <c r="AY37" s="2">
        <f t="shared" ca="1" si="18"/>
        <v>1</v>
      </c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52"/>
      <c r="BL37" s="52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9"/>
        <v>14</v>
      </c>
      <c r="B38" s="268">
        <f t="shared" ca="1" si="3"/>
        <v>45736</v>
      </c>
      <c r="C38" s="401"/>
      <c r="D38" s="269">
        <f ca="1">IF(N38=0,IF(N37=1,D25+D26+D27+D28+D29+D30+D31+D32+D33+D34+D35+D36+D37," "),IF(N38=0," ",IF(N39=1,D25,IF(N39=0,D10-D25*(M14-1)," "))))</f>
        <v>145.83000000000001</v>
      </c>
      <c r="E38" s="269"/>
      <c r="F38" s="87">
        <f ca="1">IF(N38=0,IF(N37=1,F25+F26+F27+F28+F29+F30+F31+F32+F33+F34+F35+F36+F37," "),IF(M1=1,P38,IF(M1=2,Q38," ")))</f>
        <v>125.70122500000002</v>
      </c>
      <c r="G38" s="87">
        <f ca="1">IF(N38=0,IF(N37=1,G25+G26+G27+G28+G29+G30+G31+G32+G33+G34+G35+G36+G37," "),IF(M1=1,AC38,IF(M1=2,AD38," ")))</f>
        <v>0</v>
      </c>
      <c r="H38" s="87">
        <f t="shared" ca="1" si="4"/>
        <v>271.53122500000006</v>
      </c>
      <c r="I38" s="87">
        <f t="shared" ca="1" si="28"/>
        <v>166.67</v>
      </c>
      <c r="J38" s="87">
        <f t="shared" ca="1" si="29"/>
        <v>143.6568972222222</v>
      </c>
      <c r="K38" s="87">
        <f t="shared" ca="1" si="30"/>
        <v>0</v>
      </c>
      <c r="L38" s="87">
        <f t="shared" ca="1" si="31"/>
        <v>310.32689722222221</v>
      </c>
      <c r="M38" s="2">
        <f t="shared" si="20"/>
        <v>14</v>
      </c>
      <c r="N38" s="2">
        <f ca="1">IF(M1=1,IF(M14&gt;13,1,0),IF(M1=2,IF(M14&gt;13,1,0),0))</f>
        <v>1</v>
      </c>
      <c r="O38" s="2">
        <f ca="1">IF(M38=A$14,IF(DATE(YEAR(0),MONTH(0),DAY(D$16)-1)&lt;AR38,DATE(YEAR(0),MONTH(0),DAY(D$16)-1),AR38),AR38)</f>
        <v>20</v>
      </c>
      <c r="P38" s="134">
        <f t="shared" ca="1" si="5"/>
        <v>125.70122500000002</v>
      </c>
      <c r="Q38" s="134">
        <f t="shared" ca="1" si="6"/>
        <v>125.70122500000002</v>
      </c>
      <c r="R38" s="134">
        <f t="shared" ca="1" si="21"/>
        <v>5104.2100000000009</v>
      </c>
      <c r="S38" s="134">
        <f t="shared" ca="1" si="22"/>
        <v>145.83000000000001</v>
      </c>
      <c r="T38" s="134">
        <f t="shared" ca="1" si="23"/>
        <v>145.83000000000001</v>
      </c>
      <c r="U38" s="134">
        <f t="shared" ca="1" si="33"/>
        <v>125.70122500000002</v>
      </c>
      <c r="V38" s="134">
        <f t="shared" ca="1" si="34"/>
        <v>125.70122500000002</v>
      </c>
      <c r="W38" s="134">
        <f t="shared" ca="1" si="35"/>
        <v>169.16666666666666</v>
      </c>
      <c r="X38" s="134">
        <f t="shared" ca="1" si="25"/>
        <v>170</v>
      </c>
      <c r="Y38" s="134">
        <f t="shared" ca="1" si="7"/>
        <v>5833.3099999999995</v>
      </c>
      <c r="Z38" s="134">
        <f t="shared" ca="1" si="36"/>
        <v>143.6568972222222</v>
      </c>
      <c r="AA38" s="134">
        <f t="shared" ca="1" si="8"/>
        <v>143.6568972222222</v>
      </c>
      <c r="AB38" s="134">
        <f ca="1">IF(R39=0,R38*Q12,(R37*20+R38*10))</f>
        <v>156042.90000000002</v>
      </c>
      <c r="AC38" s="134">
        <f t="shared" ca="1" si="1"/>
        <v>0</v>
      </c>
      <c r="AD38" s="134">
        <f ca="1">IF(F10="USD",ROUND(AK38,2),IF(F10="бел. рублей",ROUNDUP(AK38,-1)," "))</f>
        <v>0</v>
      </c>
      <c r="AE38" s="134">
        <f t="shared" ca="1" si="32"/>
        <v>0</v>
      </c>
      <c r="AF38" s="134">
        <f t="shared" ca="1" si="9"/>
        <v>0</v>
      </c>
      <c r="AG38" s="134">
        <f t="shared" ca="1" si="26"/>
        <v>0</v>
      </c>
      <c r="AH38" s="134">
        <f t="shared" ca="1" si="10"/>
        <v>0</v>
      </c>
      <c r="AI38" s="134">
        <f t="shared" ca="1" si="11"/>
        <v>5104.2100000000009</v>
      </c>
      <c r="AJ38" s="134">
        <f ca="1">IF(N39=1,AI37*G12*20/36000+AI38*G12*10/36000,IF(N39=0,IF(N38=0,0,AI38*G12*Q12/36000+AI37*G12*20/36000+AI38*G12*10/36000)))</f>
        <v>0</v>
      </c>
      <c r="AK38" s="134">
        <f ca="1">IF(N39=1,AI37*G12*20/36000+AI38*G12*10/36000,IF(N39=0,IF(N38=0,0,AI38*G12*Q12/36000+AI37*G12*20/36000+AI38*G12*10/36000)))</f>
        <v>0</v>
      </c>
      <c r="AL38" s="132">
        <f t="shared" ca="1" si="12"/>
        <v>3</v>
      </c>
      <c r="AM38" s="132">
        <f t="shared" ca="1" si="13"/>
        <v>3</v>
      </c>
      <c r="AN38" s="2">
        <f t="shared" ca="1" si="14"/>
        <v>2025</v>
      </c>
      <c r="AO38" s="2">
        <f t="shared" ca="1" si="2"/>
        <v>2025</v>
      </c>
      <c r="AP38" s="2">
        <f t="shared" ca="1" si="15"/>
        <v>0</v>
      </c>
      <c r="AQ38" s="2">
        <f t="shared" ca="1" si="16"/>
        <v>30</v>
      </c>
      <c r="AR38" s="2">
        <f t="shared" si="17"/>
        <v>20</v>
      </c>
      <c r="AS38" s="2">
        <f t="shared" ca="1" si="27"/>
        <v>28</v>
      </c>
      <c r="AT38" s="21"/>
      <c r="AU38" s="21"/>
      <c r="AV38" s="21"/>
      <c r="AW38" s="21"/>
      <c r="AX38" s="21"/>
      <c r="AY38" s="2">
        <f t="shared" ca="1" si="18"/>
        <v>1</v>
      </c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52"/>
      <c r="BL38" s="52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9"/>
        <v>15</v>
      </c>
      <c r="B39" s="268">
        <f t="shared" ca="1" si="3"/>
        <v>45767</v>
      </c>
      <c r="C39" s="401"/>
      <c r="D39" s="269">
        <f ca="1">IF(N39=0,IF(N38=1,D25+D26+D27+D28+D29+D30+D31+D32+D33+D34+D35+D36+D37+D38," "),IF(N39=0," ",IF(N40=1,D25,IF(N40=0,D10-D25*(M14-1)," "))))</f>
        <v>145.83000000000001</v>
      </c>
      <c r="E39" s="269"/>
      <c r="F39" s="87">
        <f ca="1">IF(N39=0,IF(N38=1,F25+F26+F27+F28+F29+F30+F31+F32+F33+F34+F35+F36+F37+F38," "),IF(M1=1,P39,IF(M1=2,Q39," ")))</f>
        <v>122.17700000000002</v>
      </c>
      <c r="G39" s="87">
        <f ca="1">IF(N39=0,IF(N38=1,G25+G26+G27+G28+G29+G30+G31+G32+G33+G34+G35+G36+G37+G38," "),IF(M1=1,AC39,IF(M1=2,AD39," ")))</f>
        <v>0</v>
      </c>
      <c r="H39" s="87">
        <f t="shared" ca="1" si="4"/>
        <v>268.00700000000006</v>
      </c>
      <c r="I39" s="87">
        <f t="shared" ca="1" si="28"/>
        <v>166.67</v>
      </c>
      <c r="J39" s="87">
        <f t="shared" ca="1" si="29"/>
        <v>139.62903888888889</v>
      </c>
      <c r="K39" s="87">
        <f t="shared" ca="1" si="30"/>
        <v>0</v>
      </c>
      <c r="L39" s="87">
        <f t="shared" ca="1" si="31"/>
        <v>306.29903888888884</v>
      </c>
      <c r="M39" s="2">
        <f t="shared" si="20"/>
        <v>15</v>
      </c>
      <c r="N39" s="2">
        <f ca="1">IF(M1=1,IF(M14&gt;14,1,0),IF(M1=2,IF(M14&gt;14,1,0),0))</f>
        <v>1</v>
      </c>
      <c r="O39" s="2">
        <f ca="1">IF(M39=A$14,IF(DATE(YEAR(0),MONTH(0),DAY(D$16)-1)&lt;AR39,DATE(YEAR(0),MONTH(0),DAY(D$16)-1),AR39),AR39)</f>
        <v>20</v>
      </c>
      <c r="P39" s="134">
        <f t="shared" ca="1" si="5"/>
        <v>122.17700000000002</v>
      </c>
      <c r="Q39" s="134">
        <f t="shared" ca="1" si="6"/>
        <v>122.17700000000002</v>
      </c>
      <c r="R39" s="134">
        <f t="shared" ca="1" si="21"/>
        <v>4958.380000000001</v>
      </c>
      <c r="S39" s="134">
        <f t="shared" ca="1" si="22"/>
        <v>145.83000000000001</v>
      </c>
      <c r="T39" s="134">
        <f t="shared" ca="1" si="23"/>
        <v>145.83000000000001</v>
      </c>
      <c r="U39" s="134">
        <f t="shared" ca="1" si="33"/>
        <v>122.17700000000002</v>
      </c>
      <c r="V39" s="134">
        <f t="shared" ca="1" si="34"/>
        <v>122.17700000000002</v>
      </c>
      <c r="W39" s="134">
        <f t="shared" ca="1" si="35"/>
        <v>169.16666666666666</v>
      </c>
      <c r="X39" s="134">
        <f t="shared" ca="1" si="25"/>
        <v>170</v>
      </c>
      <c r="Y39" s="134">
        <f t="shared" ca="1" si="7"/>
        <v>5666.6399999999994</v>
      </c>
      <c r="Z39" s="134">
        <f t="shared" ca="1" si="36"/>
        <v>139.62903888888889</v>
      </c>
      <c r="AA39" s="134">
        <f t="shared" ca="1" si="8"/>
        <v>139.62903888888889</v>
      </c>
      <c r="AB39" s="134">
        <f ca="1">IF(R40=0,R39*Q12,(R38*20+R39*10))</f>
        <v>151668.00000000003</v>
      </c>
      <c r="AC39" s="134">
        <f t="shared" ca="1" si="1"/>
        <v>0</v>
      </c>
      <c r="AD39" s="134">
        <f ca="1">IF(F10="USD",ROUND(AK39,2),IF(F10="бел. рублей",ROUNDUP(AK39,-1)," "))</f>
        <v>0</v>
      </c>
      <c r="AE39" s="134">
        <f t="shared" ca="1" si="32"/>
        <v>0</v>
      </c>
      <c r="AF39" s="134">
        <f t="shared" ca="1" si="9"/>
        <v>0</v>
      </c>
      <c r="AG39" s="134">
        <f t="shared" ca="1" si="26"/>
        <v>0</v>
      </c>
      <c r="AH39" s="134">
        <f t="shared" ca="1" si="10"/>
        <v>0</v>
      </c>
      <c r="AI39" s="134">
        <f t="shared" ca="1" si="11"/>
        <v>4958.380000000001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12"/>
        <v>4</v>
      </c>
      <c r="AM39" s="132">
        <f t="shared" ca="1" si="13"/>
        <v>4</v>
      </c>
      <c r="AN39" s="2">
        <f t="shared" ca="1" si="14"/>
        <v>2025</v>
      </c>
      <c r="AO39" s="2">
        <f t="shared" ca="1" si="2"/>
        <v>2025</v>
      </c>
      <c r="AP39" s="2">
        <f t="shared" ca="1" si="15"/>
        <v>0</v>
      </c>
      <c r="AQ39" s="2">
        <f t="shared" ca="1" si="16"/>
        <v>30</v>
      </c>
      <c r="AR39" s="2">
        <f t="shared" si="17"/>
        <v>20</v>
      </c>
      <c r="AS39" s="2">
        <f t="shared" ca="1" si="27"/>
        <v>30</v>
      </c>
      <c r="AT39" s="21"/>
      <c r="AU39" s="21"/>
      <c r="AV39" s="21"/>
      <c r="AW39" s="21"/>
      <c r="AX39" s="21"/>
      <c r="AY39" s="2">
        <f t="shared" ca="1" si="18"/>
        <v>1</v>
      </c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52"/>
      <c r="BL39" s="52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9"/>
        <v>16</v>
      </c>
      <c r="B40" s="268">
        <f t="shared" ca="1" si="3"/>
        <v>45797</v>
      </c>
      <c r="C40" s="401"/>
      <c r="D40" s="269">
        <f ca="1">IF(N40=0,IF(N39=1,D25+D26+D27+D28+D29+D30+D31+D32+D33+D34+D35+D36+D37+D38+D39," "),IF(N40=0," ",IF(N41=1,D25,IF(N41=0,D10-D25*(M14-1)," "))))</f>
        <v>145.83000000000001</v>
      </c>
      <c r="E40" s="269"/>
      <c r="F40" s="87">
        <f ca="1">IF(N40=0,IF(N39=1,F25+F26+F27+F28+F29+F30+F31+F32+F33+F34+F35+F36+F37+F38+F39," "),IF(M1=1,P40,IF(M1=2,Q40," ")))</f>
        <v>118.65277500000002</v>
      </c>
      <c r="G40" s="87">
        <f ca="1">IF(N40=0,IF(N39=1,G25+G26+G27+G28+G29+G30+G31+G32+G33+G34+G35+G36+G37+G38+G39," "),IF(M1=1,AC40,IF(M1=2,AD40," ")))</f>
        <v>0</v>
      </c>
      <c r="H40" s="87">
        <f t="shared" ca="1" si="4"/>
        <v>264.48277500000006</v>
      </c>
      <c r="I40" s="87">
        <f t="shared" ca="1" si="28"/>
        <v>166.67</v>
      </c>
      <c r="J40" s="87">
        <f t="shared" ca="1" si="29"/>
        <v>135.60118055555554</v>
      </c>
      <c r="K40" s="87">
        <f t="shared" ca="1" si="30"/>
        <v>0</v>
      </c>
      <c r="L40" s="87">
        <f t="shared" ca="1" si="31"/>
        <v>302.27118055555553</v>
      </c>
      <c r="M40" s="2">
        <f t="shared" si="20"/>
        <v>16</v>
      </c>
      <c r="N40" s="2">
        <f ca="1">IF(M1=1,IF(M14&gt;15,1,0),IF(M1=2,IF(M14&gt;15,1,0),0))</f>
        <v>1</v>
      </c>
      <c r="O40" s="2">
        <f ca="1">IF(M40=A$14,IF(DATE(YEAR(0),MONTH(0),DAY(D$16)-1)&lt;AR40,DATE(YEAR(0),MONTH(0),DAY(D$16)-1),AR40),AR40)</f>
        <v>20</v>
      </c>
      <c r="P40" s="134">
        <f t="shared" ca="1" si="5"/>
        <v>118.65277500000002</v>
      </c>
      <c r="Q40" s="134">
        <f t="shared" ca="1" si="6"/>
        <v>118.65277500000002</v>
      </c>
      <c r="R40" s="134">
        <f t="shared" ca="1" si="21"/>
        <v>4812.5500000000011</v>
      </c>
      <c r="S40" s="134">
        <f t="shared" ca="1" si="22"/>
        <v>145.83000000000001</v>
      </c>
      <c r="T40" s="134">
        <f t="shared" ca="1" si="23"/>
        <v>145.83000000000001</v>
      </c>
      <c r="U40" s="134">
        <f t="shared" ca="1" si="33"/>
        <v>118.65277500000002</v>
      </c>
      <c r="V40" s="134">
        <f t="shared" ca="1" si="34"/>
        <v>118.65277500000002</v>
      </c>
      <c r="W40" s="134">
        <f t="shared" ca="1" si="35"/>
        <v>169.16666666666666</v>
      </c>
      <c r="X40" s="134">
        <f t="shared" ca="1" si="25"/>
        <v>170</v>
      </c>
      <c r="Y40" s="134">
        <f t="shared" ca="1" si="7"/>
        <v>5499.9699999999993</v>
      </c>
      <c r="Z40" s="134">
        <f t="shared" ca="1" si="36"/>
        <v>135.60118055555554</v>
      </c>
      <c r="AA40" s="134">
        <f t="shared" ca="1" si="8"/>
        <v>135.60118055555554</v>
      </c>
      <c r="AB40" s="134">
        <f ca="1">IF(R41=0,R40*Q12,(R39*20+R40*10))</f>
        <v>147293.10000000003</v>
      </c>
      <c r="AC40" s="134">
        <f t="shared" ca="1" si="1"/>
        <v>0</v>
      </c>
      <c r="AD40" s="134">
        <f ca="1">IF(F10="USD",ROUND(AK40,2),IF(F10="бел. рублей",ROUNDUP(AK40,-1)," "))</f>
        <v>0</v>
      </c>
      <c r="AE40" s="134">
        <f t="shared" ca="1" si="32"/>
        <v>0</v>
      </c>
      <c r="AF40" s="134">
        <f t="shared" ca="1" si="9"/>
        <v>0</v>
      </c>
      <c r="AG40" s="134">
        <f t="shared" ca="1" si="26"/>
        <v>0</v>
      </c>
      <c r="AH40" s="134">
        <f t="shared" ca="1" si="10"/>
        <v>0</v>
      </c>
      <c r="AI40" s="134">
        <f t="shared" ca="1" si="11"/>
        <v>4812.5500000000011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12"/>
        <v>5</v>
      </c>
      <c r="AM40" s="132">
        <f t="shared" ca="1" si="13"/>
        <v>5</v>
      </c>
      <c r="AN40" s="2">
        <f t="shared" ca="1" si="14"/>
        <v>2025</v>
      </c>
      <c r="AO40" s="2">
        <f t="shared" ca="1" si="2"/>
        <v>2025</v>
      </c>
      <c r="AP40" s="2">
        <f t="shared" ca="1" si="15"/>
        <v>0</v>
      </c>
      <c r="AQ40" s="2">
        <f t="shared" ca="1" si="16"/>
        <v>30</v>
      </c>
      <c r="AR40" s="2">
        <f t="shared" si="17"/>
        <v>20</v>
      </c>
      <c r="AS40" s="2">
        <f t="shared" ca="1" si="27"/>
        <v>30</v>
      </c>
      <c r="AT40" s="21"/>
      <c r="AU40" s="21"/>
      <c r="AV40" s="21"/>
      <c r="AW40" s="21"/>
      <c r="AX40" s="21"/>
      <c r="AY40" s="2">
        <f t="shared" ca="1" si="18"/>
        <v>1</v>
      </c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52"/>
      <c r="BL40" s="52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9"/>
        <v>17</v>
      </c>
      <c r="B41" s="268">
        <f t="shared" ca="1" si="3"/>
        <v>45828</v>
      </c>
      <c r="C41" s="401"/>
      <c r="D41" s="269">
        <f ca="1">IF(N41=0,IF(N40=1,D25+D26+D27+D28+D29+D30+D31+D32+D33+D34+D35+D36+D37+D38+D39+D40," "),IF(N41=0," ",IF(N42=1,D25,IF(N42=0,D10-D25*(M14-1)," "))))</f>
        <v>145.83000000000001</v>
      </c>
      <c r="E41" s="269"/>
      <c r="F41" s="87">
        <f ca="1">IF(N41=0,IF(N40=1,F25+F26+F27+F28+F29+F30+F31+F32+F33+F34+F36+F35+F37+F38+F39+F40," "),IF(M1=1,P41,IF(M1=2,Q41," ")))</f>
        <v>115.12855000000003</v>
      </c>
      <c r="G41" s="87">
        <f ca="1">IF(N41=0,IF(N40=1,G25+G26+G27+G28+G29+G30+G31+G32+G33+G34+G36+G35+G37+G38+G39+G40," "),IF(M1=1,AC41,IF(M1=2,AD41," ")))</f>
        <v>0</v>
      </c>
      <c r="H41" s="87">
        <f t="shared" ca="1" si="4"/>
        <v>260.95855000000006</v>
      </c>
      <c r="I41" s="87">
        <f t="shared" ca="1" si="28"/>
        <v>166.67</v>
      </c>
      <c r="J41" s="87">
        <f t="shared" ca="1" si="29"/>
        <v>131.5733222222222</v>
      </c>
      <c r="K41" s="87">
        <f t="shared" ca="1" si="30"/>
        <v>0</v>
      </c>
      <c r="L41" s="87">
        <f t="shared" ca="1" si="31"/>
        <v>298.24332222222222</v>
      </c>
      <c r="M41" s="2">
        <f t="shared" si="20"/>
        <v>17</v>
      </c>
      <c r="N41" s="2">
        <f ca="1">IF(M1=1,IF(M14&gt;16,1,0),IF(M1=2,IF(M14&gt;16,1,0),0))</f>
        <v>1</v>
      </c>
      <c r="O41" s="2">
        <f ca="1">IF(M41=A$14,IF(DATE(YEAR(0),MONTH(0),DAY(D$16)-1)&lt;AR41,DATE(YEAR(0),MONTH(0),DAY(D$16)-1),AR41),AR41)</f>
        <v>20</v>
      </c>
      <c r="P41" s="134">
        <f t="shared" ca="1" si="5"/>
        <v>115.12855000000003</v>
      </c>
      <c r="Q41" s="134">
        <f t="shared" ca="1" si="6"/>
        <v>115.12855000000003</v>
      </c>
      <c r="R41" s="134">
        <f t="shared" ca="1" si="21"/>
        <v>4666.7200000000012</v>
      </c>
      <c r="S41" s="134">
        <f t="shared" ca="1" si="22"/>
        <v>145.83000000000001</v>
      </c>
      <c r="T41" s="134">
        <f t="shared" ca="1" si="23"/>
        <v>145.83000000000001</v>
      </c>
      <c r="U41" s="134">
        <f t="shared" ca="1" si="33"/>
        <v>115.12855000000003</v>
      </c>
      <c r="V41" s="134">
        <f t="shared" ca="1" si="34"/>
        <v>115.12855000000003</v>
      </c>
      <c r="W41" s="134">
        <f t="shared" ca="1" si="35"/>
        <v>169.16666666666666</v>
      </c>
      <c r="X41" s="134">
        <f t="shared" ca="1" si="25"/>
        <v>170</v>
      </c>
      <c r="Y41" s="134">
        <f t="shared" ca="1" si="7"/>
        <v>5333.2999999999993</v>
      </c>
      <c r="Z41" s="134">
        <f t="shared" ca="1" si="36"/>
        <v>131.5733222222222</v>
      </c>
      <c r="AA41" s="134">
        <f t="shared" ca="1" si="8"/>
        <v>131.5733222222222</v>
      </c>
      <c r="AB41" s="134">
        <f ca="1">IF(R42=0,R41*Q12,(R40*20+R41*10))</f>
        <v>142918.20000000004</v>
      </c>
      <c r="AC41" s="134">
        <f t="shared" ca="1" si="1"/>
        <v>0</v>
      </c>
      <c r="AD41" s="134">
        <f ca="1">IF(F10="USD",ROUND(AK41,2),IF(F10="бел. рублей",ROUNDUP(AK41,-1)," "))</f>
        <v>0</v>
      </c>
      <c r="AE41" s="134">
        <f t="shared" ca="1" si="32"/>
        <v>0</v>
      </c>
      <c r="AF41" s="134">
        <f t="shared" ca="1" si="9"/>
        <v>0</v>
      </c>
      <c r="AG41" s="134">
        <f t="shared" ca="1" si="26"/>
        <v>0</v>
      </c>
      <c r="AH41" s="134">
        <f t="shared" ca="1" si="10"/>
        <v>0</v>
      </c>
      <c r="AI41" s="134">
        <f t="shared" ca="1" si="11"/>
        <v>4666.7200000000012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12"/>
        <v>6</v>
      </c>
      <c r="AM41" s="132">
        <f t="shared" ca="1" si="13"/>
        <v>6</v>
      </c>
      <c r="AN41" s="2">
        <f t="shared" ca="1" si="14"/>
        <v>2025</v>
      </c>
      <c r="AO41" s="2">
        <f t="shared" ca="1" si="2"/>
        <v>2025</v>
      </c>
      <c r="AP41" s="2">
        <f t="shared" ca="1" si="15"/>
        <v>0</v>
      </c>
      <c r="AQ41" s="2">
        <f t="shared" ca="1" si="16"/>
        <v>30</v>
      </c>
      <c r="AR41" s="2">
        <f t="shared" si="17"/>
        <v>20</v>
      </c>
      <c r="AS41" s="2">
        <f t="shared" ca="1" si="27"/>
        <v>30</v>
      </c>
      <c r="AT41" s="21"/>
      <c r="AU41" s="21"/>
      <c r="AV41" s="21"/>
      <c r="AW41" s="21"/>
      <c r="AX41" s="21"/>
      <c r="AY41" s="2">
        <f t="shared" ca="1" si="18"/>
        <v>1</v>
      </c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52"/>
      <c r="BL41" s="52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9"/>
        <v>18</v>
      </c>
      <c r="B42" s="268">
        <f t="shared" ca="1" si="3"/>
        <v>45858</v>
      </c>
      <c r="C42" s="401"/>
      <c r="D42" s="269">
        <f ca="1">IF(N42=0,IF(N41=1,D25+D26+D27+D28+D29+D30+D31+D32+D33+D34+D35+D36+D37+D38+D39+D40+D41," "),IF(N42=0," ",IF(N43=1,D25,IF(N43=0,D10-D25*(M14-1)," "))))</f>
        <v>145.83000000000001</v>
      </c>
      <c r="E42" s="269"/>
      <c r="F42" s="87">
        <f ca="1">IF(N42=0,IF(N41=1,F25+F26+F27+F28+F29+F30+F31+F32+F33+F34+F35+F36+F37+F38+F39+F40+F41," "),IF(M1=1,P42,IF(M1=2,Q42," ")))</f>
        <v>111.60432500000002</v>
      </c>
      <c r="G42" s="87">
        <f ca="1">IF(N42=0,IF(N41=1,G25+G26+G27+G28+G29+G30+G31+G32+G33+G34+G35+G36+G37+G38+G39+G40+G41," "),IF(M1=1,AC42,IF(M1=2,AD42," ")))</f>
        <v>0</v>
      </c>
      <c r="H42" s="87">
        <f t="shared" ca="1" si="4"/>
        <v>257.43432500000006</v>
      </c>
      <c r="I42" s="87">
        <f t="shared" ca="1" si="28"/>
        <v>166.67</v>
      </c>
      <c r="J42" s="87">
        <f t="shared" ca="1" si="29"/>
        <v>127.54546388888888</v>
      </c>
      <c r="K42" s="87">
        <f t="shared" ca="1" si="30"/>
        <v>0</v>
      </c>
      <c r="L42" s="87">
        <f t="shared" ca="1" si="31"/>
        <v>294.21546388888885</v>
      </c>
      <c r="M42" s="2">
        <f t="shared" si="20"/>
        <v>18</v>
      </c>
      <c r="N42" s="2">
        <f ca="1">IF(M1=1,IF(M14&gt;17,1,0),IF(M1=2,IF(M14&gt;17,1,0),0))</f>
        <v>1</v>
      </c>
      <c r="O42" s="2">
        <f ca="1">IF(M42=A$14,IF(DATE(YEAR(0),MONTH(0),DAY(D$16)-1)&lt;AR42,DATE(YEAR(0),MONTH(0),DAY(D$16)-1),AR42),AR42)</f>
        <v>20</v>
      </c>
      <c r="P42" s="134">
        <f t="shared" ca="1" si="5"/>
        <v>111.60432500000002</v>
      </c>
      <c r="Q42" s="134">
        <f t="shared" ca="1" si="6"/>
        <v>111.60432500000002</v>
      </c>
      <c r="R42" s="134">
        <f t="shared" ca="1" si="21"/>
        <v>4520.8900000000012</v>
      </c>
      <c r="S42" s="134">
        <f t="shared" ca="1" si="22"/>
        <v>145.83000000000001</v>
      </c>
      <c r="T42" s="134">
        <f t="shared" ca="1" si="23"/>
        <v>145.83000000000001</v>
      </c>
      <c r="U42" s="134">
        <f t="shared" ca="1" si="33"/>
        <v>111.60432500000002</v>
      </c>
      <c r="V42" s="134">
        <f t="shared" ca="1" si="34"/>
        <v>111.60432500000002</v>
      </c>
      <c r="W42" s="134">
        <f t="shared" ca="1" si="35"/>
        <v>169.16666666666666</v>
      </c>
      <c r="X42" s="134">
        <f t="shared" ca="1" si="25"/>
        <v>170</v>
      </c>
      <c r="Y42" s="134">
        <f t="shared" ca="1" si="7"/>
        <v>5166.6299999999992</v>
      </c>
      <c r="Z42" s="134">
        <f t="shared" ca="1" si="36"/>
        <v>127.54546388888888</v>
      </c>
      <c r="AA42" s="134">
        <f t="shared" ca="1" si="8"/>
        <v>127.54546388888888</v>
      </c>
      <c r="AB42" s="134">
        <f ca="1">IF(R43=0,R42*Q12,(R41*20+R42*10))</f>
        <v>138543.30000000005</v>
      </c>
      <c r="AC42" s="134">
        <f t="shared" ca="1" si="1"/>
        <v>0</v>
      </c>
      <c r="AD42" s="134">
        <f ca="1">IF(F10="USD",ROUND(AK42,2),IF(F10="бел. рублей",ROUNDUP(AK42,-1)," "))</f>
        <v>0</v>
      </c>
      <c r="AE42" s="134">
        <f t="shared" ca="1" si="32"/>
        <v>0</v>
      </c>
      <c r="AF42" s="134">
        <f t="shared" ca="1" si="9"/>
        <v>0</v>
      </c>
      <c r="AG42" s="134">
        <f t="shared" ca="1" si="26"/>
        <v>0</v>
      </c>
      <c r="AH42" s="134">
        <f t="shared" ca="1" si="10"/>
        <v>0</v>
      </c>
      <c r="AI42" s="134">
        <f t="shared" ca="1" si="11"/>
        <v>4520.8900000000012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12"/>
        <v>7</v>
      </c>
      <c r="AM42" s="132">
        <f t="shared" ca="1" si="13"/>
        <v>7</v>
      </c>
      <c r="AN42" s="2">
        <f t="shared" ca="1" si="14"/>
        <v>2025</v>
      </c>
      <c r="AO42" s="2">
        <f t="shared" ca="1" si="2"/>
        <v>2025</v>
      </c>
      <c r="AP42" s="2">
        <f t="shared" ca="1" si="15"/>
        <v>0</v>
      </c>
      <c r="AQ42" s="2">
        <f t="shared" ca="1" si="16"/>
        <v>30</v>
      </c>
      <c r="AR42" s="2">
        <f t="shared" si="17"/>
        <v>20</v>
      </c>
      <c r="AS42" s="2">
        <f t="shared" ca="1" si="27"/>
        <v>30</v>
      </c>
      <c r="AT42" s="21"/>
      <c r="AU42" s="21"/>
      <c r="AV42" s="21"/>
      <c r="AW42" s="21"/>
      <c r="AX42" s="21"/>
      <c r="AY42" s="2">
        <f t="shared" ca="1" si="18"/>
        <v>1</v>
      </c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52"/>
      <c r="BL42" s="52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9"/>
        <v>19</v>
      </c>
      <c r="B43" s="268">
        <f ca="1">IF(N43=0,IF(N42=1,"ИТОГО"," "),IF(M43=M$14,DATE(YEAR(B42),MONTH(B42),O43),DATE(YEAR(B42),MONTH(B42)+1,O43)))</f>
        <v>45889</v>
      </c>
      <c r="C43" s="401"/>
      <c r="D43" s="269">
        <f ca="1">IF(N43=0,IF(N42=1,D25+D26+D27+D28+D29+D30+D31+D32+D33+D34+D35+D36+D37+D38+D39+D40+D41+D42," "),IF(N43=0," ",IF(N44=1,D25,IF(N44=0,D10-D25*(M14-1)," "))))</f>
        <v>145.83000000000001</v>
      </c>
      <c r="E43" s="269"/>
      <c r="F43" s="87">
        <f ca="1">IF(N43=0,IF(N42=1,F25+F26+F27+F28+F29+F30+F31+F32+F33+F34+F35+F36+F37+F38+F39+F40+F41+F42," "),IF(M1=1,P43,IF(M1=2,Q43," ")))</f>
        <v>108.08010000000002</v>
      </c>
      <c r="G43" s="87">
        <f ca="1">IF(N43=0,IF(N42=1,G25+G26+G27+G28+G29+G30+G31+G32+G33+G34+G35+G36+G37+G38+G39+G40+G41+G42," "),IF(M1=1,AC43,IF(M1=2,AD43," ")))</f>
        <v>0</v>
      </c>
      <c r="H43" s="87">
        <f t="shared" ca="1" si="4"/>
        <v>253.91010000000003</v>
      </c>
      <c r="I43" s="87">
        <f t="shared" ca="1" si="28"/>
        <v>166.67</v>
      </c>
      <c r="J43" s="87">
        <f t="shared" ca="1" si="29"/>
        <v>123.51760555555555</v>
      </c>
      <c r="K43" s="87">
        <f t="shared" ca="1" si="30"/>
        <v>0</v>
      </c>
      <c r="L43" s="87">
        <f t="shared" ca="1" si="31"/>
        <v>290.18760555555554</v>
      </c>
      <c r="M43" s="2">
        <f t="shared" si="20"/>
        <v>19</v>
      </c>
      <c r="N43" s="2">
        <f ca="1">IF(M1=1,IF(M14&gt;18,1,0),IF(M1=2,IF(M14&gt;18,1,0),0))</f>
        <v>1</v>
      </c>
      <c r="O43" s="2">
        <f ca="1">IF(M43=A$14,IF(MONTH(B42)=-2,AS43,DATE(YEAR(0),MONTH(0),DAY(D$16)-1)),AR43)</f>
        <v>20</v>
      </c>
      <c r="P43" s="134">
        <f t="shared" ca="1" si="5"/>
        <v>108.08010000000002</v>
      </c>
      <c r="Q43" s="134">
        <f t="shared" ca="1" si="6"/>
        <v>108.08010000000002</v>
      </c>
      <c r="R43" s="134">
        <f t="shared" ca="1" si="21"/>
        <v>4375.0600000000013</v>
      </c>
      <c r="S43" s="134">
        <f t="shared" ca="1" si="22"/>
        <v>145.83000000000001</v>
      </c>
      <c r="T43" s="134">
        <f t="shared" ca="1" si="23"/>
        <v>145.83000000000001</v>
      </c>
      <c r="U43" s="134">
        <f t="shared" ca="1" si="33"/>
        <v>108.08010000000002</v>
      </c>
      <c r="V43" s="134">
        <f t="shared" ca="1" si="34"/>
        <v>108.08010000000002</v>
      </c>
      <c r="W43" s="134">
        <f t="shared" ca="1" si="35"/>
        <v>169.16666666666666</v>
      </c>
      <c r="X43" s="134">
        <f t="shared" ca="1" si="25"/>
        <v>170</v>
      </c>
      <c r="Y43" s="134">
        <f t="shared" ca="1" si="7"/>
        <v>4999.9599999999991</v>
      </c>
      <c r="Z43" s="134">
        <f t="shared" ca="1" si="36"/>
        <v>123.51760555555555</v>
      </c>
      <c r="AA43" s="134">
        <f t="shared" ca="1" si="8"/>
        <v>123.51760555555555</v>
      </c>
      <c r="AB43" s="134">
        <f ca="1">IF(R44=0,R43*Q12,(R42*20+R43*10))</f>
        <v>134168.40000000002</v>
      </c>
      <c r="AC43" s="134">
        <f t="shared" ca="1" si="1"/>
        <v>0</v>
      </c>
      <c r="AD43" s="134">
        <f ca="1">IF(F10="USD",ROUND(AK43,2),IF(F10="бел. рублей",ROUNDUP(AK43,-1)," "))</f>
        <v>0</v>
      </c>
      <c r="AE43" s="134">
        <f t="shared" ca="1" si="32"/>
        <v>0</v>
      </c>
      <c r="AF43" s="134">
        <f t="shared" ca="1" si="9"/>
        <v>0</v>
      </c>
      <c r="AG43" s="134">
        <f t="shared" ca="1" si="26"/>
        <v>0</v>
      </c>
      <c r="AH43" s="134">
        <f t="shared" ca="1" si="10"/>
        <v>0</v>
      </c>
      <c r="AI43" s="134">
        <f t="shared" ca="1" si="11"/>
        <v>4375.0600000000013</v>
      </c>
      <c r="AJ43" s="134">
        <f ca="1">IF(N44=1,AI42*G$12*20/36000+AI43*G$12*10/36000,IF(N44=0,IF(N43=0,0,AI43*G$12*Q$12/36000)))</f>
        <v>0</v>
      </c>
      <c r="AK43" s="134">
        <f ca="1">IF(N44=1,AI42*G$12*20/36000+AI43*G$12*10/36000,IF(N44=0,IF(N43=0,0,AI43*G$12*Q$12/36000)))</f>
        <v>0</v>
      </c>
      <c r="AL43" s="132">
        <f t="shared" ca="1" si="12"/>
        <v>8</v>
      </c>
      <c r="AM43" s="132">
        <f t="shared" ca="1" si="13"/>
        <v>8</v>
      </c>
      <c r="AN43" s="2">
        <f t="shared" ca="1" si="14"/>
        <v>2025</v>
      </c>
      <c r="AO43" s="2">
        <f t="shared" ca="1" si="2"/>
        <v>2025</v>
      </c>
      <c r="AP43" s="2">
        <f t="shared" ca="1" si="15"/>
        <v>0</v>
      </c>
      <c r="AQ43" s="2">
        <f t="shared" ca="1" si="16"/>
        <v>30</v>
      </c>
      <c r="AR43" s="2">
        <f t="shared" si="17"/>
        <v>20</v>
      </c>
      <c r="AS43" s="2">
        <f t="shared" ca="1" si="27"/>
        <v>30</v>
      </c>
      <c r="AT43" s="21"/>
      <c r="AU43" s="21"/>
      <c r="AV43" s="21"/>
      <c r="AW43" s="21"/>
      <c r="AX43" s="21"/>
      <c r="AY43" s="2">
        <f t="shared" ca="1" si="18"/>
        <v>1</v>
      </c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52"/>
      <c r="BL43" s="52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9"/>
        <v>20</v>
      </c>
      <c r="B44" s="268">
        <f t="shared" ca="1" si="3"/>
        <v>45920</v>
      </c>
      <c r="C44" s="401"/>
      <c r="D44" s="269">
        <f ca="1">IF(N44=0,IF(N43=1,D25+D26+D27+D28+D29+D30+D31+D32+D33+D34+D35+D36+D37+D38+D39+D40+D41+D42+D43," "),IF(N44=0," ",IF(N45=1,D25,IF(N45=0,D10-D25*(M14-1)," "))))</f>
        <v>145.83000000000001</v>
      </c>
      <c r="E44" s="269"/>
      <c r="F44" s="87">
        <f ca="1">IF(N44=0,IF(N43=1,F25+F26+F27+F28+F29+F30+F31+F32+F33+F34+F35+F36+F37+F38+F39+F40+F41+F42+F43," "),IF(M1=1,P44,IF(M1=2,Q44," ")))</f>
        <v>104.55587500000004</v>
      </c>
      <c r="G44" s="87">
        <f ca="1">IF(N44=0,IF(N43=1,G25+G26+G27+G28+G29+G30+G31+G32+G33+G34+G35+G36+G37+G38+G39+G40+G41+G42+G43," "),IF(M1=1,AC44,IF(M1=2,AD44," ")))</f>
        <v>0</v>
      </c>
      <c r="H44" s="87">
        <f t="shared" ca="1" si="4"/>
        <v>250.38587500000006</v>
      </c>
      <c r="I44" s="87">
        <f t="shared" ca="1" si="28"/>
        <v>166.67</v>
      </c>
      <c r="J44" s="87">
        <f t="shared" ca="1" si="29"/>
        <v>119.48974722222221</v>
      </c>
      <c r="K44" s="87">
        <f t="shared" ca="1" si="30"/>
        <v>0</v>
      </c>
      <c r="L44" s="87">
        <f t="shared" ca="1" si="31"/>
        <v>286.15974722222222</v>
      </c>
      <c r="M44" s="2">
        <f t="shared" si="20"/>
        <v>20</v>
      </c>
      <c r="N44" s="2">
        <f ca="1">IF(M1=1,IF(M14&gt;19,1,0),IF(M1=2,IF(M14&gt;19,1,0),0))</f>
        <v>1</v>
      </c>
      <c r="O44" s="2">
        <f ca="1">IF(M44=A$14,IF(DATE(YEAR(0),MONTH(0),DAY(D$16)-1)&lt;AR44,DATE(YEAR(0),MONTH(0),DAY(D$16)-1),AR44),AR44)</f>
        <v>20</v>
      </c>
      <c r="P44" s="134">
        <f t="shared" ca="1" si="5"/>
        <v>104.55587500000004</v>
      </c>
      <c r="Q44" s="134">
        <f t="shared" ca="1" si="6"/>
        <v>104.55587500000004</v>
      </c>
      <c r="R44" s="134">
        <f t="shared" ca="1" si="21"/>
        <v>4229.2300000000014</v>
      </c>
      <c r="S44" s="134">
        <f t="shared" ca="1" si="22"/>
        <v>145.83000000000001</v>
      </c>
      <c r="T44" s="134">
        <f t="shared" ca="1" si="23"/>
        <v>145.83000000000001</v>
      </c>
      <c r="U44" s="134">
        <f t="shared" ca="1" si="33"/>
        <v>104.55587500000004</v>
      </c>
      <c r="V44" s="134">
        <f t="shared" ca="1" si="34"/>
        <v>104.55587500000004</v>
      </c>
      <c r="W44" s="134">
        <f t="shared" ca="1" si="35"/>
        <v>169.16666666666666</v>
      </c>
      <c r="X44" s="134">
        <f t="shared" ca="1" si="25"/>
        <v>170</v>
      </c>
      <c r="Y44" s="134">
        <f t="shared" ca="1" si="7"/>
        <v>4833.2899999999991</v>
      </c>
      <c r="Z44" s="134">
        <f t="shared" ca="1" si="36"/>
        <v>119.48974722222221</v>
      </c>
      <c r="AA44" s="134">
        <f t="shared" ca="1" si="8"/>
        <v>119.48974722222221</v>
      </c>
      <c r="AB44" s="134">
        <f ca="1">IF(R45=0,R44*Q12,(R43*20+R44*10))</f>
        <v>129793.50000000004</v>
      </c>
      <c r="AC44" s="134">
        <f t="shared" ca="1" si="1"/>
        <v>0</v>
      </c>
      <c r="AD44" s="134">
        <f ca="1">IF(F10="USD",ROUND(AK44,2),IF(F10="бел. рублей",ROUNDUP(AK44,-1)," "))</f>
        <v>0</v>
      </c>
      <c r="AE44" s="134">
        <f t="shared" ca="1" si="32"/>
        <v>0</v>
      </c>
      <c r="AF44" s="134">
        <f t="shared" ca="1" si="9"/>
        <v>0</v>
      </c>
      <c r="AG44" s="134">
        <f t="shared" ca="1" si="26"/>
        <v>0</v>
      </c>
      <c r="AH44" s="134">
        <f t="shared" ca="1" si="10"/>
        <v>0</v>
      </c>
      <c r="AI44" s="134">
        <f t="shared" ca="1" si="11"/>
        <v>4229.2300000000014</v>
      </c>
      <c r="AJ44" s="134">
        <f ca="1">IF(N45=1,AI43*G12*20/36000+AI44*G12*10/36000,IF(N45=0,IF(N44=0,0,AI44*G12*Q12/36000+AI43*G12*20/36000+AI44*G12*10/36000)))</f>
        <v>0</v>
      </c>
      <c r="AK44" s="134">
        <f ca="1">IF(N45=1,AI43*G12*20/36000+AI44*G12*10/36000,IF(N45=0,IF(N44=0,0,AI44*G12*Q12/36000+AI43*G12*20/36000+AI44*G12*10/36000)))</f>
        <v>0</v>
      </c>
      <c r="AL44" s="132">
        <f t="shared" ca="1" si="12"/>
        <v>9</v>
      </c>
      <c r="AM44" s="132">
        <f t="shared" ca="1" si="13"/>
        <v>9</v>
      </c>
      <c r="AN44" s="2">
        <f t="shared" ca="1" si="14"/>
        <v>2025</v>
      </c>
      <c r="AO44" s="2">
        <f t="shared" ca="1" si="2"/>
        <v>2025</v>
      </c>
      <c r="AP44" s="2">
        <f t="shared" ca="1" si="15"/>
        <v>0</v>
      </c>
      <c r="AQ44" s="2">
        <f t="shared" ca="1" si="16"/>
        <v>30</v>
      </c>
      <c r="AR44" s="2">
        <f t="shared" si="17"/>
        <v>20</v>
      </c>
      <c r="AS44" s="2">
        <f t="shared" ca="1" si="27"/>
        <v>30</v>
      </c>
      <c r="AT44" s="21"/>
      <c r="AU44" s="21"/>
      <c r="AV44" s="21"/>
      <c r="AW44" s="21"/>
      <c r="AX44" s="21"/>
      <c r="AY44" s="2">
        <f t="shared" ca="1" si="18"/>
        <v>1</v>
      </c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52"/>
      <c r="BL44" s="52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9"/>
        <v>21</v>
      </c>
      <c r="B45" s="268">
        <f t="shared" ca="1" si="3"/>
        <v>45950</v>
      </c>
      <c r="C45" s="401"/>
      <c r="D45" s="269">
        <f ca="1">IF(N45=0,IF(N44=1,D25+D26+D27+D28+D29+D30+D31+D32+D33+D34+D35+D36+D37+D38+D39+D40+D41+D42+D43+D44," "),IF(N45=0," ",IF(N46=1,D25,IF(N46=0,D10-D25*(M14-1)," "))))</f>
        <v>145.83000000000001</v>
      </c>
      <c r="E45" s="269"/>
      <c r="F45" s="87">
        <f ca="1">IF(N45=0,IF(N44=1,F25+F26+F27+F28+F29+F30+F31+F32+F33+F34+F35+F36+F37+F38+F39+F40+F41+F42+F43+F44," "),IF(M1=1,P45,IF(M1=2,Q45," ")))</f>
        <v>101.03165000000004</v>
      </c>
      <c r="G45" s="87">
        <f ca="1">IF(N45=0,IF(N44=1,G25+G26+G27+G28+G29+G30+G31+G32+G33+G34+G35+G36+G37+G38+G39+G40+G41+G42+G43+G44," "),IF(M1=1,AC45,IF(M1=2,AD45," ")))</f>
        <v>0</v>
      </c>
      <c r="H45" s="87">
        <f t="shared" ca="1" si="4"/>
        <v>246.86165000000005</v>
      </c>
      <c r="I45" s="87">
        <f t="shared" ca="1" si="28"/>
        <v>166.67</v>
      </c>
      <c r="J45" s="87">
        <f t="shared" ca="1" si="29"/>
        <v>115.46188888888886</v>
      </c>
      <c r="K45" s="87">
        <f t="shared" ca="1" si="30"/>
        <v>0</v>
      </c>
      <c r="L45" s="87">
        <f t="shared" ca="1" si="31"/>
        <v>282.13188888888885</v>
      </c>
      <c r="M45" s="2">
        <f t="shared" si="20"/>
        <v>21</v>
      </c>
      <c r="N45" s="2">
        <f ca="1">IF(M1=1,IF(M14&gt;20,1,0),IF(M1=2,IF(M14&gt;20,1,0),0))</f>
        <v>1</v>
      </c>
      <c r="O45" s="2">
        <f ca="1">IF(M45=A$14,IF(DATE(YEAR(0),MONTH(0),DAY(D$16)-1)&lt;AR45,DATE(YEAR(0),MONTH(0),DAY(D$16)-1),AR45),AR45)</f>
        <v>20</v>
      </c>
      <c r="P45" s="134">
        <f t="shared" ca="1" si="5"/>
        <v>101.03165000000004</v>
      </c>
      <c r="Q45" s="134">
        <f t="shared" ca="1" si="6"/>
        <v>101.03165000000004</v>
      </c>
      <c r="R45" s="134">
        <f t="shared" ca="1" si="21"/>
        <v>4083.4000000000015</v>
      </c>
      <c r="S45" s="134">
        <f t="shared" ca="1" si="22"/>
        <v>145.83000000000001</v>
      </c>
      <c r="T45" s="134">
        <f t="shared" ca="1" si="23"/>
        <v>145.83000000000001</v>
      </c>
      <c r="U45" s="134">
        <f t="shared" ca="1" si="33"/>
        <v>101.03165000000004</v>
      </c>
      <c r="V45" s="134">
        <f t="shared" ca="1" si="34"/>
        <v>101.03165000000004</v>
      </c>
      <c r="W45" s="134">
        <f t="shared" ca="1" si="35"/>
        <v>169.16666666666666</v>
      </c>
      <c r="X45" s="134">
        <f t="shared" ca="1" si="25"/>
        <v>170</v>
      </c>
      <c r="Y45" s="134">
        <f t="shared" ca="1" si="7"/>
        <v>4666.619999999999</v>
      </c>
      <c r="Z45" s="134">
        <f t="shared" ca="1" si="36"/>
        <v>115.46188888888886</v>
      </c>
      <c r="AA45" s="134">
        <f t="shared" ca="1" si="8"/>
        <v>115.46188888888886</v>
      </c>
      <c r="AB45" s="134">
        <f ca="1">IF(R46=0,R45*Q12,(R44*20+R45*10))</f>
        <v>125418.60000000005</v>
      </c>
      <c r="AC45" s="134">
        <f t="shared" ca="1" si="1"/>
        <v>0</v>
      </c>
      <c r="AD45" s="134">
        <f ca="1">IF(F10="USD",ROUND(AK45,2),IF(F10="бел. рублей",ROUNDUP(AK45,-1)," "))</f>
        <v>0</v>
      </c>
      <c r="AE45" s="134">
        <f t="shared" ca="1" si="32"/>
        <v>0</v>
      </c>
      <c r="AF45" s="134">
        <f t="shared" ca="1" si="9"/>
        <v>0</v>
      </c>
      <c r="AG45" s="134">
        <f t="shared" ca="1" si="26"/>
        <v>0</v>
      </c>
      <c r="AH45" s="134">
        <f t="shared" ca="1" si="10"/>
        <v>0</v>
      </c>
      <c r="AI45" s="134">
        <f t="shared" ca="1" si="11"/>
        <v>4083.4000000000015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12"/>
        <v>10</v>
      </c>
      <c r="AM45" s="132">
        <f t="shared" ca="1" si="13"/>
        <v>10</v>
      </c>
      <c r="AN45" s="2">
        <f t="shared" ca="1" si="14"/>
        <v>2025</v>
      </c>
      <c r="AO45" s="2">
        <f t="shared" ca="1" si="2"/>
        <v>2025</v>
      </c>
      <c r="AP45" s="2">
        <f t="shared" ca="1" si="15"/>
        <v>0</v>
      </c>
      <c r="AQ45" s="2">
        <f t="shared" ca="1" si="16"/>
        <v>30</v>
      </c>
      <c r="AR45" s="2">
        <f t="shared" si="17"/>
        <v>20</v>
      </c>
      <c r="AS45" s="2">
        <f t="shared" ca="1" si="27"/>
        <v>30</v>
      </c>
      <c r="AT45" s="21"/>
      <c r="AU45" s="21"/>
      <c r="AV45" s="21"/>
      <c r="AW45" s="21"/>
      <c r="AX45" s="21"/>
      <c r="AY45" s="2">
        <f t="shared" ca="1" si="18"/>
        <v>1</v>
      </c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52"/>
      <c r="BL45" s="52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9"/>
        <v>22</v>
      </c>
      <c r="B46" s="268">
        <f t="shared" ca="1" si="3"/>
        <v>45981</v>
      </c>
      <c r="C46" s="401"/>
      <c r="D46" s="269">
        <f ca="1">IF(N46=0,IF(N45=1,D25+D26+D27+D28+D29+D30+D31+D32+D33+D34+D35+D36+D37+D38+D39+D40+D41+D42+D43+D44+D45," "),IF(N46=0," ",IF(N47=1,D25,IF(N47=0,D10-D25*(M14-1)," "))))</f>
        <v>145.83000000000001</v>
      </c>
      <c r="E46" s="269"/>
      <c r="F46" s="87">
        <f ca="1">IF(N46=0,IF(N45=1,F25+F26+F27+F28+F29+F30+F31+F32+F33+F34+F35+F36+F37+F38+F39+F40+F41+F42+F43+F44+F45," "),IF(M1=1,P46,IF(M1=2,Q46," ")))</f>
        <v>97.50742500000004</v>
      </c>
      <c r="G46" s="87">
        <f ca="1">IF(N46=0,IF(N45=1,G25+G26+G27+G28+G29+G30+G31+G32+G33+G34+G35+G36+G37+G38+G39+G40+G41+G42+G43+G44+G45," "),IF(M1=1,AC46,IF(M1=2,AD46," ")))</f>
        <v>0</v>
      </c>
      <c r="H46" s="87">
        <f t="shared" ca="1" si="4"/>
        <v>243.33742500000005</v>
      </c>
      <c r="I46" s="87">
        <f t="shared" ca="1" si="28"/>
        <v>166.67</v>
      </c>
      <c r="J46" s="87">
        <f t="shared" ca="1" si="29"/>
        <v>111.43403055555552</v>
      </c>
      <c r="K46" s="87">
        <f t="shared" ca="1" si="30"/>
        <v>0</v>
      </c>
      <c r="L46" s="87">
        <f t="shared" ca="1" si="31"/>
        <v>278.10403055555548</v>
      </c>
      <c r="M46" s="2">
        <f t="shared" si="20"/>
        <v>22</v>
      </c>
      <c r="N46" s="2">
        <f ca="1">IF(M1=1,IF(M14&gt;21,1,0),IF(M1=2,IF(M14&gt;21,1,0),0))</f>
        <v>1</v>
      </c>
      <c r="O46" s="2">
        <f ca="1">IF(M46=A$14,IF(DATE(YEAR(0),MONTH(0),DAY(D$16)-1)&lt;AR46,DATE(YEAR(0),MONTH(0),DAY(D$16)-1),AR46),AR46)</f>
        <v>20</v>
      </c>
      <c r="P46" s="134">
        <f t="shared" ca="1" si="5"/>
        <v>97.50742500000004</v>
      </c>
      <c r="Q46" s="134">
        <f t="shared" ca="1" si="6"/>
        <v>97.50742500000004</v>
      </c>
      <c r="R46" s="134">
        <f t="shared" ca="1" si="21"/>
        <v>3937.5700000000015</v>
      </c>
      <c r="S46" s="134">
        <f t="shared" ca="1" si="22"/>
        <v>145.83000000000001</v>
      </c>
      <c r="T46" s="134">
        <f t="shared" ca="1" si="23"/>
        <v>145.83000000000001</v>
      </c>
      <c r="U46" s="134">
        <f t="shared" ca="1" si="33"/>
        <v>97.50742500000004</v>
      </c>
      <c r="V46" s="134">
        <f t="shared" ca="1" si="34"/>
        <v>97.50742500000004</v>
      </c>
      <c r="W46" s="134">
        <f t="shared" ca="1" si="35"/>
        <v>169.16666666666666</v>
      </c>
      <c r="X46" s="134">
        <f t="shared" ca="1" si="25"/>
        <v>170</v>
      </c>
      <c r="Y46" s="134">
        <f t="shared" ca="1" si="7"/>
        <v>4499.9499999999989</v>
      </c>
      <c r="Z46" s="134">
        <f t="shared" ca="1" si="36"/>
        <v>111.43403055555552</v>
      </c>
      <c r="AA46" s="134">
        <f t="shared" ca="1" si="8"/>
        <v>111.43403055555552</v>
      </c>
      <c r="AB46" s="134">
        <f ca="1">IF(R47=0,R46*Q12,(R45*20+R46*10))</f>
        <v>121043.70000000004</v>
      </c>
      <c r="AC46" s="134">
        <f t="shared" ca="1" si="1"/>
        <v>0</v>
      </c>
      <c r="AD46" s="134">
        <f ca="1">IF(F10="USD",ROUND(AK46,2),IF(F10="бел. рублей",ROUNDUP(AK46,-1)," "))</f>
        <v>0</v>
      </c>
      <c r="AE46" s="134">
        <f t="shared" ca="1" si="32"/>
        <v>0</v>
      </c>
      <c r="AF46" s="134">
        <f t="shared" ca="1" si="9"/>
        <v>0</v>
      </c>
      <c r="AG46" s="134">
        <f t="shared" ca="1" si="26"/>
        <v>0</v>
      </c>
      <c r="AH46" s="134">
        <f t="shared" ca="1" si="10"/>
        <v>0</v>
      </c>
      <c r="AI46" s="134">
        <f t="shared" ca="1" si="11"/>
        <v>3937.5700000000015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12"/>
        <v>11</v>
      </c>
      <c r="AM46" s="132">
        <f t="shared" ca="1" si="13"/>
        <v>11</v>
      </c>
      <c r="AN46" s="2">
        <f t="shared" ca="1" si="14"/>
        <v>2025</v>
      </c>
      <c r="AO46" s="2">
        <f t="shared" ca="1" si="2"/>
        <v>2025</v>
      </c>
      <c r="AP46" s="2">
        <f t="shared" ca="1" si="15"/>
        <v>0</v>
      </c>
      <c r="AQ46" s="2">
        <f ca="1">IF(AM46=2,IF(AP46=1,29,28),30)</f>
        <v>30</v>
      </c>
      <c r="AR46" s="2">
        <f t="shared" si="17"/>
        <v>20</v>
      </c>
      <c r="AS46" s="2">
        <f t="shared" ca="1" si="27"/>
        <v>30</v>
      </c>
      <c r="AT46" s="21"/>
      <c r="AU46" s="21"/>
      <c r="AV46" s="21"/>
      <c r="AW46" s="21"/>
      <c r="AX46" s="21"/>
      <c r="AY46" s="2">
        <f t="shared" ca="1" si="18"/>
        <v>1</v>
      </c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52"/>
      <c r="BL46" s="52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>A46+1</f>
        <v>23</v>
      </c>
      <c r="B47" s="268">
        <f ca="1">IF(N47=0,IF(N46=1,"ИТОГО"," "),DATE(YEAR(B46),MONTH(B46)+1,O47))</f>
        <v>46011</v>
      </c>
      <c r="C47" s="401"/>
      <c r="D47" s="269">
        <f ca="1">IF(N47=0,IF(N46=1,D25+D26+D27+D28+D29+D30+D31+D32+D33+D34+D35+D36+D37+D38+D39+D40+D41+D42+D43+D44+D45+D46," "),IF(N47=0," ",IF(N48=1,D25,IF(N48=0,D10-D25*(M14-1)," "))))</f>
        <v>145.83000000000001</v>
      </c>
      <c r="E47" s="269"/>
      <c r="F47" s="87">
        <f ca="1">IF(N47=0,IF(N46=1,F25+F26+F27+F28+F29+F30+F31+F32+F33+F34+F35+F36+F37+F38+F39+F40+F41+F42+F43+F44+F45+F46," "),IF(M1=1,P47,IF(M1=2,Q47," ")))</f>
        <v>93.983200000000039</v>
      </c>
      <c r="G47" s="87">
        <f ca="1">IF(N47=0,IF(N46=1,G25+G26+G27+G28+G29+G30+G31+G32+G33+G34+G35+G36+G37+G38+G39+G40+G41+G42+G43+G44+G45+G46," "),IF(M1=1,AC47,IF(M1=2,AD47," ")))</f>
        <v>0</v>
      </c>
      <c r="H47" s="87">
        <f t="shared" ca="1" si="4"/>
        <v>239.81320000000005</v>
      </c>
      <c r="I47" s="87">
        <f t="shared" ca="1" si="28"/>
        <v>166.67</v>
      </c>
      <c r="J47" s="87">
        <f t="shared" ca="1" si="29"/>
        <v>107.4061722222222</v>
      </c>
      <c r="K47" s="87">
        <f t="shared" ca="1" si="30"/>
        <v>0</v>
      </c>
      <c r="L47" s="87">
        <f t="shared" ca="1" si="31"/>
        <v>274.07617222222217</v>
      </c>
      <c r="M47" s="2">
        <f>M46+1</f>
        <v>23</v>
      </c>
      <c r="N47" s="2">
        <f ca="1">IF(M1=1,IF(M14&gt;22,1,0),IF(M1=2,IF(M14&gt;22,1,0),0))</f>
        <v>1</v>
      </c>
      <c r="O47" s="2">
        <f ca="1">IF(M47=A$14,IF(DATE(YEAR(0),MONTH(0),DAY(D$16)-1)&lt;AR47,DATE(YEAR(0),MONTH(0),DAY(D$16)-1),AR47),AR47)</f>
        <v>20</v>
      </c>
      <c r="P47" s="134">
        <f t="shared" ca="1" si="5"/>
        <v>93.983200000000039</v>
      </c>
      <c r="Q47" s="134">
        <f t="shared" ca="1" si="6"/>
        <v>93.983200000000039</v>
      </c>
      <c r="R47" s="134">
        <f ca="1">IF(N47=0,0,R46-D46)</f>
        <v>3791.7400000000016</v>
      </c>
      <c r="S47" s="134">
        <f t="shared" ca="1" si="22"/>
        <v>145.83000000000001</v>
      </c>
      <c r="T47" s="134">
        <f t="shared" ca="1" si="23"/>
        <v>145.83000000000001</v>
      </c>
      <c r="U47" s="134">
        <f t="shared" ca="1" si="33"/>
        <v>93.983200000000039</v>
      </c>
      <c r="V47" s="134">
        <f t="shared" ca="1" si="34"/>
        <v>93.983200000000039</v>
      </c>
      <c r="W47" s="134">
        <f t="shared" ca="1" si="35"/>
        <v>169.16666666666666</v>
      </c>
      <c r="X47" s="134">
        <f t="shared" ca="1" si="25"/>
        <v>170</v>
      </c>
      <c r="Y47" s="134">
        <f t="shared" ca="1" si="7"/>
        <v>4333.2799999999988</v>
      </c>
      <c r="Z47" s="134">
        <f t="shared" ca="1" si="36"/>
        <v>107.4061722222222</v>
      </c>
      <c r="AA47" s="134">
        <f t="shared" ca="1" si="8"/>
        <v>107.4061722222222</v>
      </c>
      <c r="AB47" s="134">
        <f ca="1">IF(R48=0,R47*Q12,(R46*20+R47*10))</f>
        <v>116668.80000000005</v>
      </c>
      <c r="AC47" s="134">
        <f t="shared" ca="1" si="1"/>
        <v>0</v>
      </c>
      <c r="AD47" s="134">
        <f ca="1">IF(F10="USD",ROUND(AK47,2),IF(F10="бел. рублей",ROUNDUP(AK47,-1)," "))</f>
        <v>0</v>
      </c>
      <c r="AE47" s="134">
        <f t="shared" ca="1" si="32"/>
        <v>0</v>
      </c>
      <c r="AF47" s="134">
        <f t="shared" ca="1" si="9"/>
        <v>0</v>
      </c>
      <c r="AG47" s="134">
        <f t="shared" ca="1" si="26"/>
        <v>0</v>
      </c>
      <c r="AH47" s="134">
        <f t="shared" ca="1" si="10"/>
        <v>0</v>
      </c>
      <c r="AI47" s="134">
        <f t="shared" ca="1" si="11"/>
        <v>3791.7400000000016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12"/>
        <v>12</v>
      </c>
      <c r="AM47" s="132">
        <f t="shared" ca="1" si="13"/>
        <v>12</v>
      </c>
      <c r="AN47" s="2">
        <f t="shared" ca="1" si="14"/>
        <v>2025</v>
      </c>
      <c r="AO47" s="2">
        <f t="shared" ca="1" si="2"/>
        <v>2025</v>
      </c>
      <c r="AP47" s="2">
        <f t="shared" ca="1" si="15"/>
        <v>0</v>
      </c>
      <c r="AQ47" s="2">
        <f t="shared" ca="1" si="16"/>
        <v>30</v>
      </c>
      <c r="AR47" s="2">
        <f t="shared" si="17"/>
        <v>20</v>
      </c>
      <c r="AS47" s="2">
        <f t="shared" ca="1" si="27"/>
        <v>30</v>
      </c>
      <c r="AT47" s="21"/>
      <c r="AU47" s="21"/>
      <c r="AV47" s="21"/>
      <c r="AW47" s="21"/>
      <c r="AX47" s="21"/>
      <c r="AY47" s="2">
        <f t="shared" ca="1" si="18"/>
        <v>1</v>
      </c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52"/>
      <c r="BL47" s="52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9"/>
        <v>24</v>
      </c>
      <c r="B48" s="268">
        <f t="shared" ca="1" si="3"/>
        <v>46042</v>
      </c>
      <c r="C48" s="401"/>
      <c r="D48" s="269">
        <f ca="1">IF(N48=0,IF(N47=1,SUM(D$25:E47)," "),IF(N48=0," ",IF(N49=1,D$25,IF(N49=0,D$10-D$25*(M$14-1)," "))))</f>
        <v>145.83000000000001</v>
      </c>
      <c r="E48" s="269"/>
      <c r="F48" s="87">
        <f ca="1">IF(N48=0,IF(N47=1,SUM(F$25:F47)," "),IF(M$1=1,P48,IF(M$1=2,Q48," ")))</f>
        <v>90.458975000000038</v>
      </c>
      <c r="G48" s="87">
        <f ca="1">IF(N48=0,IF(N47=1,SUM(G$25:G47)," "),IF(M$1=1,AC48,IF(M$1=2,AD48," ")))</f>
        <v>0</v>
      </c>
      <c r="H48" s="87">
        <f t="shared" ca="1" si="4"/>
        <v>236.28897500000005</v>
      </c>
      <c r="I48" s="87">
        <f t="shared" ca="1" si="28"/>
        <v>166.67</v>
      </c>
      <c r="J48" s="87">
        <f t="shared" ca="1" si="29"/>
        <v>103.37831388888887</v>
      </c>
      <c r="K48" s="87">
        <f t="shared" ca="1" si="30"/>
        <v>0</v>
      </c>
      <c r="L48" s="87">
        <f t="shared" ca="1" si="31"/>
        <v>270.04831388888886</v>
      </c>
      <c r="M48" s="2">
        <f t="shared" si="20"/>
        <v>24</v>
      </c>
      <c r="N48" s="2">
        <f ca="1">IF(M$1=1,IF(M$14&gt;M47,1,0),IF(M$1=2,IF(M$14&gt;M47,1,0),0))</f>
        <v>1</v>
      </c>
      <c r="O48" s="2">
        <f ca="1">IF(M48=A$14,IF(DATE(YEAR(0),MONTH(0),DAY(D$16)-1)&lt;AR48,DATE(YEAR(0),MONTH(0),DAY(D$16)-1),AR48),AR48)</f>
        <v>20</v>
      </c>
      <c r="P48" s="134">
        <f t="shared" ca="1" si="5"/>
        <v>90.458975000000038</v>
      </c>
      <c r="Q48" s="134">
        <f t="shared" ca="1" si="6"/>
        <v>90.458975000000038</v>
      </c>
      <c r="R48" s="134">
        <f t="shared" ca="1" si="21"/>
        <v>3645.9100000000017</v>
      </c>
      <c r="S48" s="134">
        <f t="shared" ca="1" si="22"/>
        <v>145.83000000000001</v>
      </c>
      <c r="T48" s="134">
        <f t="shared" ca="1" si="23"/>
        <v>145.83000000000001</v>
      </c>
      <c r="U48" s="134">
        <f ca="1">IF(N49=1,R47*D11*20/36000+R48*D11*10/36000,IF(N49=0,IF(N48=0,0,R48*D11*Q12/36000+R47*D11*20/36000+R48*D11*10/36000)))</f>
        <v>90.458975000000038</v>
      </c>
      <c r="V48" s="134">
        <f ca="1">IF(N49=1,R47*D11*20/36000+R48*D11*10/36000,IF(N49=0,IF(N48=0,0,R48*D11*Q12/36000+R47*D11*20/36000+R48*D11*10/36000)))</f>
        <v>90.458975000000038</v>
      </c>
      <c r="W48" s="134">
        <f t="shared" ca="1" si="35"/>
        <v>169.16666666666666</v>
      </c>
      <c r="X48" s="134">
        <f t="shared" ca="1" si="25"/>
        <v>170</v>
      </c>
      <c r="Y48" s="134">
        <f t="shared" ca="1" si="7"/>
        <v>4166.6099999999988</v>
      </c>
      <c r="Z48" s="134">
        <f t="shared" ca="1" si="36"/>
        <v>103.37831388888887</v>
      </c>
      <c r="AA48" s="134">
        <f t="shared" ca="1" si="8"/>
        <v>103.37831388888887</v>
      </c>
      <c r="AB48" s="134">
        <f t="shared" ref="AB48:AB60" ca="1" si="37">IF(R49=0,R48*Q$12,(R47*20+R48*10))</f>
        <v>112293.90000000005</v>
      </c>
      <c r="AC48" s="134">
        <f t="shared" ca="1" si="1"/>
        <v>0</v>
      </c>
      <c r="AD48" s="134">
        <f t="shared" ref="AD48:AD85" ca="1" si="38">IF(F$10="USD",ROUND(AK48,2),IF(F$10="бел. рублей",ROUNDUP(AK48,-1)," "))</f>
        <v>0</v>
      </c>
      <c r="AE48" s="134">
        <f t="shared" ca="1" si="32"/>
        <v>0</v>
      </c>
      <c r="AF48" s="134">
        <f t="shared" ca="1" si="9"/>
        <v>0</v>
      </c>
      <c r="AG48" s="134">
        <f t="shared" ca="1" si="26"/>
        <v>0</v>
      </c>
      <c r="AH48" s="134">
        <f t="shared" ca="1" si="10"/>
        <v>0</v>
      </c>
      <c r="AI48" s="134">
        <f t="shared" ca="1" si="11"/>
        <v>3645.9100000000017</v>
      </c>
      <c r="AJ48" s="134">
        <f ca="1">IF(N49=1,AI47*G$12*20/36000+AI48*G$12*10/36000,IF(N49=0,IF(N48=0,0,AI48*G$12*Q$12/36000+AI47*G$12*20/36000+AI48*G$12*10/36000)))</f>
        <v>0</v>
      </c>
      <c r="AK48" s="134">
        <f ca="1">IF(N49=1,AI47*G$12*20/36000+AI48*G$12*10/36000,IF(N49=0,IF(N48=0,0,AI48*G$12*Q$12/36000+AI47*G$12*20/36000+AI48*G$12*10/36000)))</f>
        <v>0</v>
      </c>
      <c r="AL48" s="132">
        <f t="shared" ca="1" si="12"/>
        <v>13</v>
      </c>
      <c r="AM48" s="132">
        <f t="shared" ca="1" si="13"/>
        <v>1</v>
      </c>
      <c r="AN48" s="2">
        <f t="shared" ca="1" si="14"/>
        <v>2025</v>
      </c>
      <c r="AO48" s="2">
        <f t="shared" ca="1" si="2"/>
        <v>2026</v>
      </c>
      <c r="AP48" s="2">
        <f t="shared" ca="1" si="15"/>
        <v>0</v>
      </c>
      <c r="AQ48" s="2">
        <f t="shared" ca="1" si="16"/>
        <v>30</v>
      </c>
      <c r="AR48" s="2">
        <f t="shared" si="17"/>
        <v>20</v>
      </c>
      <c r="AS48" s="2">
        <f t="shared" ca="1" si="27"/>
        <v>30</v>
      </c>
      <c r="AT48" s="21"/>
      <c r="AU48" s="21"/>
      <c r="AV48" s="21"/>
      <c r="AW48" s="21"/>
      <c r="AX48" s="21"/>
      <c r="AY48" s="2">
        <f t="shared" ca="1" si="18"/>
        <v>1</v>
      </c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52"/>
      <c r="BL48" s="52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ca="1">IF(N49=0,IF(N48=1,"ИТОГО"," "),IF(M49=M14,DATE(YEAR(B48),MONTH(B48),O49),DATE(YEAR(B48),MONTH(B48)+1,O49)))</f>
        <v>46073</v>
      </c>
      <c r="C49" s="401"/>
      <c r="D49" s="269">
        <f ca="1">IF(N49=0,IF(N48=1,SUM(D$25:E48)," "),IF(N49=0," ",IF(N50=1,D$25,IF(N50=0,D$10-D$25*(M$14-1)," "))))</f>
        <v>145.83000000000001</v>
      </c>
      <c r="E49" s="269"/>
      <c r="F49" s="87">
        <f ca="1">IF(N49=0,IF(N48=1,SUM(F$25:F48)," "),IF(M$1=1,P49,IF(M$1=2,Q49," ")))</f>
        <v>86.934750000000037</v>
      </c>
      <c r="G49" s="87">
        <f ca="1">IF(N49=0,IF(N48=1,SUM(G$25:G48)," "),IF(M$1=1,AC49,IF(M$1=2,AD49," ")))</f>
        <v>0</v>
      </c>
      <c r="H49" s="87">
        <f t="shared" ca="1" si="4"/>
        <v>232.76475000000005</v>
      </c>
      <c r="I49" s="87">
        <f t="shared" ca="1" si="28"/>
        <v>166.67</v>
      </c>
      <c r="J49" s="87">
        <f t="shared" ca="1" si="29"/>
        <v>99.350455555555527</v>
      </c>
      <c r="K49" s="87">
        <f t="shared" ca="1" si="30"/>
        <v>0</v>
      </c>
      <c r="L49" s="87">
        <f t="shared" ca="1" si="31"/>
        <v>266.02045555555549</v>
      </c>
      <c r="M49" s="2">
        <v>25</v>
      </c>
      <c r="N49" s="2">
        <f t="shared" ref="N49:N85" ca="1" si="39">IF(M$1=1,IF(M$14&gt;M48,1,0),IF(M$1=2,IF(M$14&gt;M48,1,0),0))</f>
        <v>1</v>
      </c>
      <c r="O49" s="2">
        <f ca="1">IF(M49=A$14,IF(MONTH(B48)=-2,AS49,DATE(YEAR(0),MONTH(0),DAY(D$16)-1)),AR49)</f>
        <v>20</v>
      </c>
      <c r="P49" s="134">
        <f t="shared" ca="1" si="5"/>
        <v>86.934750000000037</v>
      </c>
      <c r="Q49" s="134">
        <f t="shared" ca="1" si="6"/>
        <v>86.934750000000037</v>
      </c>
      <c r="R49" s="134">
        <f ca="1">IF(N49=0,0,R48-D48)</f>
        <v>3500.0800000000017</v>
      </c>
      <c r="S49" s="134">
        <f t="shared" ca="1" si="22"/>
        <v>145.83000000000001</v>
      </c>
      <c r="T49" s="134">
        <f t="shared" ca="1" si="23"/>
        <v>145.83000000000001</v>
      </c>
      <c r="U49" s="134">
        <f t="shared" ca="1" si="33"/>
        <v>86.934750000000037</v>
      </c>
      <c r="V49" s="134">
        <f t="shared" ca="1" si="34"/>
        <v>86.934750000000037</v>
      </c>
      <c r="W49" s="134">
        <f t="shared" ca="1" si="35"/>
        <v>169.16666666666666</v>
      </c>
      <c r="X49" s="134">
        <f t="shared" ca="1" si="25"/>
        <v>170</v>
      </c>
      <c r="Y49" s="134">
        <f t="shared" ca="1" si="7"/>
        <v>3999.9399999999987</v>
      </c>
      <c r="Z49" s="134">
        <f t="shared" ca="1" si="36"/>
        <v>99.350455555555527</v>
      </c>
      <c r="AA49" s="134">
        <f t="shared" ca="1" si="8"/>
        <v>99.350455555555527</v>
      </c>
      <c r="AB49" s="134">
        <f t="shared" ca="1" si="37"/>
        <v>107919.00000000006</v>
      </c>
      <c r="AC49" s="134">
        <f t="shared" ca="1" si="1"/>
        <v>0</v>
      </c>
      <c r="AD49" s="134">
        <f t="shared" ca="1" si="38"/>
        <v>0</v>
      </c>
      <c r="AE49" s="134">
        <f t="shared" ca="1" si="32"/>
        <v>0</v>
      </c>
      <c r="AF49" s="134">
        <f t="shared" ca="1" si="9"/>
        <v>0</v>
      </c>
      <c r="AG49" s="134">
        <f t="shared" ca="1" si="26"/>
        <v>0</v>
      </c>
      <c r="AH49" s="134">
        <f t="shared" ca="1" si="10"/>
        <v>0</v>
      </c>
      <c r="AI49" s="134">
        <f ca="1">R49</f>
        <v>3500.0800000000017</v>
      </c>
      <c r="AJ49" s="134">
        <f ca="1">IF(N50=1,AI48*G$12*20/36000+AI49*G$12*10/36000,IF(N50=0,IF(N49=0,0,AI49*G$12*Q$12/36000)))</f>
        <v>0</v>
      </c>
      <c r="AK49" s="134">
        <f ca="1">IF(N50=1,AI48*G$12*20/36000+AI49*G$12*10/36000,IF(N50=0,IF(N49=0,0,AI49*G$12*Q$12/36000)))</f>
        <v>0</v>
      </c>
      <c r="AL49" s="132">
        <f t="shared" ca="1" si="12"/>
        <v>2</v>
      </c>
      <c r="AM49" s="132">
        <f t="shared" ca="1" si="13"/>
        <v>2</v>
      </c>
      <c r="AN49" s="2">
        <f t="shared" ca="1" si="14"/>
        <v>2026</v>
      </c>
      <c r="AO49" s="2">
        <f t="shared" ca="1" si="2"/>
        <v>2026</v>
      </c>
      <c r="AP49" s="2">
        <f t="shared" ca="1" si="15"/>
        <v>0</v>
      </c>
      <c r="AQ49" s="2">
        <f t="shared" ca="1" si="16"/>
        <v>28</v>
      </c>
      <c r="AR49" s="2">
        <f t="shared" si="17"/>
        <v>20</v>
      </c>
      <c r="AS49" s="2">
        <f t="shared" ca="1" si="27"/>
        <v>30</v>
      </c>
      <c r="AT49" s="2"/>
      <c r="AU49" s="2"/>
      <c r="AV49" s="2"/>
      <c r="AW49" s="2"/>
      <c r="AX49" s="2"/>
      <c r="AY49" s="2">
        <f t="shared" ca="1" si="18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51"/>
      <c r="BL49" s="51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ref="B50:B72" ca="1" si="40">IF(N50=0,IF(N49=1,"ИТОГО"," "),DATE(YEAR(B49),MONTH(B49)+1,O50))</f>
        <v>46101</v>
      </c>
      <c r="C50" s="401"/>
      <c r="D50" s="269">
        <f ca="1">IF(N50=0,IF(N49=1,SUM(D$25:E49)," "),IF(N50=0," ",IF(N51=1,D$25,IF(N51=0,D$10-D$25*(M$14-1)," "))))</f>
        <v>145.83000000000001</v>
      </c>
      <c r="E50" s="269"/>
      <c r="F50" s="87">
        <f ca="1">IF(N50=0,IF(N49=1,SUM(F$25:F49)," "),IF(M$1=1,P50,IF(M$1=2,Q50," ")))</f>
        <v>83.41052500000005</v>
      </c>
      <c r="G50" s="87">
        <f ca="1">IF(N50=0,IF(N49=1,SUM(G$25:G49)," "),IF(M$1=1,AC50,IF(M$1=2,AD50," ")))</f>
        <v>0</v>
      </c>
      <c r="H50" s="87">
        <f t="shared" ca="1" si="4"/>
        <v>229.24052500000005</v>
      </c>
      <c r="I50" s="87">
        <f t="shared" ca="1" si="28"/>
        <v>166.67</v>
      </c>
      <c r="J50" s="87">
        <f t="shared" ca="1" si="29"/>
        <v>95.322597222222186</v>
      </c>
      <c r="K50" s="87">
        <f t="shared" ca="1" si="30"/>
        <v>0</v>
      </c>
      <c r="L50" s="87">
        <f t="shared" ca="1" si="31"/>
        <v>261.99259722222217</v>
      </c>
      <c r="M50" s="2">
        <v>26</v>
      </c>
      <c r="N50" s="2">
        <f t="shared" ca="1" si="39"/>
        <v>1</v>
      </c>
      <c r="O50" s="2">
        <f t="shared" ref="O50:O60" ca="1" si="41">IF(M50=A$14,IF(DATE(YEAR(0),MONTH(0),DAY(D$16)-1)&lt;AR50,DATE(YEAR(0),MONTH(0),DAY(D$16)-1),AR50),AR50)</f>
        <v>20</v>
      </c>
      <c r="P50" s="134">
        <f t="shared" ca="1" si="5"/>
        <v>83.41052500000005</v>
      </c>
      <c r="Q50" s="134">
        <f t="shared" ca="1" si="6"/>
        <v>83.41052500000005</v>
      </c>
      <c r="R50" s="134">
        <f t="shared" ref="R50:R60" ca="1" si="42">IF(N50=0,0,R49-D49)</f>
        <v>3354.2500000000018</v>
      </c>
      <c r="S50" s="134">
        <f t="shared" ca="1" si="22"/>
        <v>145.83000000000001</v>
      </c>
      <c r="T50" s="134">
        <f t="shared" ca="1" si="23"/>
        <v>145.83000000000001</v>
      </c>
      <c r="U50" s="134">
        <f t="shared" ca="1" si="33"/>
        <v>83.41052500000005</v>
      </c>
      <c r="V50" s="134">
        <f t="shared" ca="1" si="34"/>
        <v>83.41052500000005</v>
      </c>
      <c r="W50" s="134">
        <f t="shared" ca="1" si="35"/>
        <v>169.16666666666666</v>
      </c>
      <c r="X50" s="134">
        <f t="shared" ca="1" si="25"/>
        <v>170</v>
      </c>
      <c r="Y50" s="134">
        <f t="shared" ca="1" si="7"/>
        <v>3833.2699999999986</v>
      </c>
      <c r="Z50" s="134">
        <f t="shared" ca="1" si="36"/>
        <v>95.322597222222186</v>
      </c>
      <c r="AA50" s="134">
        <f t="shared" ca="1" si="8"/>
        <v>95.322597222222186</v>
      </c>
      <c r="AB50" s="134">
        <f t="shared" ca="1" si="37"/>
        <v>103544.10000000005</v>
      </c>
      <c r="AC50" s="134">
        <f t="shared" ca="1" si="1"/>
        <v>0</v>
      </c>
      <c r="AD50" s="134">
        <f t="shared" ca="1" si="38"/>
        <v>0</v>
      </c>
      <c r="AE50" s="134">
        <f t="shared" ca="1" si="32"/>
        <v>0</v>
      </c>
      <c r="AF50" s="134">
        <f t="shared" ca="1" si="9"/>
        <v>0</v>
      </c>
      <c r="AG50" s="134">
        <f t="shared" ca="1" si="26"/>
        <v>0</v>
      </c>
      <c r="AH50" s="134">
        <f t="shared" ca="1" si="10"/>
        <v>0</v>
      </c>
      <c r="AI50" s="134">
        <f t="shared" ref="AI50:AI60" ca="1" si="43">R50</f>
        <v>3354.2500000000018</v>
      </c>
      <c r="AJ50" s="134">
        <f t="shared" ref="AJ50:AJ72" ca="1" si="44">IF(N51=1,AI49*G$12*20/36000+AI50*G$12*10/36000,IF(N51=0,IF(N50=0,0,AI50*G$12*Q$12/36000+AI49*G$12*20/36000+AI50*G$12*10/36000)))</f>
        <v>0</v>
      </c>
      <c r="AK50" s="134">
        <f t="shared" ref="AK50:AK60" ca="1" si="45">IF(N51=1,AI49*G$12*20/36000+AI50*G$12*10/36000,IF(N51=0,IF(N50=0,0,AI50*G$12*Q$12/36000+AI49*G$12*20/36000+AI50*G$12*10/36000)))</f>
        <v>0</v>
      </c>
      <c r="AL50" s="132">
        <f t="shared" ca="1" si="12"/>
        <v>3</v>
      </c>
      <c r="AM50" s="132">
        <f t="shared" ca="1" si="13"/>
        <v>3</v>
      </c>
      <c r="AN50" s="2">
        <f t="shared" ca="1" si="14"/>
        <v>2026</v>
      </c>
      <c r="AO50" s="2">
        <f t="shared" ca="1" si="2"/>
        <v>2026</v>
      </c>
      <c r="AP50" s="2">
        <f t="shared" ca="1" si="15"/>
        <v>0</v>
      </c>
      <c r="AQ50" s="2">
        <f t="shared" ca="1" si="16"/>
        <v>30</v>
      </c>
      <c r="AR50" s="2">
        <f t="shared" si="17"/>
        <v>20</v>
      </c>
      <c r="AS50" s="2">
        <f t="shared" ca="1" si="27"/>
        <v>28</v>
      </c>
      <c r="AT50" s="21"/>
      <c r="AU50" s="21"/>
      <c r="AV50" s="21"/>
      <c r="AW50" s="21"/>
      <c r="AX50" s="21"/>
      <c r="AY50" s="2">
        <f t="shared" ca="1" si="18"/>
        <v>1</v>
      </c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52"/>
      <c r="BL50" s="52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40"/>
        <v>46132</v>
      </c>
      <c r="C51" s="401"/>
      <c r="D51" s="269">
        <f ca="1">IF(N51=0,IF(N50=1,SUM(D$25:E50)," "),IF(N51=0," ",IF(N52=1,D$25,IF(N52=0,D$10-D$25*(M$14-1)," "))))</f>
        <v>145.83000000000001</v>
      </c>
      <c r="E51" s="269"/>
      <c r="F51" s="87">
        <f ca="1">IF(N51=0,IF(N50=1,SUM(F$25:F50)," "),IF(M$1=1,P51,IF(M$1=2,Q51," ")))</f>
        <v>79.886300000000048</v>
      </c>
      <c r="G51" s="87">
        <f ca="1">IF(N51=0,IF(N50=1,SUM(G$25:G50)," "),IF(M$1=1,AC51,IF(M$1=2,AD51," ")))</f>
        <v>0</v>
      </c>
      <c r="H51" s="87">
        <f t="shared" ca="1" si="4"/>
        <v>225.71630000000005</v>
      </c>
      <c r="I51" s="87">
        <f t="shared" ca="1" si="28"/>
        <v>166.67</v>
      </c>
      <c r="J51" s="87">
        <f t="shared" ca="1" si="29"/>
        <v>91.294738888888858</v>
      </c>
      <c r="K51" s="87">
        <f t="shared" ca="1" si="30"/>
        <v>0</v>
      </c>
      <c r="L51" s="87">
        <f t="shared" ca="1" si="31"/>
        <v>257.96473888888886</v>
      </c>
      <c r="M51" s="2">
        <v>27</v>
      </c>
      <c r="N51" s="2">
        <f t="shared" ca="1" si="39"/>
        <v>1</v>
      </c>
      <c r="O51" s="2">
        <f t="shared" ca="1" si="41"/>
        <v>20</v>
      </c>
      <c r="P51" s="134">
        <f t="shared" ca="1" si="5"/>
        <v>79.886300000000048</v>
      </c>
      <c r="Q51" s="134">
        <f t="shared" ca="1" si="6"/>
        <v>79.886300000000048</v>
      </c>
      <c r="R51" s="134">
        <f t="shared" ca="1" si="42"/>
        <v>3208.4200000000019</v>
      </c>
      <c r="S51" s="134">
        <f t="shared" ca="1" si="22"/>
        <v>145.83000000000001</v>
      </c>
      <c r="T51" s="134">
        <f t="shared" ca="1" si="23"/>
        <v>145.83000000000001</v>
      </c>
      <c r="U51" s="134">
        <f t="shared" ca="1" si="33"/>
        <v>79.886300000000048</v>
      </c>
      <c r="V51" s="134">
        <f t="shared" ca="1" si="34"/>
        <v>79.886300000000048</v>
      </c>
      <c r="W51" s="134">
        <f t="shared" ca="1" si="35"/>
        <v>169.16666666666666</v>
      </c>
      <c r="X51" s="134">
        <f t="shared" ca="1" si="25"/>
        <v>170</v>
      </c>
      <c r="Y51" s="134">
        <f t="shared" ca="1" si="7"/>
        <v>3666.5999999999985</v>
      </c>
      <c r="Z51" s="134">
        <f t="shared" ca="1" si="36"/>
        <v>91.294738888888858</v>
      </c>
      <c r="AA51" s="134">
        <f t="shared" ca="1" si="8"/>
        <v>91.294738888888858</v>
      </c>
      <c r="AB51" s="134">
        <f t="shared" ca="1" si="37"/>
        <v>99169.200000000041</v>
      </c>
      <c r="AC51" s="134">
        <f t="shared" ca="1" si="1"/>
        <v>0</v>
      </c>
      <c r="AD51" s="134">
        <f t="shared" ca="1" si="38"/>
        <v>0</v>
      </c>
      <c r="AE51" s="134">
        <f t="shared" ca="1" si="32"/>
        <v>0</v>
      </c>
      <c r="AF51" s="134">
        <f t="shared" ca="1" si="9"/>
        <v>0</v>
      </c>
      <c r="AG51" s="134">
        <f t="shared" ca="1" si="26"/>
        <v>0</v>
      </c>
      <c r="AH51" s="134">
        <f t="shared" ca="1" si="10"/>
        <v>0</v>
      </c>
      <c r="AI51" s="134">
        <f t="shared" ca="1" si="43"/>
        <v>3208.4200000000019</v>
      </c>
      <c r="AJ51" s="134">
        <f t="shared" ca="1" si="44"/>
        <v>0</v>
      </c>
      <c r="AK51" s="134">
        <f t="shared" ca="1" si="45"/>
        <v>0</v>
      </c>
      <c r="AL51" s="132">
        <f t="shared" ca="1" si="12"/>
        <v>4</v>
      </c>
      <c r="AM51" s="132">
        <f t="shared" ca="1" si="13"/>
        <v>4</v>
      </c>
      <c r="AN51" s="2">
        <f t="shared" ca="1" si="14"/>
        <v>2026</v>
      </c>
      <c r="AO51" s="2">
        <f t="shared" ca="1" si="2"/>
        <v>2026</v>
      </c>
      <c r="AP51" s="2">
        <f t="shared" ca="1" si="15"/>
        <v>0</v>
      </c>
      <c r="AQ51" s="2">
        <f t="shared" ca="1" si="16"/>
        <v>30</v>
      </c>
      <c r="AR51" s="2">
        <f t="shared" si="17"/>
        <v>20</v>
      </c>
      <c r="AS51" s="2">
        <f t="shared" ca="1" si="27"/>
        <v>30</v>
      </c>
      <c r="AT51" s="21"/>
      <c r="AU51" s="21"/>
      <c r="AV51" s="21"/>
      <c r="AW51" s="21"/>
      <c r="AX51" s="21"/>
      <c r="AY51" s="2">
        <f t="shared" ca="1" si="18"/>
        <v>1</v>
      </c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52"/>
      <c r="BL51" s="52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40"/>
        <v>46162</v>
      </c>
      <c r="C52" s="401"/>
      <c r="D52" s="269">
        <f ca="1">IF(N52=0,IF(N51=1,SUM(D$25:E51)," "),IF(N52=0," ",IF(N53=1,D$25,IF(N53=0,D$10-D$25*(M$14-1)," "))))</f>
        <v>145.83000000000001</v>
      </c>
      <c r="E52" s="269"/>
      <c r="F52" s="87">
        <f ca="1">IF(N52=0,IF(N51=1,SUM(F$25:F51)," "),IF(M$1=1,P52,IF(M$1=2,Q52," ")))</f>
        <v>76.362075000000033</v>
      </c>
      <c r="G52" s="87">
        <f ca="1">IF(N52=0,IF(N51=1,SUM(G$25:G51)," "),IF(M$1=1,AC52,IF(M$1=2,AD52," ")))</f>
        <v>0</v>
      </c>
      <c r="H52" s="87">
        <f t="shared" ca="1" si="4"/>
        <v>222.19207500000005</v>
      </c>
      <c r="I52" s="87">
        <f t="shared" ca="1" si="28"/>
        <v>166.67</v>
      </c>
      <c r="J52" s="87">
        <f t="shared" ca="1" si="29"/>
        <v>87.266880555555517</v>
      </c>
      <c r="K52" s="87">
        <f t="shared" ca="1" si="30"/>
        <v>0</v>
      </c>
      <c r="L52" s="87">
        <f t="shared" ca="1" si="31"/>
        <v>253.93688055555549</v>
      </c>
      <c r="M52" s="2">
        <v>28</v>
      </c>
      <c r="N52" s="2">
        <f t="shared" ca="1" si="39"/>
        <v>1</v>
      </c>
      <c r="O52" s="2">
        <f t="shared" ca="1" si="41"/>
        <v>20</v>
      </c>
      <c r="P52" s="134">
        <f t="shared" ca="1" si="5"/>
        <v>76.362075000000033</v>
      </c>
      <c r="Q52" s="134">
        <f t="shared" ca="1" si="6"/>
        <v>76.362075000000033</v>
      </c>
      <c r="R52" s="134">
        <f t="shared" ca="1" si="42"/>
        <v>3062.590000000002</v>
      </c>
      <c r="S52" s="134">
        <f t="shared" ca="1" si="22"/>
        <v>145.83000000000001</v>
      </c>
      <c r="T52" s="134">
        <f t="shared" ca="1" si="23"/>
        <v>145.83000000000001</v>
      </c>
      <c r="U52" s="134">
        <f t="shared" ca="1" si="33"/>
        <v>76.362075000000033</v>
      </c>
      <c r="V52" s="134">
        <f t="shared" ca="1" si="34"/>
        <v>76.362075000000033</v>
      </c>
      <c r="W52" s="134">
        <f t="shared" ca="1" si="35"/>
        <v>169.16666666666666</v>
      </c>
      <c r="X52" s="134">
        <f t="shared" ca="1" si="25"/>
        <v>170</v>
      </c>
      <c r="Y52" s="134">
        <f t="shared" ca="1" si="7"/>
        <v>3499.9299999999985</v>
      </c>
      <c r="Z52" s="134">
        <f t="shared" ca="1" si="36"/>
        <v>87.266880555555517</v>
      </c>
      <c r="AA52" s="134">
        <f t="shared" ca="1" si="8"/>
        <v>87.266880555555517</v>
      </c>
      <c r="AB52" s="134">
        <f t="shared" ca="1" si="37"/>
        <v>94794.300000000061</v>
      </c>
      <c r="AC52" s="134">
        <f t="shared" ca="1" si="1"/>
        <v>0</v>
      </c>
      <c r="AD52" s="134">
        <f t="shared" ca="1" si="38"/>
        <v>0</v>
      </c>
      <c r="AE52" s="134">
        <f t="shared" ca="1" si="32"/>
        <v>0</v>
      </c>
      <c r="AF52" s="134">
        <f t="shared" ca="1" si="9"/>
        <v>0</v>
      </c>
      <c r="AG52" s="134">
        <f t="shared" ca="1" si="26"/>
        <v>0</v>
      </c>
      <c r="AH52" s="134">
        <f t="shared" ca="1" si="10"/>
        <v>0</v>
      </c>
      <c r="AI52" s="134">
        <f t="shared" ca="1" si="43"/>
        <v>3062.590000000002</v>
      </c>
      <c r="AJ52" s="134">
        <f t="shared" ca="1" si="44"/>
        <v>0</v>
      </c>
      <c r="AK52" s="134">
        <f t="shared" ca="1" si="45"/>
        <v>0</v>
      </c>
      <c r="AL52" s="132">
        <f t="shared" ca="1" si="12"/>
        <v>5</v>
      </c>
      <c r="AM52" s="132">
        <f t="shared" ca="1" si="13"/>
        <v>5</v>
      </c>
      <c r="AN52" s="2">
        <f t="shared" ca="1" si="14"/>
        <v>2026</v>
      </c>
      <c r="AO52" s="2">
        <f t="shared" ca="1" si="2"/>
        <v>2026</v>
      </c>
      <c r="AP52" s="2">
        <f t="shared" ca="1" si="15"/>
        <v>0</v>
      </c>
      <c r="AQ52" s="2">
        <f t="shared" ca="1" si="16"/>
        <v>30</v>
      </c>
      <c r="AR52" s="2">
        <f t="shared" si="17"/>
        <v>20</v>
      </c>
      <c r="AS52" s="2">
        <f t="shared" ca="1" si="27"/>
        <v>30</v>
      </c>
      <c r="AT52" s="21"/>
      <c r="AU52" s="21"/>
      <c r="AV52" s="21"/>
      <c r="AW52" s="21"/>
      <c r="AX52" s="21"/>
      <c r="AY52" s="2">
        <f t="shared" ca="1" si="18"/>
        <v>1</v>
      </c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52"/>
      <c r="BL52" s="52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40"/>
        <v>46193</v>
      </c>
      <c r="C53" s="401"/>
      <c r="D53" s="269">
        <f ca="1">IF(N53=0,IF(N52=1,SUM(D$25:E52)," "),IF(N53=0," ",IF(N54=1,D$25,IF(N54=0,D$10-D$25*(M$14-1)," "))))</f>
        <v>145.83000000000001</v>
      </c>
      <c r="E53" s="269"/>
      <c r="F53" s="87">
        <f ca="1">IF(N53=0,IF(N52=1,SUM(F$25:F52)," "),IF(M$1=1,P53,IF(M$1=2,Q53," ")))</f>
        <v>72.837850000000046</v>
      </c>
      <c r="G53" s="87">
        <f ca="1">IF(N53=0,IF(N52=1,SUM(G$25:G52)," "),IF(M$1=1,AC53,IF(M$1=2,AD53," ")))</f>
        <v>0</v>
      </c>
      <c r="H53" s="87">
        <f t="shared" ca="1" si="4"/>
        <v>218.66785000000004</v>
      </c>
      <c r="I53" s="87">
        <f t="shared" ca="1" si="28"/>
        <v>166.67</v>
      </c>
      <c r="J53" s="87">
        <f t="shared" ca="1" si="29"/>
        <v>83.239022222222189</v>
      </c>
      <c r="K53" s="87">
        <f t="shared" ca="1" si="30"/>
        <v>0</v>
      </c>
      <c r="L53" s="87">
        <f t="shared" ca="1" si="31"/>
        <v>249.90902222222218</v>
      </c>
      <c r="M53" s="2">
        <v>29</v>
      </c>
      <c r="N53" s="2">
        <f t="shared" ca="1" si="39"/>
        <v>1</v>
      </c>
      <c r="O53" s="2">
        <f t="shared" ca="1" si="41"/>
        <v>20</v>
      </c>
      <c r="P53" s="134">
        <f t="shared" ca="1" si="5"/>
        <v>72.837850000000046</v>
      </c>
      <c r="Q53" s="134">
        <f t="shared" ca="1" si="6"/>
        <v>72.837850000000046</v>
      </c>
      <c r="R53" s="134">
        <f t="shared" ca="1" si="42"/>
        <v>2916.760000000002</v>
      </c>
      <c r="S53" s="134">
        <f t="shared" ca="1" si="22"/>
        <v>145.83000000000001</v>
      </c>
      <c r="T53" s="134">
        <f t="shared" ca="1" si="23"/>
        <v>145.83000000000001</v>
      </c>
      <c r="U53" s="134">
        <f t="shared" ca="1" si="33"/>
        <v>72.837850000000046</v>
      </c>
      <c r="V53" s="134">
        <f t="shared" ca="1" si="34"/>
        <v>72.837850000000046</v>
      </c>
      <c r="W53" s="134">
        <f t="shared" ca="1" si="35"/>
        <v>169.16666666666666</v>
      </c>
      <c r="X53" s="134">
        <f t="shared" ca="1" si="25"/>
        <v>170</v>
      </c>
      <c r="Y53" s="134">
        <f t="shared" ca="1" si="7"/>
        <v>3333.2599999999984</v>
      </c>
      <c r="Z53" s="134">
        <f t="shared" ca="1" si="36"/>
        <v>83.239022222222189</v>
      </c>
      <c r="AA53" s="134">
        <f t="shared" ca="1" si="8"/>
        <v>83.239022222222189</v>
      </c>
      <c r="AB53" s="134">
        <f t="shared" ca="1" si="37"/>
        <v>90419.400000000052</v>
      </c>
      <c r="AC53" s="134">
        <f t="shared" ca="1" si="1"/>
        <v>0</v>
      </c>
      <c r="AD53" s="134">
        <f t="shared" ca="1" si="38"/>
        <v>0</v>
      </c>
      <c r="AE53" s="134">
        <f t="shared" ca="1" si="32"/>
        <v>0</v>
      </c>
      <c r="AF53" s="134">
        <f t="shared" ca="1" si="9"/>
        <v>0</v>
      </c>
      <c r="AG53" s="134">
        <f t="shared" ca="1" si="26"/>
        <v>0</v>
      </c>
      <c r="AH53" s="134">
        <f t="shared" ca="1" si="10"/>
        <v>0</v>
      </c>
      <c r="AI53" s="134">
        <f t="shared" ca="1" si="43"/>
        <v>2916.760000000002</v>
      </c>
      <c r="AJ53" s="134">
        <f t="shared" ca="1" si="44"/>
        <v>0</v>
      </c>
      <c r="AK53" s="134">
        <f t="shared" ca="1" si="45"/>
        <v>0</v>
      </c>
      <c r="AL53" s="132">
        <f t="shared" ca="1" si="12"/>
        <v>6</v>
      </c>
      <c r="AM53" s="132">
        <f t="shared" ca="1" si="13"/>
        <v>6</v>
      </c>
      <c r="AN53" s="2">
        <f t="shared" ca="1" si="14"/>
        <v>2026</v>
      </c>
      <c r="AO53" s="2">
        <f t="shared" ca="1" si="2"/>
        <v>2026</v>
      </c>
      <c r="AP53" s="2">
        <f t="shared" ca="1" si="15"/>
        <v>0</v>
      </c>
      <c r="AQ53" s="2">
        <f t="shared" ca="1" si="16"/>
        <v>30</v>
      </c>
      <c r="AR53" s="2">
        <f t="shared" si="17"/>
        <v>20</v>
      </c>
      <c r="AS53" s="2">
        <f t="shared" ca="1" si="27"/>
        <v>30</v>
      </c>
      <c r="AT53" s="21"/>
      <c r="AU53" s="21"/>
      <c r="AV53" s="21"/>
      <c r="AW53" s="21"/>
      <c r="AX53" s="21"/>
      <c r="AY53" s="2">
        <f t="shared" ca="1" si="18"/>
        <v>1</v>
      </c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52"/>
      <c r="BL53" s="52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40"/>
        <v>46223</v>
      </c>
      <c r="C54" s="401"/>
      <c r="D54" s="269">
        <f ca="1">IF(N54=0,IF(N53=1,SUM(D$25:E53)," "),IF(N54=0," ",IF(N55=1,D$25,IF(N55=0,D$10-D$25*(M$14-1)," "))))</f>
        <v>145.83000000000001</v>
      </c>
      <c r="E54" s="269"/>
      <c r="F54" s="87">
        <f ca="1">IF(N54=0,IF(N53=1,SUM(F$25:F53)," "),IF(M$1=1,P54,IF(M$1=2,Q54," ")))</f>
        <v>69.313625000000059</v>
      </c>
      <c r="G54" s="87">
        <f ca="1">IF(N54=0,IF(N53=1,SUM(G$25:G53)," "),IF(M$1=1,AC54,IF(M$1=2,AD54," ")))</f>
        <v>0</v>
      </c>
      <c r="H54" s="87">
        <f t="shared" ca="1" si="4"/>
        <v>215.14362500000007</v>
      </c>
      <c r="I54" s="87">
        <f t="shared" ca="1" si="28"/>
        <v>166.67</v>
      </c>
      <c r="J54" s="87">
        <f t="shared" ca="1" si="29"/>
        <v>79.211163888888848</v>
      </c>
      <c r="K54" s="87">
        <f t="shared" ca="1" si="30"/>
        <v>0</v>
      </c>
      <c r="L54" s="87">
        <f t="shared" ca="1" si="31"/>
        <v>245.88116388888884</v>
      </c>
      <c r="M54" s="2">
        <v>30</v>
      </c>
      <c r="N54" s="2">
        <f t="shared" ca="1" si="39"/>
        <v>1</v>
      </c>
      <c r="O54" s="2">
        <f t="shared" ca="1" si="41"/>
        <v>20</v>
      </c>
      <c r="P54" s="134">
        <f t="shared" ca="1" si="5"/>
        <v>69.313625000000059</v>
      </c>
      <c r="Q54" s="134">
        <f t="shared" ca="1" si="6"/>
        <v>69.313625000000059</v>
      </c>
      <c r="R54" s="134">
        <f t="shared" ca="1" si="42"/>
        <v>2770.9300000000021</v>
      </c>
      <c r="S54" s="134">
        <f t="shared" ca="1" si="22"/>
        <v>145.83000000000001</v>
      </c>
      <c r="T54" s="134">
        <f t="shared" ca="1" si="23"/>
        <v>145.83000000000001</v>
      </c>
      <c r="U54" s="134">
        <f t="shared" ca="1" si="33"/>
        <v>69.313625000000059</v>
      </c>
      <c r="V54" s="134">
        <f t="shared" ca="1" si="34"/>
        <v>69.313625000000059</v>
      </c>
      <c r="W54" s="134">
        <f t="shared" ca="1" si="35"/>
        <v>169.16666666666666</v>
      </c>
      <c r="X54" s="134">
        <f t="shared" ca="1" si="25"/>
        <v>170</v>
      </c>
      <c r="Y54" s="134">
        <f t="shared" ca="1" si="7"/>
        <v>3166.5899999999983</v>
      </c>
      <c r="Z54" s="134">
        <f t="shared" ca="1" si="36"/>
        <v>79.211163888888848</v>
      </c>
      <c r="AA54" s="134">
        <f t="shared" ca="1" si="8"/>
        <v>79.211163888888848</v>
      </c>
      <c r="AB54" s="134">
        <f t="shared" ca="1" si="37"/>
        <v>86044.500000000058</v>
      </c>
      <c r="AC54" s="134">
        <f t="shared" ca="1" si="1"/>
        <v>0</v>
      </c>
      <c r="AD54" s="134">
        <f t="shared" ca="1" si="38"/>
        <v>0</v>
      </c>
      <c r="AE54" s="134">
        <f t="shared" ca="1" si="32"/>
        <v>0</v>
      </c>
      <c r="AF54" s="134">
        <f t="shared" ca="1" si="9"/>
        <v>0</v>
      </c>
      <c r="AG54" s="134">
        <f t="shared" ca="1" si="26"/>
        <v>0</v>
      </c>
      <c r="AH54" s="134">
        <f t="shared" ca="1" si="10"/>
        <v>0</v>
      </c>
      <c r="AI54" s="134">
        <f t="shared" ca="1" si="43"/>
        <v>2770.9300000000021</v>
      </c>
      <c r="AJ54" s="134">
        <f t="shared" ca="1" si="44"/>
        <v>0</v>
      </c>
      <c r="AK54" s="134">
        <f t="shared" ca="1" si="45"/>
        <v>0</v>
      </c>
      <c r="AL54" s="132">
        <f t="shared" ca="1" si="12"/>
        <v>7</v>
      </c>
      <c r="AM54" s="132">
        <f t="shared" ca="1" si="13"/>
        <v>7</v>
      </c>
      <c r="AN54" s="2">
        <f t="shared" ca="1" si="14"/>
        <v>2026</v>
      </c>
      <c r="AO54" s="2">
        <f t="shared" ca="1" si="2"/>
        <v>2026</v>
      </c>
      <c r="AP54" s="2">
        <f t="shared" ca="1" si="15"/>
        <v>0</v>
      </c>
      <c r="AQ54" s="2">
        <f t="shared" ca="1" si="16"/>
        <v>30</v>
      </c>
      <c r="AR54" s="2">
        <f t="shared" si="17"/>
        <v>20</v>
      </c>
      <c r="AS54" s="2">
        <f t="shared" ca="1" si="27"/>
        <v>30</v>
      </c>
      <c r="AT54" s="21"/>
      <c r="AU54" s="21"/>
      <c r="AV54" s="21"/>
      <c r="AW54" s="21"/>
      <c r="AX54" s="21"/>
      <c r="AY54" s="2">
        <f t="shared" ca="1" si="18"/>
        <v>1</v>
      </c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52"/>
      <c r="BL54" s="52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40"/>
        <v>46254</v>
      </c>
      <c r="C55" s="401"/>
      <c r="D55" s="269">
        <f ca="1">IF(N55=0,IF(N54=1,SUM(D$25:E54)," "),IF(N55=0," ",IF(N56=1,D$25,IF(N56=0,D$10-D$25*(M$14-1)," "))))</f>
        <v>145.83000000000001</v>
      </c>
      <c r="E55" s="269"/>
      <c r="F55" s="87">
        <f ca="1">IF(N55=0,IF(N54=1,SUM(F$25:F54)," "),IF(M$1=1,P55,IF(M$1=2,Q55," ")))</f>
        <v>65.789400000000057</v>
      </c>
      <c r="G55" s="87">
        <f ca="1">IF(N55=0,IF(N54=1,SUM(G$25:G54)," "),IF(M$1=1,AC55,IF(M$1=2,AD55," ")))</f>
        <v>0</v>
      </c>
      <c r="H55" s="87">
        <f t="shared" ca="1" si="4"/>
        <v>211.61940000000007</v>
      </c>
      <c r="I55" s="87">
        <f t="shared" ca="1" si="28"/>
        <v>166.67</v>
      </c>
      <c r="J55" s="87">
        <f t="shared" ca="1" si="29"/>
        <v>75.183305555555521</v>
      </c>
      <c r="K55" s="87">
        <f t="shared" ca="1" si="30"/>
        <v>0</v>
      </c>
      <c r="L55" s="87">
        <f t="shared" ca="1" si="31"/>
        <v>241.85330555555549</v>
      </c>
      <c r="M55" s="2">
        <v>31</v>
      </c>
      <c r="N55" s="2">
        <f t="shared" ca="1" si="39"/>
        <v>1</v>
      </c>
      <c r="O55" s="2">
        <f t="shared" ca="1" si="41"/>
        <v>20</v>
      </c>
      <c r="P55" s="134">
        <f t="shared" ca="1" si="5"/>
        <v>65.789400000000057</v>
      </c>
      <c r="Q55" s="134">
        <f t="shared" ca="1" si="6"/>
        <v>65.789400000000057</v>
      </c>
      <c r="R55" s="134">
        <f t="shared" ca="1" si="42"/>
        <v>2625.1000000000022</v>
      </c>
      <c r="S55" s="134">
        <f t="shared" ca="1" si="22"/>
        <v>145.83000000000001</v>
      </c>
      <c r="T55" s="134">
        <f t="shared" ca="1" si="23"/>
        <v>145.83000000000001</v>
      </c>
      <c r="U55" s="134">
        <f t="shared" ca="1" si="33"/>
        <v>65.789400000000057</v>
      </c>
      <c r="V55" s="134">
        <f t="shared" ca="1" si="34"/>
        <v>65.789400000000057</v>
      </c>
      <c r="W55" s="134">
        <f t="shared" ca="1" si="35"/>
        <v>169.16666666666666</v>
      </c>
      <c r="X55" s="134">
        <f t="shared" ca="1" si="25"/>
        <v>170</v>
      </c>
      <c r="Y55" s="134">
        <f t="shared" ca="1" si="7"/>
        <v>2999.9199999999983</v>
      </c>
      <c r="Z55" s="134">
        <f t="shared" ca="1" si="36"/>
        <v>75.183305555555521</v>
      </c>
      <c r="AA55" s="134">
        <f t="shared" ca="1" si="8"/>
        <v>75.183305555555521</v>
      </c>
      <c r="AB55" s="134">
        <f t="shared" ca="1" si="37"/>
        <v>81669.600000000064</v>
      </c>
      <c r="AC55" s="134">
        <f t="shared" ca="1" si="1"/>
        <v>0</v>
      </c>
      <c r="AD55" s="134">
        <f t="shared" ca="1" si="38"/>
        <v>0</v>
      </c>
      <c r="AE55" s="134">
        <f t="shared" ca="1" si="32"/>
        <v>0</v>
      </c>
      <c r="AF55" s="134">
        <f t="shared" ca="1" si="9"/>
        <v>0</v>
      </c>
      <c r="AG55" s="134">
        <f t="shared" ca="1" si="26"/>
        <v>0</v>
      </c>
      <c r="AH55" s="134">
        <f t="shared" ca="1" si="10"/>
        <v>0</v>
      </c>
      <c r="AI55" s="134">
        <f t="shared" ca="1" si="43"/>
        <v>2625.1000000000022</v>
      </c>
      <c r="AJ55" s="134">
        <f t="shared" ca="1" si="44"/>
        <v>0</v>
      </c>
      <c r="AK55" s="134">
        <f t="shared" ca="1" si="45"/>
        <v>0</v>
      </c>
      <c r="AL55" s="132">
        <f t="shared" ca="1" si="12"/>
        <v>8</v>
      </c>
      <c r="AM55" s="132">
        <f t="shared" ca="1" si="13"/>
        <v>8</v>
      </c>
      <c r="AN55" s="2">
        <f t="shared" ca="1" si="14"/>
        <v>2026</v>
      </c>
      <c r="AO55" s="2">
        <f t="shared" ca="1" si="2"/>
        <v>2026</v>
      </c>
      <c r="AP55" s="2">
        <f t="shared" ca="1" si="15"/>
        <v>0</v>
      </c>
      <c r="AQ55" s="2">
        <f t="shared" ca="1" si="16"/>
        <v>30</v>
      </c>
      <c r="AR55" s="2">
        <f t="shared" si="17"/>
        <v>20</v>
      </c>
      <c r="AS55" s="2">
        <f t="shared" ca="1" si="27"/>
        <v>30</v>
      </c>
      <c r="AT55" s="21"/>
      <c r="AU55" s="21"/>
      <c r="AV55" s="21"/>
      <c r="AW55" s="21"/>
      <c r="AX55" s="21"/>
      <c r="AY55" s="2">
        <f t="shared" ca="1" si="18"/>
        <v>1</v>
      </c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52"/>
      <c r="BL55" s="52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40"/>
        <v>46285</v>
      </c>
      <c r="C56" s="401"/>
      <c r="D56" s="269">
        <f ca="1">IF(N56=0,IF(N55=1,SUM(D$25:E55)," "),IF(N56=0," ",IF(N57=1,D$25,IF(N57=0,D$10-D$25*(M$14-1)," "))))</f>
        <v>145.83000000000001</v>
      </c>
      <c r="E56" s="269"/>
      <c r="F56" s="87">
        <f ca="1">IF(N56=0,IF(N55=1,SUM(F$25:F55)," "),IF(M$1=1,P56,IF(M$1=2,Q56," ")))</f>
        <v>62.265175000000056</v>
      </c>
      <c r="G56" s="87">
        <f ca="1">IF(N56=0,IF(N55=1,SUM(G$25:G55)," "),IF(M$1=1,AC56,IF(M$1=2,AD56," ")))</f>
        <v>0</v>
      </c>
      <c r="H56" s="87">
        <f t="shared" ca="1" si="4"/>
        <v>208.09517500000007</v>
      </c>
      <c r="I56" s="87">
        <f t="shared" ca="1" si="28"/>
        <v>166.67</v>
      </c>
      <c r="J56" s="87">
        <f t="shared" ca="1" si="29"/>
        <v>71.155447222222179</v>
      </c>
      <c r="K56" s="87">
        <f t="shared" ca="1" si="30"/>
        <v>0</v>
      </c>
      <c r="L56" s="87">
        <f t="shared" ca="1" si="31"/>
        <v>237.82544722222218</v>
      </c>
      <c r="M56" s="2">
        <v>32</v>
      </c>
      <c r="N56" s="2">
        <f t="shared" ca="1" si="39"/>
        <v>1</v>
      </c>
      <c r="O56" s="2">
        <f t="shared" ca="1" si="41"/>
        <v>20</v>
      </c>
      <c r="P56" s="134">
        <f t="shared" ca="1" si="5"/>
        <v>62.265175000000056</v>
      </c>
      <c r="Q56" s="134">
        <f t="shared" ca="1" si="6"/>
        <v>62.265175000000056</v>
      </c>
      <c r="R56" s="134">
        <f t="shared" ca="1" si="42"/>
        <v>2479.2700000000023</v>
      </c>
      <c r="S56" s="134">
        <f t="shared" ca="1" si="22"/>
        <v>145.83000000000001</v>
      </c>
      <c r="T56" s="134">
        <f t="shared" ca="1" si="23"/>
        <v>145.83000000000001</v>
      </c>
      <c r="U56" s="134">
        <f t="shared" ca="1" si="33"/>
        <v>62.265175000000056</v>
      </c>
      <c r="V56" s="134">
        <f t="shared" ca="1" si="34"/>
        <v>62.265175000000056</v>
      </c>
      <c r="W56" s="134">
        <f t="shared" ca="1" si="35"/>
        <v>169.16666666666666</v>
      </c>
      <c r="X56" s="134">
        <f t="shared" ca="1" si="25"/>
        <v>170</v>
      </c>
      <c r="Y56" s="134">
        <f t="shared" ca="1" si="7"/>
        <v>2833.2499999999982</v>
      </c>
      <c r="Z56" s="134">
        <f t="shared" ca="1" si="36"/>
        <v>71.155447222222179</v>
      </c>
      <c r="AA56" s="134">
        <f t="shared" ca="1" si="8"/>
        <v>71.155447222222179</v>
      </c>
      <c r="AB56" s="134">
        <f t="shared" ca="1" si="37"/>
        <v>77294.70000000007</v>
      </c>
      <c r="AC56" s="134">
        <f t="shared" ca="1" si="1"/>
        <v>0</v>
      </c>
      <c r="AD56" s="134">
        <f t="shared" ca="1" si="38"/>
        <v>0</v>
      </c>
      <c r="AE56" s="134">
        <f t="shared" ca="1" si="32"/>
        <v>0</v>
      </c>
      <c r="AF56" s="134">
        <f t="shared" ca="1" si="9"/>
        <v>0</v>
      </c>
      <c r="AG56" s="134">
        <f t="shared" ca="1" si="26"/>
        <v>0</v>
      </c>
      <c r="AH56" s="134">
        <f t="shared" ca="1" si="10"/>
        <v>0</v>
      </c>
      <c r="AI56" s="134">
        <f t="shared" ca="1" si="43"/>
        <v>2479.2700000000023</v>
      </c>
      <c r="AJ56" s="134">
        <f t="shared" ca="1" si="44"/>
        <v>0</v>
      </c>
      <c r="AK56" s="134">
        <f t="shared" ca="1" si="45"/>
        <v>0</v>
      </c>
      <c r="AL56" s="132">
        <f t="shared" ca="1" si="12"/>
        <v>9</v>
      </c>
      <c r="AM56" s="132">
        <f t="shared" ca="1" si="13"/>
        <v>9</v>
      </c>
      <c r="AN56" s="2">
        <f t="shared" ca="1" si="14"/>
        <v>2026</v>
      </c>
      <c r="AO56" s="2">
        <f t="shared" ca="1" si="2"/>
        <v>2026</v>
      </c>
      <c r="AP56" s="2">
        <f t="shared" ca="1" si="15"/>
        <v>0</v>
      </c>
      <c r="AQ56" s="2">
        <f t="shared" ca="1" si="16"/>
        <v>30</v>
      </c>
      <c r="AR56" s="2">
        <f t="shared" si="17"/>
        <v>20</v>
      </c>
      <c r="AS56" s="2">
        <f t="shared" ca="1" si="27"/>
        <v>30</v>
      </c>
      <c r="AT56" s="21"/>
      <c r="AU56" s="21"/>
      <c r="AV56" s="21"/>
      <c r="AW56" s="21"/>
      <c r="AX56" s="21"/>
      <c r="AY56" s="2">
        <f t="shared" ca="1" si="18"/>
        <v>1</v>
      </c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52"/>
      <c r="BL56" s="52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40"/>
        <v>46315</v>
      </c>
      <c r="C57" s="401"/>
      <c r="D57" s="269">
        <f ca="1">IF(N57=0,IF(N56=1,SUM(D$25:E56)," "),IF(N57=0," ",IF(N58=1,D$25,IF(N58=0,D$10-D$25*(M$14-1)," "))))</f>
        <v>145.83000000000001</v>
      </c>
      <c r="E57" s="269"/>
      <c r="F57" s="87">
        <f ca="1">IF(N57=0,IF(N56=1,SUM(F$25:F56)," "),IF(M$1=1,P57,IF(M$1=2,Q57," ")))</f>
        <v>58.740950000000055</v>
      </c>
      <c r="G57" s="87">
        <f ca="1">IF(N57=0,IF(N56=1,SUM(G$25:G56)," "),IF(M$1=1,AC57,IF(M$1=2,AD57," ")))</f>
        <v>0</v>
      </c>
      <c r="H57" s="87">
        <f t="shared" ca="1" si="4"/>
        <v>204.57095000000007</v>
      </c>
      <c r="I57" s="87">
        <f t="shared" ca="1" si="28"/>
        <v>166.67</v>
      </c>
      <c r="J57" s="87">
        <f t="shared" ca="1" si="29"/>
        <v>67.127588888888852</v>
      </c>
      <c r="K57" s="87">
        <f t="shared" ca="1" si="30"/>
        <v>0</v>
      </c>
      <c r="L57" s="87">
        <f t="shared" ca="1" si="31"/>
        <v>233.79758888888884</v>
      </c>
      <c r="M57" s="2">
        <v>33</v>
      </c>
      <c r="N57" s="2">
        <f t="shared" ca="1" si="39"/>
        <v>1</v>
      </c>
      <c r="O57" s="2">
        <f t="shared" ca="1" si="41"/>
        <v>20</v>
      </c>
      <c r="P57" s="134">
        <f t="shared" ca="1" si="5"/>
        <v>58.740950000000055</v>
      </c>
      <c r="Q57" s="134">
        <f t="shared" ca="1" si="6"/>
        <v>58.740950000000055</v>
      </c>
      <c r="R57" s="134">
        <f t="shared" ca="1" si="42"/>
        <v>2333.4400000000023</v>
      </c>
      <c r="S57" s="134">
        <f t="shared" ca="1" si="22"/>
        <v>145.83000000000001</v>
      </c>
      <c r="T57" s="134">
        <f t="shared" ca="1" si="23"/>
        <v>145.83000000000001</v>
      </c>
      <c r="U57" s="134">
        <f t="shared" ca="1" si="33"/>
        <v>58.740950000000055</v>
      </c>
      <c r="V57" s="134">
        <f t="shared" ca="1" si="34"/>
        <v>58.740950000000055</v>
      </c>
      <c r="W57" s="134">
        <f t="shared" ca="1" si="35"/>
        <v>169.16666666666666</v>
      </c>
      <c r="X57" s="134">
        <f t="shared" ca="1" si="25"/>
        <v>170</v>
      </c>
      <c r="Y57" s="134">
        <f t="shared" ca="1" si="7"/>
        <v>2666.5799999999981</v>
      </c>
      <c r="Z57" s="134">
        <f t="shared" ca="1" si="36"/>
        <v>67.127588888888852</v>
      </c>
      <c r="AA57" s="134">
        <f t="shared" ca="1" si="8"/>
        <v>67.127588888888852</v>
      </c>
      <c r="AB57" s="134">
        <f t="shared" ca="1" si="37"/>
        <v>72919.800000000076</v>
      </c>
      <c r="AC57" s="134">
        <f t="shared" ca="1" si="1"/>
        <v>0</v>
      </c>
      <c r="AD57" s="134">
        <f t="shared" ca="1" si="38"/>
        <v>0</v>
      </c>
      <c r="AE57" s="134">
        <f t="shared" ca="1" si="32"/>
        <v>0</v>
      </c>
      <c r="AF57" s="134">
        <f t="shared" ca="1" si="9"/>
        <v>0</v>
      </c>
      <c r="AG57" s="134">
        <f t="shared" ca="1" si="26"/>
        <v>0</v>
      </c>
      <c r="AH57" s="134">
        <f t="shared" ca="1" si="10"/>
        <v>0</v>
      </c>
      <c r="AI57" s="134">
        <f t="shared" ca="1" si="43"/>
        <v>2333.4400000000023</v>
      </c>
      <c r="AJ57" s="134">
        <f t="shared" ca="1" si="44"/>
        <v>0</v>
      </c>
      <c r="AK57" s="134">
        <f t="shared" ca="1" si="45"/>
        <v>0</v>
      </c>
      <c r="AL57" s="132">
        <f t="shared" ca="1" si="12"/>
        <v>10</v>
      </c>
      <c r="AM57" s="132">
        <f t="shared" ca="1" si="13"/>
        <v>10</v>
      </c>
      <c r="AN57" s="2">
        <f t="shared" ca="1" si="14"/>
        <v>2026</v>
      </c>
      <c r="AO57" s="2">
        <f t="shared" ca="1" si="2"/>
        <v>2026</v>
      </c>
      <c r="AP57" s="2">
        <f t="shared" ca="1" si="15"/>
        <v>0</v>
      </c>
      <c r="AQ57" s="2">
        <f t="shared" ca="1" si="16"/>
        <v>30</v>
      </c>
      <c r="AR57" s="2">
        <f t="shared" si="17"/>
        <v>20</v>
      </c>
      <c r="AS57" s="2">
        <f t="shared" ca="1" si="27"/>
        <v>30</v>
      </c>
      <c r="AT57" s="21"/>
      <c r="AU57" s="21"/>
      <c r="AV57" s="21"/>
      <c r="AW57" s="21"/>
      <c r="AX57" s="21"/>
      <c r="AY57" s="2">
        <f t="shared" ca="1" si="18"/>
        <v>1</v>
      </c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52"/>
      <c r="BL57" s="52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ca="1" si="40"/>
        <v>46346</v>
      </c>
      <c r="C58" s="401"/>
      <c r="D58" s="269">
        <f ca="1">IF(N58=0,IF(N57=1,SUM(D$25:E57)," "),IF(N58=0," ",IF(N59=1,D$25,IF(N59=0,D$10-D$25*(M$14-1)," "))))</f>
        <v>145.83000000000001</v>
      </c>
      <c r="E58" s="269"/>
      <c r="F58" s="87">
        <f ca="1">IF(N58=0,IF(N57=1,SUM(F$25:F57)," "),IF(M$1=1,P58,IF(M$1=2,Q58," ")))</f>
        <v>55.216725000000054</v>
      </c>
      <c r="G58" s="87">
        <f ca="1">IF(N58=0,IF(N57=1,SUM(G$25:G57)," "),IF(M$1=1,AC58,IF(M$1=2,AD58," ")))</f>
        <v>0</v>
      </c>
      <c r="H58" s="87">
        <f t="shared" ca="1" si="4"/>
        <v>201.04672500000007</v>
      </c>
      <c r="I58" s="87">
        <f t="shared" ca="1" si="28"/>
        <v>166.67</v>
      </c>
      <c r="J58" s="87">
        <f t="shared" ca="1" si="29"/>
        <v>63.09973055555551</v>
      </c>
      <c r="K58" s="87">
        <f t="shared" ca="1" si="30"/>
        <v>0</v>
      </c>
      <c r="L58" s="87">
        <f t="shared" ca="1" si="31"/>
        <v>229.7697305555555</v>
      </c>
      <c r="M58" s="2">
        <v>34</v>
      </c>
      <c r="N58" s="2">
        <f t="shared" ca="1" si="39"/>
        <v>1</v>
      </c>
      <c r="O58" s="2">
        <f t="shared" ca="1" si="41"/>
        <v>20</v>
      </c>
      <c r="P58" s="134">
        <f t="shared" ca="1" si="5"/>
        <v>55.216725000000054</v>
      </c>
      <c r="Q58" s="134">
        <f t="shared" ca="1" si="6"/>
        <v>55.216725000000054</v>
      </c>
      <c r="R58" s="134">
        <f t="shared" ca="1" si="42"/>
        <v>2187.6100000000024</v>
      </c>
      <c r="S58" s="134">
        <f t="shared" ca="1" si="22"/>
        <v>145.83000000000001</v>
      </c>
      <c r="T58" s="134">
        <f t="shared" ca="1" si="23"/>
        <v>145.83000000000001</v>
      </c>
      <c r="U58" s="134">
        <f t="shared" ca="1" si="33"/>
        <v>55.216725000000054</v>
      </c>
      <c r="V58" s="134">
        <f t="shared" ca="1" si="34"/>
        <v>55.216725000000054</v>
      </c>
      <c r="W58" s="134">
        <f t="shared" ca="1" si="35"/>
        <v>169.16666666666666</v>
      </c>
      <c r="X58" s="134">
        <f t="shared" ca="1" si="25"/>
        <v>170</v>
      </c>
      <c r="Y58" s="134">
        <f t="shared" ca="1" si="7"/>
        <v>2499.909999999998</v>
      </c>
      <c r="Z58" s="134">
        <f t="shared" ca="1" si="36"/>
        <v>63.09973055555551</v>
      </c>
      <c r="AA58" s="134">
        <f t="shared" ca="1" si="8"/>
        <v>63.09973055555551</v>
      </c>
      <c r="AB58" s="134">
        <f t="shared" ca="1" si="37"/>
        <v>68544.900000000067</v>
      </c>
      <c r="AC58" s="134">
        <f t="shared" ca="1" si="1"/>
        <v>0</v>
      </c>
      <c r="AD58" s="134">
        <f t="shared" ca="1" si="38"/>
        <v>0</v>
      </c>
      <c r="AE58" s="134">
        <f t="shared" ca="1" si="32"/>
        <v>0</v>
      </c>
      <c r="AF58" s="134">
        <f t="shared" ca="1" si="9"/>
        <v>0</v>
      </c>
      <c r="AG58" s="134">
        <f t="shared" ca="1" si="26"/>
        <v>0</v>
      </c>
      <c r="AH58" s="134">
        <f t="shared" ca="1" si="10"/>
        <v>0</v>
      </c>
      <c r="AI58" s="134">
        <f t="shared" ca="1" si="43"/>
        <v>2187.6100000000024</v>
      </c>
      <c r="AJ58" s="134">
        <f t="shared" ca="1" si="44"/>
        <v>0</v>
      </c>
      <c r="AK58" s="134">
        <f t="shared" ca="1" si="45"/>
        <v>0</v>
      </c>
      <c r="AL58" s="132">
        <f t="shared" ca="1" si="12"/>
        <v>11</v>
      </c>
      <c r="AM58" s="132">
        <f t="shared" ca="1" si="13"/>
        <v>11</v>
      </c>
      <c r="AN58" s="2">
        <f t="shared" ca="1" si="14"/>
        <v>2026</v>
      </c>
      <c r="AO58" s="2">
        <f t="shared" ca="1" si="2"/>
        <v>2026</v>
      </c>
      <c r="AP58" s="2">
        <f t="shared" ca="1" si="15"/>
        <v>0</v>
      </c>
      <c r="AQ58" s="2">
        <f t="shared" ca="1" si="16"/>
        <v>30</v>
      </c>
      <c r="AR58" s="2">
        <f t="shared" si="17"/>
        <v>20</v>
      </c>
      <c r="AS58" s="2">
        <f t="shared" ca="1" si="27"/>
        <v>30</v>
      </c>
      <c r="AT58" s="21"/>
      <c r="AU58" s="21"/>
      <c r="AV58" s="21"/>
      <c r="AW58" s="21"/>
      <c r="AX58" s="21"/>
      <c r="AY58" s="2">
        <f t="shared" ca="1" si="18"/>
        <v>1</v>
      </c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52"/>
      <c r="BL58" s="52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40"/>
        <v>46376</v>
      </c>
      <c r="C59" s="401"/>
      <c r="D59" s="269">
        <f ca="1">IF(N59=0,IF(N58=1,SUM(D$25:E58)," "),IF(N59=0," ",IF(N60=1,D$25,IF(N60=0,D$10-D$25*(M$14-1)," "))))</f>
        <v>145.83000000000001</v>
      </c>
      <c r="E59" s="269"/>
      <c r="F59" s="87">
        <f ca="1">IF(N59=0,IF(N58=1,SUM(F$25:F58)," "),IF(M$1=1,P59,IF(M$1=2,Q59," ")))</f>
        <v>51.692500000000052</v>
      </c>
      <c r="G59" s="87">
        <f ca="1">IF(N59=0,IF(N58=1,SUM(G$25:G58)," "),IF(M$1=1,AC59,IF(M$1=2,AD59," ")))</f>
        <v>0</v>
      </c>
      <c r="H59" s="87">
        <f t="shared" ca="1" si="4"/>
        <v>197.52250000000006</v>
      </c>
      <c r="I59" s="87">
        <f t="shared" ca="1" si="28"/>
        <v>166.67</v>
      </c>
      <c r="J59" s="87">
        <f t="shared" ca="1" si="29"/>
        <v>59.071872222222169</v>
      </c>
      <c r="K59" s="87">
        <f t="shared" ca="1" si="30"/>
        <v>0</v>
      </c>
      <c r="L59" s="87">
        <f t="shared" ca="1" si="31"/>
        <v>225.74187222222216</v>
      </c>
      <c r="M59" s="2">
        <v>35</v>
      </c>
      <c r="N59" s="2">
        <f t="shared" ca="1" si="39"/>
        <v>1</v>
      </c>
      <c r="O59" s="2">
        <f t="shared" ca="1" si="41"/>
        <v>20</v>
      </c>
      <c r="P59" s="134">
        <f t="shared" ca="1" si="5"/>
        <v>51.692500000000052</v>
      </c>
      <c r="Q59" s="134">
        <f t="shared" ca="1" si="6"/>
        <v>51.692500000000052</v>
      </c>
      <c r="R59" s="134">
        <f t="shared" ca="1" si="42"/>
        <v>2041.7800000000025</v>
      </c>
      <c r="S59" s="134">
        <f t="shared" ca="1" si="22"/>
        <v>145.83000000000001</v>
      </c>
      <c r="T59" s="134">
        <f t="shared" ca="1" si="23"/>
        <v>145.83000000000001</v>
      </c>
      <c r="U59" s="134">
        <f t="shared" ca="1" si="33"/>
        <v>51.692500000000052</v>
      </c>
      <c r="V59" s="134">
        <f t="shared" ca="1" si="34"/>
        <v>51.692500000000052</v>
      </c>
      <c r="W59" s="134">
        <f t="shared" ca="1" si="35"/>
        <v>169.16666666666666</v>
      </c>
      <c r="X59" s="134">
        <f t="shared" ca="1" si="25"/>
        <v>170</v>
      </c>
      <c r="Y59" s="134">
        <f t="shared" ca="1" si="7"/>
        <v>2333.239999999998</v>
      </c>
      <c r="Z59" s="134">
        <f t="shared" ca="1" si="36"/>
        <v>59.071872222222169</v>
      </c>
      <c r="AA59" s="134">
        <f t="shared" ca="1" si="8"/>
        <v>59.071872222222169</v>
      </c>
      <c r="AB59" s="134">
        <f t="shared" ca="1" si="37"/>
        <v>64170.000000000073</v>
      </c>
      <c r="AC59" s="134">
        <f t="shared" ca="1" si="1"/>
        <v>0</v>
      </c>
      <c r="AD59" s="134">
        <f t="shared" ca="1" si="38"/>
        <v>0</v>
      </c>
      <c r="AE59" s="134">
        <f t="shared" ca="1" si="32"/>
        <v>0</v>
      </c>
      <c r="AF59" s="134">
        <f t="shared" ca="1" si="9"/>
        <v>0</v>
      </c>
      <c r="AG59" s="134">
        <f t="shared" ca="1" si="26"/>
        <v>0</v>
      </c>
      <c r="AH59" s="134">
        <f t="shared" ca="1" si="10"/>
        <v>0</v>
      </c>
      <c r="AI59" s="134">
        <f t="shared" ca="1" si="43"/>
        <v>2041.7800000000025</v>
      </c>
      <c r="AJ59" s="134">
        <f t="shared" ca="1" si="44"/>
        <v>0</v>
      </c>
      <c r="AK59" s="134">
        <f t="shared" ca="1" si="45"/>
        <v>0</v>
      </c>
      <c r="AL59" s="132">
        <f t="shared" ca="1" si="12"/>
        <v>12</v>
      </c>
      <c r="AM59" s="132">
        <f t="shared" ca="1" si="13"/>
        <v>12</v>
      </c>
      <c r="AN59" s="2">
        <f t="shared" ca="1" si="14"/>
        <v>2026</v>
      </c>
      <c r="AO59" s="2">
        <f t="shared" ca="1" si="2"/>
        <v>2026</v>
      </c>
      <c r="AP59" s="2">
        <f t="shared" ca="1" si="15"/>
        <v>0</v>
      </c>
      <c r="AQ59" s="2">
        <f t="shared" ca="1" si="16"/>
        <v>30</v>
      </c>
      <c r="AR59" s="2">
        <f t="shared" si="17"/>
        <v>20</v>
      </c>
      <c r="AS59" s="2">
        <f t="shared" ca="1" si="27"/>
        <v>30</v>
      </c>
      <c r="AT59" s="21"/>
      <c r="AU59" s="21"/>
      <c r="AV59" s="21"/>
      <c r="AW59" s="21"/>
      <c r="AX59" s="21"/>
      <c r="AY59" s="2">
        <f t="shared" ca="1" si="18"/>
        <v>1</v>
      </c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52"/>
      <c r="BL59" s="52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40"/>
        <v>46407</v>
      </c>
      <c r="C60" s="401"/>
      <c r="D60" s="269">
        <f ca="1">IF(N60=0,IF(N59=1,SUM(D$25:E59)," "),IF(N60=0," ",IF(N61=1,D$25,IF(N61=0,D$10-D$25*(M$14-1)," "))))</f>
        <v>145.83000000000001</v>
      </c>
      <c r="E60" s="269"/>
      <c r="F60" s="87">
        <f ca="1">IF(N60=0,IF(N59=1,SUM(F$25:F59)," "),IF(M$1=1,P60,IF(M$1=2,Q60," ")))</f>
        <v>48.168275000000058</v>
      </c>
      <c r="G60" s="87">
        <f ca="1">IF(N60=0,IF(N59=1,SUM(G$25:G59)," "),IF(M$1=1,AC60,IF(M$1=2,AD60," ")))</f>
        <v>0</v>
      </c>
      <c r="H60" s="87">
        <f t="shared" ca="1" si="4"/>
        <v>193.99827500000006</v>
      </c>
      <c r="I60" s="87">
        <f t="shared" ca="1" si="28"/>
        <v>166.67</v>
      </c>
      <c r="J60" s="87">
        <f t="shared" ca="1" si="29"/>
        <v>55.044013888888841</v>
      </c>
      <c r="K60" s="87">
        <f t="shared" ca="1" si="30"/>
        <v>0</v>
      </c>
      <c r="L60" s="87">
        <f t="shared" ca="1" si="31"/>
        <v>221.71401388888881</v>
      </c>
      <c r="M60" s="2">
        <v>36</v>
      </c>
      <c r="N60" s="2">
        <f t="shared" ca="1" si="39"/>
        <v>1</v>
      </c>
      <c r="O60" s="2">
        <f t="shared" ca="1" si="41"/>
        <v>20</v>
      </c>
      <c r="P60" s="134">
        <f t="shared" ca="1" si="5"/>
        <v>48.168275000000058</v>
      </c>
      <c r="Q60" s="134">
        <f t="shared" ca="1" si="6"/>
        <v>48.168275000000058</v>
      </c>
      <c r="R60" s="134">
        <f t="shared" ca="1" si="42"/>
        <v>1895.9500000000025</v>
      </c>
      <c r="S60" s="134">
        <f t="shared" ca="1" si="22"/>
        <v>145.83000000000001</v>
      </c>
      <c r="T60" s="134">
        <f t="shared" ca="1" si="23"/>
        <v>145.83000000000001</v>
      </c>
      <c r="U60" s="134">
        <f ca="1">IF(N61=1,R59*D11*20/36000+R60*D11*10/36000,IF(N61=0,IF(N60=0,0,R60*D11*Q12/36000+R59*D11*20/36000+R60*D11*10/36000)))</f>
        <v>48.168275000000058</v>
      </c>
      <c r="V60" s="134">
        <f ca="1">IF(N61=1,R59*D11*20/36000+R60*D11*10/36000,IF(N61=0,IF(N60=0,0,R60*D11*Q12/36000+R59*D11*20/36000+R60*D11*10/36000)))</f>
        <v>48.168275000000058</v>
      </c>
      <c r="W60" s="134">
        <f t="shared" ca="1" si="35"/>
        <v>169.16666666666666</v>
      </c>
      <c r="X60" s="134">
        <f t="shared" ca="1" si="25"/>
        <v>170</v>
      </c>
      <c r="Y60" s="134">
        <f t="shared" ca="1" si="7"/>
        <v>2166.5699999999979</v>
      </c>
      <c r="Z60" s="134">
        <f t="shared" ca="1" si="36"/>
        <v>55.044013888888841</v>
      </c>
      <c r="AA60" s="134">
        <f ca="1">Z60</f>
        <v>55.044013888888841</v>
      </c>
      <c r="AB60" s="134">
        <f t="shared" ca="1" si="37"/>
        <v>59795.100000000079</v>
      </c>
      <c r="AC60" s="134">
        <f t="shared" ca="1" si="1"/>
        <v>0</v>
      </c>
      <c r="AD60" s="134">
        <f t="shared" ca="1" si="38"/>
        <v>0</v>
      </c>
      <c r="AE60" s="134">
        <f t="shared" ca="1" si="32"/>
        <v>0</v>
      </c>
      <c r="AF60" s="134">
        <f t="shared" ca="1" si="9"/>
        <v>0</v>
      </c>
      <c r="AG60" s="134">
        <f t="shared" ca="1" si="26"/>
        <v>0</v>
      </c>
      <c r="AH60" s="134">
        <f t="shared" ca="1" si="10"/>
        <v>0</v>
      </c>
      <c r="AI60" s="134">
        <f t="shared" ca="1" si="43"/>
        <v>1895.9500000000025</v>
      </c>
      <c r="AJ60" s="134">
        <f t="shared" ca="1" si="44"/>
        <v>0</v>
      </c>
      <c r="AK60" s="134">
        <f t="shared" ca="1" si="45"/>
        <v>0</v>
      </c>
      <c r="AL60" s="132">
        <f t="shared" ca="1" si="12"/>
        <v>13</v>
      </c>
      <c r="AM60" s="132">
        <f t="shared" ca="1" si="13"/>
        <v>1</v>
      </c>
      <c r="AN60" s="2">
        <f t="shared" ca="1" si="14"/>
        <v>2026</v>
      </c>
      <c r="AO60" s="2">
        <f t="shared" ca="1" si="2"/>
        <v>2027</v>
      </c>
      <c r="AP60" s="2">
        <f t="shared" ca="1" si="15"/>
        <v>0</v>
      </c>
      <c r="AQ60" s="2">
        <f t="shared" ca="1" si="16"/>
        <v>30</v>
      </c>
      <c r="AR60" s="2">
        <f t="shared" si="17"/>
        <v>20</v>
      </c>
      <c r="AS60" s="2">
        <f t="shared" ca="1" si="27"/>
        <v>30</v>
      </c>
      <c r="AT60" s="21"/>
      <c r="AU60" s="21"/>
      <c r="AV60" s="21"/>
      <c r="AW60" s="21"/>
      <c r="AX60" s="21"/>
      <c r="AY60" s="2">
        <f t="shared" ca="1" si="18"/>
        <v>1</v>
      </c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52"/>
      <c r="BL60" s="52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ca="1">IF(N61=0,IF(N60=1,"ИТОГО"," "),IF(M61=M14,DATE(YEAR(B60),MONTH(B60),O61),DATE(YEAR(B60),MONTH(B60)+1,O61)))</f>
        <v>46438</v>
      </c>
      <c r="C61" s="401"/>
      <c r="D61" s="269">
        <f ca="1">IF(N61=0,IF(N60=1,SUM(D$25:E60)," "),IF(N61=0," ",IF(N62=1,D$25,IF(N62=0,D$10-D$25*(M$14-1)," "))))</f>
        <v>145.83000000000001</v>
      </c>
      <c r="E61" s="269"/>
      <c r="F61" s="87">
        <f ca="1">IF(N61=0,IF(N60=1,SUM(F$25:F60)," "),IF(M$1=1,P61,IF(M$1=2,Q61," ")))</f>
        <v>44.644050000000064</v>
      </c>
      <c r="G61" s="87">
        <f ca="1">IF(N61=0,IF(N60=1,SUM(G$25:G60)," "),IF(M$1=1,AC61,IF(M$1=2,AD61," ")))</f>
        <v>0</v>
      </c>
      <c r="H61" s="87">
        <f t="shared" ca="1" si="4"/>
        <v>190.47405000000009</v>
      </c>
      <c r="I61" s="87">
        <f t="shared" ca="1" si="28"/>
        <v>166.67</v>
      </c>
      <c r="J61" s="87">
        <f t="shared" ca="1" si="29"/>
        <v>51.0161555555555</v>
      </c>
      <c r="K61" s="87">
        <f t="shared" ca="1" si="30"/>
        <v>0</v>
      </c>
      <c r="L61" s="87">
        <f t="shared" ca="1" si="31"/>
        <v>217.6861555555555</v>
      </c>
      <c r="M61" s="2">
        <v>37</v>
      </c>
      <c r="N61" s="2">
        <f t="shared" ca="1" si="39"/>
        <v>1</v>
      </c>
      <c r="O61" s="2">
        <f ca="1">IF(M61=A$14,IF(MONTH(B60)=-2,AS61,DATE(YEAR(0),MONTH(0),DAY(D$16)-1)),AR61)</f>
        <v>20</v>
      </c>
      <c r="P61" s="134">
        <f t="shared" ca="1" si="5"/>
        <v>44.644050000000064</v>
      </c>
      <c r="Q61" s="134">
        <f t="shared" ca="1" si="6"/>
        <v>44.644050000000064</v>
      </c>
      <c r="R61" s="134">
        <f ca="1">IF(N61=0,0,R60-D60)</f>
        <v>1750.1200000000026</v>
      </c>
      <c r="S61" s="134">
        <f t="shared" ca="1" si="22"/>
        <v>145.83000000000001</v>
      </c>
      <c r="T61" s="134">
        <f t="shared" ca="1" si="23"/>
        <v>145.83000000000001</v>
      </c>
      <c r="U61" s="134">
        <f t="shared" ca="1" si="33"/>
        <v>44.644050000000064</v>
      </c>
      <c r="V61" s="134">
        <f t="shared" ca="1" si="34"/>
        <v>44.644050000000064</v>
      </c>
      <c r="W61" s="134">
        <f t="shared" ca="1" si="35"/>
        <v>169.16666666666666</v>
      </c>
      <c r="X61" s="134">
        <f t="shared" ca="1" si="25"/>
        <v>170</v>
      </c>
      <c r="Y61" s="134">
        <f t="shared" ca="1" si="7"/>
        <v>1999.8999999999978</v>
      </c>
      <c r="Z61" s="134">
        <f t="shared" ca="1" si="36"/>
        <v>51.0161555555555</v>
      </c>
      <c r="AA61" s="134">
        <f t="shared" ca="1" si="8"/>
        <v>51.0161555555555</v>
      </c>
      <c r="AB61" s="134">
        <f ca="1">IF(R62=0,R61*Q$12,(R60*20+R61*10))</f>
        <v>55420.200000000077</v>
      </c>
      <c r="AC61" s="134">
        <f t="shared" ca="1" si="1"/>
        <v>0</v>
      </c>
      <c r="AD61" s="134">
        <f t="shared" ca="1" si="38"/>
        <v>0</v>
      </c>
      <c r="AE61" s="134">
        <f t="shared" ca="1" si="32"/>
        <v>0</v>
      </c>
      <c r="AF61" s="134">
        <f t="shared" ca="1" si="9"/>
        <v>0</v>
      </c>
      <c r="AG61" s="134">
        <f t="shared" ca="1" si="26"/>
        <v>0</v>
      </c>
      <c r="AH61" s="134">
        <f t="shared" ca="1" si="10"/>
        <v>0</v>
      </c>
      <c r="AI61" s="134">
        <f ca="1">R61</f>
        <v>1750.1200000000026</v>
      </c>
      <c r="AJ61" s="134">
        <f ca="1">IF(N62=1,AI60*G$12*20/36000+AI61*G$12*10/36000,IF(N62=0,IF(N61=0,0,AI61*G$12*Q$12/36000)))</f>
        <v>0</v>
      </c>
      <c r="AK61" s="134">
        <f ca="1">IF(N62=1,AI60*G$12*20/36000+AI61*G$12*10/36000,IF(N62=0,IF(N61=0,0,AI61*G$12*Q$12/36000)))</f>
        <v>0</v>
      </c>
      <c r="AL61" s="132">
        <f t="shared" ca="1" si="12"/>
        <v>2</v>
      </c>
      <c r="AM61" s="132">
        <f t="shared" ca="1" si="13"/>
        <v>2</v>
      </c>
      <c r="AN61" s="2">
        <f t="shared" ca="1" si="14"/>
        <v>2027</v>
      </c>
      <c r="AO61" s="2">
        <f t="shared" ca="1" si="2"/>
        <v>2027</v>
      </c>
      <c r="AP61" s="2">
        <f t="shared" ca="1" si="15"/>
        <v>0</v>
      </c>
      <c r="AQ61" s="2">
        <f t="shared" ca="1" si="16"/>
        <v>28</v>
      </c>
      <c r="AR61" s="2">
        <f t="shared" si="17"/>
        <v>20</v>
      </c>
      <c r="AS61" s="2">
        <f t="shared" ca="1" si="27"/>
        <v>30</v>
      </c>
      <c r="AT61" s="21"/>
      <c r="AU61" s="21"/>
      <c r="AV61" s="21"/>
      <c r="AW61" s="21"/>
      <c r="AX61" s="21"/>
      <c r="AY61" s="2">
        <f t="shared" ca="1" si="18"/>
        <v>1</v>
      </c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52"/>
      <c r="BL61" s="52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40"/>
        <v>46466</v>
      </c>
      <c r="C62" s="401"/>
      <c r="D62" s="269">
        <f ca="1">IF(N62=0,IF(N61=1,SUM(D$25:E61)," "),IF(N62=0," ",IF(N63=1,D$25,IF(N63=0,D$10-D$25*(M$14-1)," "))))</f>
        <v>145.83000000000001</v>
      </c>
      <c r="E62" s="269"/>
      <c r="F62" s="87">
        <f ca="1">IF(N62=0,IF(N61=1,SUM(F$25:F61)," "),IF(M$1=1,P62,IF(M$1=2,Q62," ")))</f>
        <v>41.119825000000063</v>
      </c>
      <c r="G62" s="87">
        <f ca="1">IF(N62=0,IF(N61=1,SUM(G$25:G61)," "),IF(M$1=1,AC62,IF(M$1=2,AD62," ")))</f>
        <v>0</v>
      </c>
      <c r="H62" s="87">
        <f t="shared" ca="1" si="4"/>
        <v>186.94982500000009</v>
      </c>
      <c r="I62" s="87">
        <f t="shared" ca="1" si="28"/>
        <v>166.67</v>
      </c>
      <c r="J62" s="87">
        <f t="shared" ca="1" si="29"/>
        <v>46.988297222222172</v>
      </c>
      <c r="K62" s="87">
        <f t="shared" ca="1" si="30"/>
        <v>0</v>
      </c>
      <c r="L62" s="87">
        <f t="shared" ca="1" si="31"/>
        <v>213.65829722222216</v>
      </c>
      <c r="M62" s="2">
        <v>38</v>
      </c>
      <c r="N62" s="2">
        <f t="shared" ca="1" si="39"/>
        <v>1</v>
      </c>
      <c r="O62" s="2">
        <f t="shared" ref="O62:O84" ca="1" si="46">IF(M62=A$14,IF(DATE(YEAR(0),MONTH(0),DAY(D$16)-1)&lt;AR62,DATE(YEAR(0),MONTH(0),DAY(D$16)-1),AR62),AR62)</f>
        <v>20</v>
      </c>
      <c r="P62" s="134">
        <f t="shared" ca="1" si="5"/>
        <v>41.119825000000063</v>
      </c>
      <c r="Q62" s="134">
        <f t="shared" ca="1" si="6"/>
        <v>41.119825000000063</v>
      </c>
      <c r="R62" s="134">
        <f t="shared" ref="R62:R72" ca="1" si="47">IF(N62=0,0,R61-D61)</f>
        <v>1604.2900000000027</v>
      </c>
      <c r="S62" s="134">
        <f t="shared" ca="1" si="22"/>
        <v>145.83000000000001</v>
      </c>
      <c r="T62" s="134">
        <f t="shared" ca="1" si="23"/>
        <v>145.83000000000001</v>
      </c>
      <c r="U62" s="134">
        <f t="shared" ca="1" si="33"/>
        <v>41.119825000000063</v>
      </c>
      <c r="V62" s="134">
        <f t="shared" ca="1" si="34"/>
        <v>41.119825000000063</v>
      </c>
      <c r="W62" s="134">
        <f t="shared" ca="1" si="35"/>
        <v>169.16666666666666</v>
      </c>
      <c r="X62" s="134">
        <f t="shared" ca="1" si="25"/>
        <v>170</v>
      </c>
      <c r="Y62" s="134">
        <f t="shared" ca="1" si="7"/>
        <v>1833.2299999999977</v>
      </c>
      <c r="Z62" s="134">
        <f t="shared" ca="1" si="36"/>
        <v>46.988297222222172</v>
      </c>
      <c r="AA62" s="134">
        <f t="shared" ca="1" si="8"/>
        <v>46.988297222222172</v>
      </c>
      <c r="AB62" s="134">
        <f t="shared" ref="AB62:AB72" ca="1" si="48">IF(R63=0,R62*Q$12,(R61*20+R62*10))</f>
        <v>51045.300000000076</v>
      </c>
      <c r="AC62" s="134">
        <f t="shared" ca="1" si="1"/>
        <v>0</v>
      </c>
      <c r="AD62" s="134">
        <f t="shared" ca="1" si="38"/>
        <v>0</v>
      </c>
      <c r="AE62" s="134">
        <f t="shared" ca="1" si="32"/>
        <v>0</v>
      </c>
      <c r="AF62" s="134">
        <f t="shared" ca="1" si="9"/>
        <v>0</v>
      </c>
      <c r="AG62" s="134">
        <f t="shared" ca="1" si="26"/>
        <v>0</v>
      </c>
      <c r="AH62" s="134">
        <f t="shared" ca="1" si="10"/>
        <v>0</v>
      </c>
      <c r="AI62" s="134">
        <f t="shared" ref="AI62:AI72" ca="1" si="49">R62</f>
        <v>1604.2900000000027</v>
      </c>
      <c r="AJ62" s="134">
        <f t="shared" ca="1" si="44"/>
        <v>0</v>
      </c>
      <c r="AK62" s="134">
        <f t="shared" ref="AK62:AK72" ca="1" si="50">IF(N63=1,AI61*G$12*20/36000+AI62*G$12*10/36000,IF(N63=0,IF(N62=0,0,AI62*G$12*Q$12/36000+AI61*G$12*20/36000+AI62*G$12*10/36000)))</f>
        <v>0</v>
      </c>
      <c r="AL62" s="132">
        <f t="shared" ca="1" si="12"/>
        <v>3</v>
      </c>
      <c r="AM62" s="132">
        <f t="shared" ca="1" si="13"/>
        <v>3</v>
      </c>
      <c r="AN62" s="2">
        <f t="shared" ca="1" si="14"/>
        <v>2027</v>
      </c>
      <c r="AO62" s="2">
        <f t="shared" ca="1" si="2"/>
        <v>2027</v>
      </c>
      <c r="AP62" s="2">
        <f t="shared" ca="1" si="15"/>
        <v>0</v>
      </c>
      <c r="AQ62" s="2">
        <f t="shared" ca="1" si="16"/>
        <v>30</v>
      </c>
      <c r="AR62" s="2">
        <f t="shared" si="17"/>
        <v>20</v>
      </c>
      <c r="AS62" s="2">
        <f t="shared" ca="1" si="27"/>
        <v>28</v>
      </c>
      <c r="AT62" s="21"/>
      <c r="AU62" s="21"/>
      <c r="AV62" s="21"/>
      <c r="AW62" s="21"/>
      <c r="AX62" s="21"/>
      <c r="AY62" s="2">
        <f t="shared" ca="1" si="18"/>
        <v>1</v>
      </c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52"/>
      <c r="BL62" s="52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40"/>
        <v>46497</v>
      </c>
      <c r="C63" s="401"/>
      <c r="D63" s="269">
        <f ca="1">IF(N63=0,IF(N62=1,SUM(D$25:E62)," "),IF(N63=0," ",IF(N64=1,D$25,IF(N64=0,D$10-D$25*(M$14-1)," "))))</f>
        <v>145.83000000000001</v>
      </c>
      <c r="E63" s="269"/>
      <c r="F63" s="87">
        <f ca="1">IF(N63=0,IF(N62=1,SUM(F$25:F62)," "),IF(M$1=1,P63,IF(M$1=2,Q63," ")))</f>
        <v>37.595600000000069</v>
      </c>
      <c r="G63" s="87">
        <f ca="1">IF(N63=0,IF(N62=1,SUM(G$25:G62)," "),IF(M$1=1,AC63,IF(M$1=2,AD63," ")))</f>
        <v>0</v>
      </c>
      <c r="H63" s="87">
        <f t="shared" ca="1" si="4"/>
        <v>183.42560000000009</v>
      </c>
      <c r="I63" s="87">
        <f t="shared" ca="1" si="28"/>
        <v>166.67</v>
      </c>
      <c r="J63" s="87">
        <f t="shared" ca="1" si="29"/>
        <v>42.960438888888831</v>
      </c>
      <c r="K63" s="87">
        <f t="shared" ca="1" si="30"/>
        <v>0</v>
      </c>
      <c r="L63" s="87">
        <f t="shared" ca="1" si="31"/>
        <v>209.63043888888882</v>
      </c>
      <c r="M63" s="2">
        <v>39</v>
      </c>
      <c r="N63" s="2">
        <f t="shared" ca="1" si="39"/>
        <v>1</v>
      </c>
      <c r="O63" s="2">
        <f t="shared" ca="1" si="46"/>
        <v>20</v>
      </c>
      <c r="P63" s="134">
        <f t="shared" ca="1" si="5"/>
        <v>37.595600000000069</v>
      </c>
      <c r="Q63" s="134">
        <f t="shared" ca="1" si="6"/>
        <v>37.595600000000069</v>
      </c>
      <c r="R63" s="134">
        <f t="shared" ca="1" si="47"/>
        <v>1458.4600000000028</v>
      </c>
      <c r="S63" s="134">
        <f t="shared" ca="1" si="22"/>
        <v>145.83000000000001</v>
      </c>
      <c r="T63" s="134">
        <f t="shared" ca="1" si="23"/>
        <v>145.83000000000001</v>
      </c>
      <c r="U63" s="134">
        <f t="shared" ca="1" si="33"/>
        <v>37.595600000000069</v>
      </c>
      <c r="V63" s="134">
        <f t="shared" ca="1" si="34"/>
        <v>37.595600000000069</v>
      </c>
      <c r="W63" s="134">
        <f t="shared" ca="1" si="35"/>
        <v>169.16666666666666</v>
      </c>
      <c r="X63" s="134">
        <f t="shared" ca="1" si="25"/>
        <v>170</v>
      </c>
      <c r="Y63" s="134">
        <f t="shared" ca="1" si="7"/>
        <v>1666.5599999999977</v>
      </c>
      <c r="Z63" s="134">
        <f t="shared" ca="1" si="36"/>
        <v>42.960438888888831</v>
      </c>
      <c r="AA63" s="134">
        <f t="shared" ca="1" si="8"/>
        <v>42.960438888888831</v>
      </c>
      <c r="AB63" s="134">
        <f t="shared" ca="1" si="48"/>
        <v>46670.400000000081</v>
      </c>
      <c r="AC63" s="134">
        <f t="shared" ca="1" si="1"/>
        <v>0</v>
      </c>
      <c r="AD63" s="134">
        <f t="shared" ca="1" si="38"/>
        <v>0</v>
      </c>
      <c r="AE63" s="134">
        <f t="shared" ca="1" si="32"/>
        <v>0</v>
      </c>
      <c r="AF63" s="134">
        <f t="shared" ca="1" si="9"/>
        <v>0</v>
      </c>
      <c r="AG63" s="134">
        <f t="shared" ca="1" si="26"/>
        <v>0</v>
      </c>
      <c r="AH63" s="134">
        <f t="shared" ca="1" si="10"/>
        <v>0</v>
      </c>
      <c r="AI63" s="134">
        <f t="shared" ca="1" si="49"/>
        <v>1458.4600000000028</v>
      </c>
      <c r="AJ63" s="134">
        <f t="shared" ca="1" si="44"/>
        <v>0</v>
      </c>
      <c r="AK63" s="134">
        <f t="shared" ca="1" si="50"/>
        <v>0</v>
      </c>
      <c r="AL63" s="132">
        <f t="shared" ca="1" si="12"/>
        <v>4</v>
      </c>
      <c r="AM63" s="132">
        <f t="shared" ca="1" si="13"/>
        <v>4</v>
      </c>
      <c r="AN63" s="2">
        <f t="shared" ca="1" si="14"/>
        <v>2027</v>
      </c>
      <c r="AO63" s="2">
        <f t="shared" ca="1" si="2"/>
        <v>2027</v>
      </c>
      <c r="AP63" s="2">
        <f t="shared" ca="1" si="15"/>
        <v>0</v>
      </c>
      <c r="AQ63" s="2">
        <f t="shared" ca="1" si="16"/>
        <v>30</v>
      </c>
      <c r="AR63" s="2">
        <f t="shared" si="17"/>
        <v>20</v>
      </c>
      <c r="AS63" s="2">
        <f t="shared" ca="1" si="27"/>
        <v>30</v>
      </c>
      <c r="AT63" s="21"/>
      <c r="AU63" s="21"/>
      <c r="AV63" s="21"/>
      <c r="AW63" s="21"/>
      <c r="AX63" s="21"/>
      <c r="AY63" s="2">
        <f t="shared" ca="1" si="18"/>
        <v>1</v>
      </c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52"/>
      <c r="BL63" s="52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40"/>
        <v>46527</v>
      </c>
      <c r="C64" s="401"/>
      <c r="D64" s="269">
        <f ca="1">IF(N64=0,IF(N63=1,SUM(D$25:E63)," "),IF(N64=0," ",IF(N65=1,D$25,IF(N65=0,D$10-D$25*(M$14-1)," "))))</f>
        <v>145.83000000000001</v>
      </c>
      <c r="E64" s="269"/>
      <c r="F64" s="87">
        <f ca="1">IF(N64=0,IF(N63=1,SUM(F$25:F63)," "),IF(M$1=1,P64,IF(M$1=2,Q64," ")))</f>
        <v>34.071375000000074</v>
      </c>
      <c r="G64" s="87">
        <f ca="1">IF(N64=0,IF(N63=1,SUM(G$25:G63)," "),IF(M$1=1,AC64,IF(M$1=2,AD64," ")))</f>
        <v>0</v>
      </c>
      <c r="H64" s="87">
        <f t="shared" ca="1" si="4"/>
        <v>179.90137500000009</v>
      </c>
      <c r="I64" s="87">
        <f t="shared" ca="1" si="28"/>
        <v>166.67</v>
      </c>
      <c r="J64" s="87">
        <f t="shared" ca="1" si="29"/>
        <v>38.932580555555504</v>
      </c>
      <c r="K64" s="87">
        <f t="shared" ca="1" si="30"/>
        <v>0</v>
      </c>
      <c r="L64" s="87">
        <f t="shared" ca="1" si="31"/>
        <v>205.60258055555551</v>
      </c>
      <c r="M64" s="2">
        <v>40</v>
      </c>
      <c r="N64" s="2">
        <f t="shared" ca="1" si="39"/>
        <v>1</v>
      </c>
      <c r="O64" s="2">
        <f t="shared" ca="1" si="46"/>
        <v>20</v>
      </c>
      <c r="P64" s="134">
        <f t="shared" ca="1" si="5"/>
        <v>34.071375000000074</v>
      </c>
      <c r="Q64" s="134">
        <f t="shared" ca="1" si="6"/>
        <v>34.071375000000074</v>
      </c>
      <c r="R64" s="134">
        <f t="shared" ca="1" si="47"/>
        <v>1312.6300000000028</v>
      </c>
      <c r="S64" s="134">
        <f t="shared" ca="1" si="22"/>
        <v>145.83000000000001</v>
      </c>
      <c r="T64" s="134">
        <f t="shared" ca="1" si="23"/>
        <v>145.83000000000001</v>
      </c>
      <c r="U64" s="134">
        <f t="shared" ca="1" si="33"/>
        <v>34.071375000000074</v>
      </c>
      <c r="V64" s="134">
        <f t="shared" ca="1" si="34"/>
        <v>34.071375000000074</v>
      </c>
      <c r="W64" s="134">
        <f t="shared" ca="1" si="35"/>
        <v>169.16666666666666</v>
      </c>
      <c r="X64" s="134">
        <f t="shared" ca="1" si="25"/>
        <v>170</v>
      </c>
      <c r="Y64" s="134">
        <f t="shared" ca="1" si="7"/>
        <v>1499.8899999999976</v>
      </c>
      <c r="Z64" s="134">
        <f t="shared" ca="1" si="36"/>
        <v>38.932580555555504</v>
      </c>
      <c r="AA64" s="134">
        <f t="shared" ca="1" si="8"/>
        <v>38.932580555555504</v>
      </c>
      <c r="AB64" s="134">
        <f t="shared" ca="1" si="48"/>
        <v>42295.500000000087</v>
      </c>
      <c r="AC64" s="134">
        <f t="shared" ca="1" si="1"/>
        <v>0</v>
      </c>
      <c r="AD64" s="134">
        <f t="shared" ca="1" si="38"/>
        <v>0</v>
      </c>
      <c r="AE64" s="134">
        <f t="shared" ca="1" si="32"/>
        <v>0</v>
      </c>
      <c r="AF64" s="134">
        <f t="shared" ca="1" si="9"/>
        <v>0</v>
      </c>
      <c r="AG64" s="134">
        <f t="shared" ca="1" si="26"/>
        <v>0</v>
      </c>
      <c r="AH64" s="134">
        <f t="shared" ca="1" si="10"/>
        <v>0</v>
      </c>
      <c r="AI64" s="134">
        <f t="shared" ca="1" si="49"/>
        <v>1312.6300000000028</v>
      </c>
      <c r="AJ64" s="134">
        <f t="shared" ca="1" si="44"/>
        <v>0</v>
      </c>
      <c r="AK64" s="134">
        <f t="shared" ca="1" si="50"/>
        <v>0</v>
      </c>
      <c r="AL64" s="132">
        <f t="shared" ca="1" si="12"/>
        <v>5</v>
      </c>
      <c r="AM64" s="132">
        <f t="shared" ca="1" si="13"/>
        <v>5</v>
      </c>
      <c r="AN64" s="2">
        <f t="shared" ca="1" si="14"/>
        <v>2027</v>
      </c>
      <c r="AO64" s="2">
        <f t="shared" ca="1" si="2"/>
        <v>2027</v>
      </c>
      <c r="AP64" s="2">
        <f t="shared" ca="1" si="15"/>
        <v>0</v>
      </c>
      <c r="AQ64" s="2">
        <f t="shared" ca="1" si="16"/>
        <v>30</v>
      </c>
      <c r="AR64" s="2">
        <f t="shared" si="17"/>
        <v>20</v>
      </c>
      <c r="AS64" s="2">
        <f t="shared" ca="1" si="27"/>
        <v>30</v>
      </c>
      <c r="AT64" s="21"/>
      <c r="AU64" s="21"/>
      <c r="AV64" s="21"/>
      <c r="AW64" s="21"/>
      <c r="AX64" s="21"/>
      <c r="AY64" s="2">
        <f t="shared" ca="1" si="18"/>
        <v>1</v>
      </c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52"/>
      <c r="BL64" s="52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40"/>
        <v>46558</v>
      </c>
      <c r="C65" s="401"/>
      <c r="D65" s="269">
        <f ca="1">IF(N65=0,IF(N64=1,SUM(D$25:E64)," "),IF(N65=0," ",IF(N66=1,D$25,IF(N66=0,D$10-D$25*(M$14-1)," "))))</f>
        <v>145.83000000000001</v>
      </c>
      <c r="E65" s="269"/>
      <c r="F65" s="87">
        <f ca="1">IF(N65=0,IF(N64=1,SUM(F$25:F64)," "),IF(M$1=1,P65,IF(M$1=2,Q65," ")))</f>
        <v>30.547150000000066</v>
      </c>
      <c r="G65" s="87">
        <f ca="1">IF(N65=0,IF(N64=1,SUM(G$25:G64)," "),IF(M$1=1,AC65,IF(M$1=2,AD65," ")))</f>
        <v>0</v>
      </c>
      <c r="H65" s="87">
        <f t="shared" ca="1" si="4"/>
        <v>176.37715000000009</v>
      </c>
      <c r="I65" s="87">
        <f t="shared" ca="1" si="28"/>
        <v>166.67</v>
      </c>
      <c r="J65" s="87">
        <f t="shared" ca="1" si="29"/>
        <v>34.904722222222169</v>
      </c>
      <c r="K65" s="87">
        <f t="shared" ca="1" si="30"/>
        <v>0</v>
      </c>
      <c r="L65" s="87">
        <f t="shared" ca="1" si="31"/>
        <v>201.57472222222216</v>
      </c>
      <c r="M65" s="2">
        <v>41</v>
      </c>
      <c r="N65" s="2">
        <f t="shared" ca="1" si="39"/>
        <v>1</v>
      </c>
      <c r="O65" s="2">
        <f t="shared" ca="1" si="46"/>
        <v>20</v>
      </c>
      <c r="P65" s="134">
        <f t="shared" ca="1" si="5"/>
        <v>30.547150000000066</v>
      </c>
      <c r="Q65" s="134">
        <f t="shared" ca="1" si="6"/>
        <v>30.547150000000066</v>
      </c>
      <c r="R65" s="134">
        <f t="shared" ca="1" si="47"/>
        <v>1166.8000000000029</v>
      </c>
      <c r="S65" s="134">
        <f t="shared" ca="1" si="22"/>
        <v>145.83000000000001</v>
      </c>
      <c r="T65" s="134">
        <f t="shared" ca="1" si="23"/>
        <v>145.83000000000001</v>
      </c>
      <c r="U65" s="134">
        <f t="shared" ca="1" si="33"/>
        <v>30.547150000000066</v>
      </c>
      <c r="V65" s="134">
        <f t="shared" ca="1" si="34"/>
        <v>30.547150000000066</v>
      </c>
      <c r="W65" s="134">
        <f t="shared" ca="1" si="35"/>
        <v>169.16666666666666</v>
      </c>
      <c r="X65" s="134">
        <f t="shared" ca="1" si="25"/>
        <v>170</v>
      </c>
      <c r="Y65" s="134">
        <f t="shared" ca="1" si="7"/>
        <v>1333.2199999999975</v>
      </c>
      <c r="Z65" s="134">
        <f t="shared" ca="1" si="36"/>
        <v>34.904722222222169</v>
      </c>
      <c r="AA65" s="134">
        <f t="shared" ca="1" si="8"/>
        <v>34.904722222222169</v>
      </c>
      <c r="AB65" s="134">
        <f t="shared" ca="1" si="48"/>
        <v>37920.600000000086</v>
      </c>
      <c r="AC65" s="134">
        <f t="shared" ca="1" si="1"/>
        <v>0</v>
      </c>
      <c r="AD65" s="134">
        <f t="shared" ca="1" si="38"/>
        <v>0</v>
      </c>
      <c r="AE65" s="134">
        <f t="shared" ca="1" si="32"/>
        <v>0</v>
      </c>
      <c r="AF65" s="134">
        <f t="shared" ca="1" si="9"/>
        <v>0</v>
      </c>
      <c r="AG65" s="134">
        <f t="shared" ca="1" si="26"/>
        <v>0</v>
      </c>
      <c r="AH65" s="134">
        <f t="shared" ca="1" si="10"/>
        <v>0</v>
      </c>
      <c r="AI65" s="134">
        <f t="shared" ca="1" si="49"/>
        <v>1166.8000000000029</v>
      </c>
      <c r="AJ65" s="134">
        <f t="shared" ca="1" si="44"/>
        <v>0</v>
      </c>
      <c r="AK65" s="134">
        <f t="shared" ca="1" si="50"/>
        <v>0</v>
      </c>
      <c r="AL65" s="132">
        <f t="shared" ca="1" si="12"/>
        <v>6</v>
      </c>
      <c r="AM65" s="132">
        <f t="shared" ca="1" si="13"/>
        <v>6</v>
      </c>
      <c r="AN65" s="2">
        <f t="shared" ca="1" si="14"/>
        <v>2027</v>
      </c>
      <c r="AO65" s="2">
        <f t="shared" ca="1" si="2"/>
        <v>2027</v>
      </c>
      <c r="AP65" s="2">
        <f t="shared" ca="1" si="15"/>
        <v>0</v>
      </c>
      <c r="AQ65" s="2">
        <f t="shared" ca="1" si="16"/>
        <v>30</v>
      </c>
      <c r="AR65" s="2">
        <f t="shared" si="17"/>
        <v>20</v>
      </c>
      <c r="AS65" s="2">
        <f t="shared" ca="1" si="27"/>
        <v>30</v>
      </c>
      <c r="AT65" s="21"/>
      <c r="AU65" s="21"/>
      <c r="AV65" s="21"/>
      <c r="AW65" s="21"/>
      <c r="AX65" s="21"/>
      <c r="AY65" s="2">
        <f t="shared" ca="1" si="18"/>
        <v>1</v>
      </c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52"/>
      <c r="BL65" s="52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40"/>
        <v>46588</v>
      </c>
      <c r="C66" s="401"/>
      <c r="D66" s="269">
        <f ca="1">IF(N66=0,IF(N65=1,SUM(D$25:E65)," "),IF(N66=0," ",IF(N67=1,D$25,IF(N67=0,D$10-D$25*(M$14-1)," "))))</f>
        <v>145.83000000000001</v>
      </c>
      <c r="E66" s="269"/>
      <c r="F66" s="87">
        <f ca="1">IF(N66=0,IF(N65=1,SUM(F$25:F65)," "),IF(M$1=1,P66,IF(M$1=2,Q66," ")))</f>
        <v>27.022925000000068</v>
      </c>
      <c r="G66" s="87">
        <f ca="1">IF(N66=0,IF(N65=1,SUM(G$25:G65)," "),IF(M$1=1,AC66,IF(M$1=2,AD66," ")))</f>
        <v>0</v>
      </c>
      <c r="H66" s="87">
        <f t="shared" ca="1" si="4"/>
        <v>172.85292500000008</v>
      </c>
      <c r="I66" s="87">
        <f t="shared" ca="1" si="28"/>
        <v>166.67</v>
      </c>
      <c r="J66" s="87">
        <f t="shared" ca="1" si="29"/>
        <v>30.876863888888835</v>
      </c>
      <c r="K66" s="87">
        <f t="shared" ca="1" si="30"/>
        <v>0</v>
      </c>
      <c r="L66" s="87">
        <f t="shared" ca="1" si="31"/>
        <v>197.54686388888882</v>
      </c>
      <c r="M66" s="2">
        <v>42</v>
      </c>
      <c r="N66" s="2">
        <f t="shared" ca="1" si="39"/>
        <v>1</v>
      </c>
      <c r="O66" s="2">
        <f t="shared" ca="1" si="46"/>
        <v>20</v>
      </c>
      <c r="P66" s="134">
        <f t="shared" ca="1" si="5"/>
        <v>27.022925000000068</v>
      </c>
      <c r="Q66" s="134">
        <f t="shared" ca="1" si="6"/>
        <v>27.022925000000068</v>
      </c>
      <c r="R66" s="134">
        <f t="shared" ca="1" si="47"/>
        <v>1020.9700000000029</v>
      </c>
      <c r="S66" s="134">
        <f t="shared" ca="1" si="22"/>
        <v>145.83000000000001</v>
      </c>
      <c r="T66" s="134">
        <f t="shared" ca="1" si="23"/>
        <v>145.83000000000001</v>
      </c>
      <c r="U66" s="134">
        <f t="shared" ca="1" si="33"/>
        <v>27.022925000000068</v>
      </c>
      <c r="V66" s="134">
        <f t="shared" ca="1" si="34"/>
        <v>27.022925000000068</v>
      </c>
      <c r="W66" s="134">
        <f t="shared" ca="1" si="35"/>
        <v>169.16666666666666</v>
      </c>
      <c r="X66" s="134">
        <f t="shared" ca="1" si="25"/>
        <v>170</v>
      </c>
      <c r="Y66" s="134">
        <f t="shared" ca="1" si="7"/>
        <v>1166.5499999999975</v>
      </c>
      <c r="Z66" s="134">
        <f t="shared" ca="1" si="36"/>
        <v>30.876863888888835</v>
      </c>
      <c r="AA66" s="134">
        <f t="shared" ca="1" si="8"/>
        <v>30.876863888888835</v>
      </c>
      <c r="AB66" s="134">
        <f t="shared" ca="1" si="48"/>
        <v>33545.700000000084</v>
      </c>
      <c r="AC66" s="134">
        <f t="shared" ca="1" si="1"/>
        <v>0</v>
      </c>
      <c r="AD66" s="134">
        <f t="shared" ca="1" si="38"/>
        <v>0</v>
      </c>
      <c r="AE66" s="134">
        <f t="shared" ca="1" si="32"/>
        <v>0</v>
      </c>
      <c r="AF66" s="134">
        <f t="shared" ca="1" si="9"/>
        <v>0</v>
      </c>
      <c r="AG66" s="134">
        <f t="shared" ca="1" si="26"/>
        <v>0</v>
      </c>
      <c r="AH66" s="134">
        <f t="shared" ca="1" si="10"/>
        <v>0</v>
      </c>
      <c r="AI66" s="134">
        <f t="shared" ca="1" si="49"/>
        <v>1020.9700000000029</v>
      </c>
      <c r="AJ66" s="134">
        <f t="shared" ca="1" si="44"/>
        <v>0</v>
      </c>
      <c r="AK66" s="134">
        <f t="shared" ca="1" si="50"/>
        <v>0</v>
      </c>
      <c r="AL66" s="132">
        <f t="shared" ca="1" si="12"/>
        <v>7</v>
      </c>
      <c r="AM66" s="132">
        <f t="shared" ca="1" si="13"/>
        <v>7</v>
      </c>
      <c r="AN66" s="2">
        <f t="shared" ca="1" si="14"/>
        <v>2027</v>
      </c>
      <c r="AO66" s="2">
        <f t="shared" ca="1" si="2"/>
        <v>2027</v>
      </c>
      <c r="AP66" s="2">
        <f t="shared" ca="1" si="15"/>
        <v>0</v>
      </c>
      <c r="AQ66" s="2">
        <f t="shared" ca="1" si="16"/>
        <v>30</v>
      </c>
      <c r="AR66" s="2">
        <f t="shared" si="17"/>
        <v>20</v>
      </c>
      <c r="AS66" s="2">
        <f t="shared" ca="1" si="27"/>
        <v>30</v>
      </c>
      <c r="AT66" s="21"/>
      <c r="AU66" s="21"/>
      <c r="AV66" s="21"/>
      <c r="AW66" s="21"/>
      <c r="AX66" s="21"/>
      <c r="AY66" s="2">
        <f t="shared" ca="1" si="18"/>
        <v>1</v>
      </c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52"/>
      <c r="BL66" s="52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40"/>
        <v>46619</v>
      </c>
      <c r="C67" s="401"/>
      <c r="D67" s="269">
        <f ca="1">IF(N67=0,IF(N66=1,SUM(D$25:E66)," "),IF(N67=0," ",IF(N68=1,D$25,IF(N68=0,D$10-D$25*(M$14-1)," "))))</f>
        <v>145.83000000000001</v>
      </c>
      <c r="E67" s="269"/>
      <c r="F67" s="87">
        <f ca="1">IF(N67=0,IF(N66=1,SUM(F$25:F66)," "),IF(M$1=1,P67,IF(M$1=2,Q67," ")))</f>
        <v>23.498700000000071</v>
      </c>
      <c r="G67" s="87">
        <f ca="1">IF(N67=0,IF(N66=1,SUM(G$25:G66)," "),IF(M$1=1,AC67,IF(M$1=2,AD67," ")))</f>
        <v>0</v>
      </c>
      <c r="H67" s="87">
        <f t="shared" ca="1" si="4"/>
        <v>169.32870000000008</v>
      </c>
      <c r="I67" s="87">
        <f t="shared" ca="1" si="28"/>
        <v>166.67</v>
      </c>
      <c r="J67" s="87">
        <f t="shared" ca="1" si="29"/>
        <v>26.849005555555493</v>
      </c>
      <c r="K67" s="87">
        <f t="shared" ca="1" si="30"/>
        <v>0</v>
      </c>
      <c r="L67" s="87">
        <f t="shared" ca="1" si="31"/>
        <v>193.51900555555548</v>
      </c>
      <c r="M67" s="2">
        <v>43</v>
      </c>
      <c r="N67" s="2">
        <f t="shared" ca="1" si="39"/>
        <v>1</v>
      </c>
      <c r="O67" s="2">
        <f t="shared" ca="1" si="46"/>
        <v>20</v>
      </c>
      <c r="P67" s="134">
        <f t="shared" ca="1" si="5"/>
        <v>23.498700000000071</v>
      </c>
      <c r="Q67" s="134">
        <f t="shared" ca="1" si="6"/>
        <v>23.498700000000071</v>
      </c>
      <c r="R67" s="134">
        <f t="shared" ca="1" si="47"/>
        <v>875.14000000000283</v>
      </c>
      <c r="S67" s="134">
        <f t="shared" ca="1" si="22"/>
        <v>145.83000000000001</v>
      </c>
      <c r="T67" s="134">
        <f t="shared" ca="1" si="23"/>
        <v>145.83000000000001</v>
      </c>
      <c r="U67" s="134">
        <f t="shared" ca="1" si="33"/>
        <v>23.498700000000071</v>
      </c>
      <c r="V67" s="134">
        <f t="shared" ca="1" si="34"/>
        <v>23.498700000000071</v>
      </c>
      <c r="W67" s="134">
        <f t="shared" ca="1" si="35"/>
        <v>169.16666666666666</v>
      </c>
      <c r="X67" s="134">
        <f t="shared" ca="1" si="25"/>
        <v>170</v>
      </c>
      <c r="Y67" s="134">
        <f t="shared" ca="1" si="7"/>
        <v>999.87999999999749</v>
      </c>
      <c r="Z67" s="134">
        <f t="shared" ca="1" si="36"/>
        <v>26.849005555555493</v>
      </c>
      <c r="AA67" s="134">
        <f t="shared" ca="1" si="8"/>
        <v>26.849005555555493</v>
      </c>
      <c r="AB67" s="134">
        <f t="shared" ca="1" si="48"/>
        <v>29170.800000000083</v>
      </c>
      <c r="AC67" s="134">
        <f t="shared" ca="1" si="1"/>
        <v>0</v>
      </c>
      <c r="AD67" s="134">
        <f t="shared" ca="1" si="38"/>
        <v>0</v>
      </c>
      <c r="AE67" s="134">
        <f t="shared" ca="1" si="32"/>
        <v>0</v>
      </c>
      <c r="AF67" s="134">
        <f t="shared" ca="1" si="9"/>
        <v>0</v>
      </c>
      <c r="AG67" s="134">
        <f t="shared" ca="1" si="26"/>
        <v>0</v>
      </c>
      <c r="AH67" s="134">
        <f t="shared" ca="1" si="10"/>
        <v>0</v>
      </c>
      <c r="AI67" s="134">
        <f t="shared" ca="1" si="49"/>
        <v>875.14000000000283</v>
      </c>
      <c r="AJ67" s="134">
        <f t="shared" ca="1" si="44"/>
        <v>0</v>
      </c>
      <c r="AK67" s="134">
        <f t="shared" ca="1" si="50"/>
        <v>0</v>
      </c>
      <c r="AL67" s="132">
        <f t="shared" ca="1" si="12"/>
        <v>8</v>
      </c>
      <c r="AM67" s="132">
        <f t="shared" ca="1" si="13"/>
        <v>8</v>
      </c>
      <c r="AN67" s="2">
        <f t="shared" ca="1" si="14"/>
        <v>2027</v>
      </c>
      <c r="AO67" s="2">
        <f t="shared" ca="1" si="2"/>
        <v>2027</v>
      </c>
      <c r="AP67" s="2">
        <f t="shared" ca="1" si="15"/>
        <v>0</v>
      </c>
      <c r="AQ67" s="2">
        <f t="shared" ca="1" si="16"/>
        <v>30</v>
      </c>
      <c r="AR67" s="2">
        <f t="shared" si="17"/>
        <v>20</v>
      </c>
      <c r="AS67" s="2">
        <f t="shared" ca="1" si="27"/>
        <v>30</v>
      </c>
      <c r="AT67" s="21"/>
      <c r="AU67" s="21"/>
      <c r="AV67" s="21"/>
      <c r="AW67" s="21"/>
      <c r="AX67" s="21"/>
      <c r="AY67" s="2">
        <f t="shared" ca="1" si="18"/>
        <v>1</v>
      </c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52"/>
      <c r="BL67" s="52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40"/>
        <v>46650</v>
      </c>
      <c r="C68" s="401"/>
      <c r="D68" s="269">
        <f ca="1">IF(N68=0,IF(N67=1,SUM(D$25:E67)," "),IF(N68=0," ",IF(N69=1,D$25,IF(N69=0,D$10-D$25*(M$14-1)," "))))</f>
        <v>145.83000000000001</v>
      </c>
      <c r="E68" s="269"/>
      <c r="F68" s="87">
        <f ca="1">IF(N68=0,IF(N67=1,SUM(F$25:F67)," "),IF(M$1=1,P68,IF(M$1=2,Q68," ")))</f>
        <v>19.974475000000069</v>
      </c>
      <c r="G68" s="87">
        <f ca="1">IF(N68=0,IF(N67=1,SUM(G$25:G67)," "),IF(M$1=1,AC68,IF(M$1=2,AD68," ")))</f>
        <v>0</v>
      </c>
      <c r="H68" s="87">
        <f t="shared" ca="1" si="4"/>
        <v>165.80447500000008</v>
      </c>
      <c r="I68" s="87">
        <f t="shared" ca="1" si="28"/>
        <v>166.67</v>
      </c>
      <c r="J68" s="87">
        <f t="shared" ca="1" si="29"/>
        <v>22.821147222222162</v>
      </c>
      <c r="K68" s="87">
        <f t="shared" ca="1" si="30"/>
        <v>0</v>
      </c>
      <c r="L68" s="87">
        <f t="shared" ca="1" si="31"/>
        <v>189.49114722222214</v>
      </c>
      <c r="M68" s="2">
        <v>44</v>
      </c>
      <c r="N68" s="2">
        <f t="shared" ca="1" si="39"/>
        <v>1</v>
      </c>
      <c r="O68" s="2">
        <f t="shared" ca="1" si="46"/>
        <v>20</v>
      </c>
      <c r="P68" s="134">
        <f t="shared" ca="1" si="5"/>
        <v>19.974475000000069</v>
      </c>
      <c r="Q68" s="134">
        <f t="shared" ca="1" si="6"/>
        <v>19.974475000000069</v>
      </c>
      <c r="R68" s="134">
        <f t="shared" ca="1" si="47"/>
        <v>729.31000000000279</v>
      </c>
      <c r="S68" s="134">
        <f t="shared" ca="1" si="22"/>
        <v>145.83000000000001</v>
      </c>
      <c r="T68" s="134">
        <f t="shared" ca="1" si="23"/>
        <v>145.83000000000001</v>
      </c>
      <c r="U68" s="134">
        <f t="shared" ca="1" si="33"/>
        <v>19.974475000000069</v>
      </c>
      <c r="V68" s="134">
        <f t="shared" ca="1" si="34"/>
        <v>19.974475000000069</v>
      </c>
      <c r="W68" s="134">
        <f t="shared" ca="1" si="35"/>
        <v>169.16666666666666</v>
      </c>
      <c r="X68" s="134">
        <f t="shared" ca="1" si="25"/>
        <v>170</v>
      </c>
      <c r="Y68" s="134">
        <f t="shared" ca="1" si="7"/>
        <v>833.20999999999754</v>
      </c>
      <c r="Z68" s="134">
        <f t="shared" ca="1" si="36"/>
        <v>22.821147222222162</v>
      </c>
      <c r="AA68" s="134">
        <f t="shared" ca="1" si="8"/>
        <v>22.821147222222162</v>
      </c>
      <c r="AB68" s="134">
        <f t="shared" ca="1" si="48"/>
        <v>24795.900000000085</v>
      </c>
      <c r="AC68" s="134">
        <f t="shared" ca="1" si="1"/>
        <v>0</v>
      </c>
      <c r="AD68" s="134">
        <f t="shared" ca="1" si="38"/>
        <v>0</v>
      </c>
      <c r="AE68" s="134">
        <f t="shared" ca="1" si="32"/>
        <v>0</v>
      </c>
      <c r="AF68" s="134">
        <f t="shared" ca="1" si="9"/>
        <v>0</v>
      </c>
      <c r="AG68" s="134">
        <f t="shared" ca="1" si="26"/>
        <v>0</v>
      </c>
      <c r="AH68" s="134">
        <f t="shared" ca="1" si="10"/>
        <v>0</v>
      </c>
      <c r="AI68" s="134">
        <f t="shared" ca="1" si="49"/>
        <v>729.31000000000279</v>
      </c>
      <c r="AJ68" s="134">
        <f t="shared" ca="1" si="44"/>
        <v>0</v>
      </c>
      <c r="AK68" s="134">
        <f t="shared" ca="1" si="50"/>
        <v>0</v>
      </c>
      <c r="AL68" s="132">
        <f t="shared" ca="1" si="12"/>
        <v>9</v>
      </c>
      <c r="AM68" s="132">
        <f t="shared" ca="1" si="13"/>
        <v>9</v>
      </c>
      <c r="AN68" s="2">
        <f t="shared" ca="1" si="14"/>
        <v>2027</v>
      </c>
      <c r="AO68" s="2">
        <f t="shared" ca="1" si="2"/>
        <v>2027</v>
      </c>
      <c r="AP68" s="2">
        <f t="shared" ca="1" si="15"/>
        <v>0</v>
      </c>
      <c r="AQ68" s="2">
        <f t="shared" ca="1" si="16"/>
        <v>30</v>
      </c>
      <c r="AR68" s="2">
        <f t="shared" si="17"/>
        <v>20</v>
      </c>
      <c r="AS68" s="2">
        <f t="shared" ca="1" si="27"/>
        <v>30</v>
      </c>
      <c r="AT68" s="21"/>
      <c r="AU68" s="21"/>
      <c r="AV68" s="21"/>
      <c r="AW68" s="21"/>
      <c r="AX68" s="21"/>
      <c r="AY68" s="2">
        <f t="shared" ca="1" si="18"/>
        <v>1</v>
      </c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52"/>
      <c r="BL68" s="52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40"/>
        <v>46680</v>
      </c>
      <c r="C69" s="401"/>
      <c r="D69" s="269">
        <f ca="1">IF(N69=0,IF(N68=1,SUM(D$25:E68)," "),IF(N69=0," ",IF(N70=1,D$25,IF(N70=0,D$10-D$25*(M$14-1)," "))))</f>
        <v>145.83000000000001</v>
      </c>
      <c r="E69" s="269"/>
      <c r="F69" s="87">
        <f ca="1">IF(N69=0,IF(N68=1,SUM(F$25:F68)," "),IF(M$1=1,P69,IF(M$1=2,Q69," ")))</f>
        <v>16.450250000000068</v>
      </c>
      <c r="G69" s="87">
        <f ca="1">IF(N69=0,IF(N68=1,SUM(G$25:G68)," "),IF(M$1=1,AC69,IF(M$1=2,AD69," ")))</f>
        <v>0</v>
      </c>
      <c r="H69" s="87">
        <f t="shared" ca="1" si="4"/>
        <v>162.28025000000008</v>
      </c>
      <c r="I69" s="87">
        <f t="shared" ca="1" si="28"/>
        <v>166.67</v>
      </c>
      <c r="J69" s="87">
        <f t="shared" ca="1" si="29"/>
        <v>18.793288888888831</v>
      </c>
      <c r="K69" s="87">
        <f t="shared" ca="1" si="30"/>
        <v>0</v>
      </c>
      <c r="L69" s="87">
        <f t="shared" ca="1" si="31"/>
        <v>185.46328888888883</v>
      </c>
      <c r="M69" s="2">
        <v>45</v>
      </c>
      <c r="N69" s="2">
        <f t="shared" ca="1" si="39"/>
        <v>1</v>
      </c>
      <c r="O69" s="2">
        <f t="shared" ca="1" si="46"/>
        <v>20</v>
      </c>
      <c r="P69" s="134">
        <f t="shared" ca="1" si="5"/>
        <v>16.450250000000068</v>
      </c>
      <c r="Q69" s="134">
        <f t="shared" ca="1" si="6"/>
        <v>16.450250000000068</v>
      </c>
      <c r="R69" s="134">
        <f t="shared" ca="1" si="47"/>
        <v>583.48000000000275</v>
      </c>
      <c r="S69" s="134">
        <f t="shared" ca="1" si="22"/>
        <v>145.83000000000001</v>
      </c>
      <c r="T69" s="134">
        <f t="shared" ca="1" si="23"/>
        <v>145.83000000000001</v>
      </c>
      <c r="U69" s="134">
        <f t="shared" ca="1" si="33"/>
        <v>16.450250000000068</v>
      </c>
      <c r="V69" s="134">
        <f t="shared" ca="1" si="34"/>
        <v>16.450250000000068</v>
      </c>
      <c r="W69" s="134">
        <f t="shared" ca="1" si="35"/>
        <v>169.16666666666666</v>
      </c>
      <c r="X69" s="134">
        <f t="shared" ca="1" si="25"/>
        <v>170</v>
      </c>
      <c r="Y69" s="134">
        <f t="shared" ca="1" si="7"/>
        <v>666.53999999999758</v>
      </c>
      <c r="Z69" s="134">
        <f t="shared" ca="1" si="36"/>
        <v>18.793288888888831</v>
      </c>
      <c r="AA69" s="134">
        <f t="shared" ca="1" si="8"/>
        <v>18.793288888888831</v>
      </c>
      <c r="AB69" s="134">
        <f t="shared" ca="1" si="48"/>
        <v>20421.000000000084</v>
      </c>
      <c r="AC69" s="134">
        <f t="shared" ca="1" si="1"/>
        <v>0</v>
      </c>
      <c r="AD69" s="134">
        <f t="shared" ca="1" si="38"/>
        <v>0</v>
      </c>
      <c r="AE69" s="134">
        <f t="shared" ca="1" si="32"/>
        <v>0</v>
      </c>
      <c r="AF69" s="134">
        <f t="shared" ca="1" si="9"/>
        <v>0</v>
      </c>
      <c r="AG69" s="134">
        <f t="shared" ca="1" si="26"/>
        <v>0</v>
      </c>
      <c r="AH69" s="134">
        <f t="shared" ca="1" si="10"/>
        <v>0</v>
      </c>
      <c r="AI69" s="134">
        <f t="shared" ca="1" si="49"/>
        <v>583.48000000000275</v>
      </c>
      <c r="AJ69" s="134">
        <f t="shared" ca="1" si="44"/>
        <v>0</v>
      </c>
      <c r="AK69" s="134">
        <f t="shared" ca="1" si="50"/>
        <v>0</v>
      </c>
      <c r="AL69" s="132">
        <f t="shared" ca="1" si="12"/>
        <v>10</v>
      </c>
      <c r="AM69" s="132">
        <f t="shared" ca="1" si="13"/>
        <v>10</v>
      </c>
      <c r="AN69" s="2">
        <f t="shared" ca="1" si="14"/>
        <v>2027</v>
      </c>
      <c r="AO69" s="2">
        <f t="shared" ca="1" si="2"/>
        <v>2027</v>
      </c>
      <c r="AP69" s="2">
        <f t="shared" ca="1" si="15"/>
        <v>0</v>
      </c>
      <c r="AQ69" s="2">
        <f t="shared" ca="1" si="16"/>
        <v>30</v>
      </c>
      <c r="AR69" s="2">
        <f t="shared" si="17"/>
        <v>20</v>
      </c>
      <c r="AS69" s="2">
        <f t="shared" ca="1" si="27"/>
        <v>30</v>
      </c>
      <c r="AT69" s="21"/>
      <c r="AU69" s="21"/>
      <c r="AV69" s="21"/>
      <c r="AW69" s="21"/>
      <c r="AX69" s="21"/>
      <c r="AY69" s="2">
        <f t="shared" ca="1" si="18"/>
        <v>1</v>
      </c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52"/>
      <c r="BL69" s="52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40"/>
        <v>46711</v>
      </c>
      <c r="C70" s="401"/>
      <c r="D70" s="269">
        <f ca="1">IF(N70=0,IF(N69=1,SUM(D$25:E69)," "),IF(N70=0," ",IF(N71=1,D$25,IF(N71=0,D$10-D$25*(M$14-1)," "))))</f>
        <v>145.83000000000001</v>
      </c>
      <c r="E70" s="269"/>
      <c r="F70" s="87">
        <f ca="1">IF(N70=0,IF(N69=1,SUM(F$25:F69)," "),IF(M$1=1,P70,IF(M$1=2,Q70," ")))</f>
        <v>12.926025000000065</v>
      </c>
      <c r="G70" s="87">
        <f ca="1">IF(N70=0,IF(N69=1,SUM(G$25:G69)," "),IF(M$1=1,AC70,IF(M$1=2,AD70," ")))</f>
        <v>0</v>
      </c>
      <c r="H70" s="87">
        <f t="shared" ca="1" si="4"/>
        <v>158.75602500000008</v>
      </c>
      <c r="I70" s="87">
        <f t="shared" ca="1" si="28"/>
        <v>166.67</v>
      </c>
      <c r="J70" s="87">
        <f t="shared" ca="1" si="29"/>
        <v>14.765430555555497</v>
      </c>
      <c r="K70" s="87">
        <f t="shared" ca="1" si="30"/>
        <v>0</v>
      </c>
      <c r="L70" s="87">
        <f t="shared" ca="1" si="31"/>
        <v>181.43543055555548</v>
      </c>
      <c r="M70" s="2">
        <v>46</v>
      </c>
      <c r="N70" s="2">
        <f t="shared" ca="1" si="39"/>
        <v>1</v>
      </c>
      <c r="O70" s="2">
        <f t="shared" ca="1" si="46"/>
        <v>20</v>
      </c>
      <c r="P70" s="134">
        <f t="shared" ca="1" si="5"/>
        <v>12.926025000000065</v>
      </c>
      <c r="Q70" s="134">
        <f t="shared" ca="1" si="6"/>
        <v>12.926025000000065</v>
      </c>
      <c r="R70" s="134">
        <f t="shared" ca="1" si="47"/>
        <v>437.65000000000271</v>
      </c>
      <c r="S70" s="134">
        <f t="shared" ca="1" si="22"/>
        <v>145.83000000000001</v>
      </c>
      <c r="T70" s="134">
        <f t="shared" ca="1" si="23"/>
        <v>145.83000000000001</v>
      </c>
      <c r="U70" s="134">
        <f t="shared" ca="1" si="33"/>
        <v>12.926025000000065</v>
      </c>
      <c r="V70" s="134">
        <f t="shared" ca="1" si="34"/>
        <v>12.926025000000065</v>
      </c>
      <c r="W70" s="134">
        <f t="shared" ca="1" si="35"/>
        <v>169.16666666666666</v>
      </c>
      <c r="X70" s="134">
        <f t="shared" ca="1" si="25"/>
        <v>170</v>
      </c>
      <c r="Y70" s="134">
        <f t="shared" ca="1" si="7"/>
        <v>499.86999999999762</v>
      </c>
      <c r="Z70" s="134">
        <f t="shared" ca="1" si="36"/>
        <v>14.765430555555497</v>
      </c>
      <c r="AA70" s="134">
        <f t="shared" ca="1" si="8"/>
        <v>14.765430555555497</v>
      </c>
      <c r="AB70" s="134">
        <f t="shared" ca="1" si="48"/>
        <v>16046.100000000082</v>
      </c>
      <c r="AC70" s="134">
        <f t="shared" ca="1" si="1"/>
        <v>0</v>
      </c>
      <c r="AD70" s="134">
        <f t="shared" ca="1" si="38"/>
        <v>0</v>
      </c>
      <c r="AE70" s="134">
        <f t="shared" ca="1" si="32"/>
        <v>0</v>
      </c>
      <c r="AF70" s="134">
        <f t="shared" ca="1" si="9"/>
        <v>0</v>
      </c>
      <c r="AG70" s="134">
        <f t="shared" ca="1" si="26"/>
        <v>0</v>
      </c>
      <c r="AH70" s="134">
        <f t="shared" ca="1" si="10"/>
        <v>0</v>
      </c>
      <c r="AI70" s="134">
        <f t="shared" ca="1" si="49"/>
        <v>437.65000000000271</v>
      </c>
      <c r="AJ70" s="134">
        <f t="shared" ca="1" si="44"/>
        <v>0</v>
      </c>
      <c r="AK70" s="134">
        <f t="shared" ca="1" si="50"/>
        <v>0</v>
      </c>
      <c r="AL70" s="132">
        <f t="shared" ca="1" si="12"/>
        <v>11</v>
      </c>
      <c r="AM70" s="132">
        <f t="shared" ca="1" si="13"/>
        <v>11</v>
      </c>
      <c r="AN70" s="2">
        <f t="shared" ca="1" si="14"/>
        <v>2027</v>
      </c>
      <c r="AO70" s="2">
        <f t="shared" ca="1" si="2"/>
        <v>2027</v>
      </c>
      <c r="AP70" s="2">
        <f t="shared" ca="1" si="15"/>
        <v>0</v>
      </c>
      <c r="AQ70" s="2">
        <f t="shared" ca="1" si="16"/>
        <v>30</v>
      </c>
      <c r="AR70" s="2">
        <f t="shared" si="17"/>
        <v>20</v>
      </c>
      <c r="AS70" s="2">
        <f t="shared" ca="1" si="27"/>
        <v>30</v>
      </c>
      <c r="AT70" s="21"/>
      <c r="AU70" s="21"/>
      <c r="AV70" s="21"/>
      <c r="AW70" s="21"/>
      <c r="AX70" s="21"/>
      <c r="AY70" s="2">
        <f t="shared" ca="1" si="18"/>
        <v>1</v>
      </c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52"/>
      <c r="BL70" s="52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40"/>
        <v>46741</v>
      </c>
      <c r="C71" s="401"/>
      <c r="D71" s="269">
        <f ca="1">IF(N71=0,IF(N70=1,SUM(D$25:E70)," "),IF(N71=0," ",IF(N72=1,D$25,IF(N72=0,D$10-D$25*(M$14-1)," "))))</f>
        <v>145.83000000000001</v>
      </c>
      <c r="E71" s="269"/>
      <c r="F71" s="87">
        <f ca="1">IF(N71=0,IF(N70=1,SUM(F$25:F70)," "),IF(M$1=1,P71,IF(M$1=2,Q71," ")))</f>
        <v>9.4018000000000654</v>
      </c>
      <c r="G71" s="87">
        <f ca="1">IF(N71=0,IF(N70=1,SUM(G$25:G70)," "),IF(M$1=1,AC71,IF(M$1=2,AD71," ")))</f>
        <v>0</v>
      </c>
      <c r="H71" s="87">
        <f t="shared" ca="1" si="4"/>
        <v>155.23180000000008</v>
      </c>
      <c r="I71" s="87">
        <f t="shared" ca="1" si="28"/>
        <v>166.67</v>
      </c>
      <c r="J71" s="87">
        <f t="shared" ca="1" si="29"/>
        <v>10.737572222222163</v>
      </c>
      <c r="K71" s="87">
        <f t="shared" ca="1" si="30"/>
        <v>0</v>
      </c>
      <c r="L71" s="87">
        <f t="shared" ca="1" si="31"/>
        <v>177.40757222222214</v>
      </c>
      <c r="M71" s="2">
        <v>47</v>
      </c>
      <c r="N71" s="2">
        <f t="shared" ca="1" si="39"/>
        <v>1</v>
      </c>
      <c r="O71" s="2">
        <f t="shared" ca="1" si="46"/>
        <v>20</v>
      </c>
      <c r="P71" s="134">
        <f t="shared" ca="1" si="5"/>
        <v>9.4018000000000654</v>
      </c>
      <c r="Q71" s="134">
        <f t="shared" ca="1" si="6"/>
        <v>9.4018000000000654</v>
      </c>
      <c r="R71" s="134">
        <f t="shared" ca="1" si="47"/>
        <v>291.82000000000266</v>
      </c>
      <c r="S71" s="134">
        <f t="shared" ca="1" si="22"/>
        <v>145.83000000000001</v>
      </c>
      <c r="T71" s="134">
        <f t="shared" ca="1" si="23"/>
        <v>145.83000000000001</v>
      </c>
      <c r="U71" s="134">
        <f t="shared" ca="1" si="33"/>
        <v>9.4018000000000654</v>
      </c>
      <c r="V71" s="134">
        <f t="shared" ca="1" si="34"/>
        <v>9.4018000000000654</v>
      </c>
      <c r="W71" s="134">
        <f t="shared" ca="1" si="35"/>
        <v>169.16666666666666</v>
      </c>
      <c r="X71" s="134">
        <f t="shared" ca="1" si="25"/>
        <v>170</v>
      </c>
      <c r="Y71" s="134">
        <f t="shared" ca="1" si="7"/>
        <v>333.19999999999766</v>
      </c>
      <c r="Z71" s="134">
        <f t="shared" ca="1" si="36"/>
        <v>10.737572222222163</v>
      </c>
      <c r="AA71" s="134">
        <f t="shared" ca="1" si="8"/>
        <v>10.737572222222163</v>
      </c>
      <c r="AB71" s="134">
        <f t="shared" ca="1" si="48"/>
        <v>11671.200000000081</v>
      </c>
      <c r="AC71" s="134">
        <f t="shared" ca="1" si="1"/>
        <v>0</v>
      </c>
      <c r="AD71" s="134">
        <f t="shared" ca="1" si="38"/>
        <v>0</v>
      </c>
      <c r="AE71" s="134">
        <f t="shared" ca="1" si="32"/>
        <v>0</v>
      </c>
      <c r="AF71" s="134">
        <f t="shared" ca="1" si="9"/>
        <v>0</v>
      </c>
      <c r="AG71" s="134">
        <f t="shared" ca="1" si="26"/>
        <v>0</v>
      </c>
      <c r="AH71" s="134">
        <f t="shared" ca="1" si="10"/>
        <v>0</v>
      </c>
      <c r="AI71" s="134">
        <f t="shared" ca="1" si="49"/>
        <v>291.82000000000266</v>
      </c>
      <c r="AJ71" s="134">
        <f t="shared" ca="1" si="44"/>
        <v>0</v>
      </c>
      <c r="AK71" s="134">
        <f t="shared" ca="1" si="50"/>
        <v>0</v>
      </c>
      <c r="AL71" s="132">
        <f t="shared" ca="1" si="12"/>
        <v>12</v>
      </c>
      <c r="AM71" s="132">
        <f t="shared" ca="1" si="13"/>
        <v>12</v>
      </c>
      <c r="AN71" s="2">
        <f t="shared" ca="1" si="14"/>
        <v>2027</v>
      </c>
      <c r="AO71" s="2">
        <f t="shared" ca="1" si="2"/>
        <v>2027</v>
      </c>
      <c r="AP71" s="2">
        <f t="shared" ca="1" si="15"/>
        <v>0</v>
      </c>
      <c r="AQ71" s="2">
        <f t="shared" ca="1" si="16"/>
        <v>30</v>
      </c>
      <c r="AR71" s="2">
        <f t="shared" si="17"/>
        <v>20</v>
      </c>
      <c r="AS71" s="2">
        <f t="shared" ca="1" si="27"/>
        <v>30</v>
      </c>
      <c r="AT71" s="21"/>
      <c r="AU71" s="21"/>
      <c r="AV71" s="21"/>
      <c r="AW71" s="21"/>
      <c r="AX71" s="21"/>
      <c r="AY71" s="2">
        <f t="shared" ca="1" si="18"/>
        <v>1</v>
      </c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52"/>
      <c r="BL71" s="52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40"/>
        <v>46754</v>
      </c>
      <c r="C72" s="401"/>
      <c r="D72" s="269">
        <f ca="1">IF(N72=0,IF(N71=1,SUM(D$25:E71)," "),IF(N72=0," ",IF(N73=1,D$25,IF(N73=0,D$10-D$25*(M$14-1)," "))))</f>
        <v>145.98999999999978</v>
      </c>
      <c r="E72" s="269"/>
      <c r="F72" s="87">
        <f ca="1">IF(N72=0,IF(N71=1,SUM(F$25:F71)," "),IF(M$1=1,P72,IF(M$1=2,Q72," ")))</f>
        <v>6.1127811111111807</v>
      </c>
      <c r="G72" s="87">
        <f ca="1">IF(N72=0,IF(N71=1,SUM(G$25:G71)," "),IF(M$1=1,AC72,IF(M$1=2,AD72," ")))</f>
        <v>0</v>
      </c>
      <c r="H72" s="87">
        <f t="shared" ca="1" si="4"/>
        <v>152.10278111111097</v>
      </c>
      <c r="I72" s="87">
        <f t="shared" ca="1" si="28"/>
        <v>166.53000000000057</v>
      </c>
      <c r="J72" s="87">
        <f t="shared" ca="1" si="29"/>
        <v>2.9535372222222178</v>
      </c>
      <c r="K72" s="87">
        <f t="shared" ca="1" si="30"/>
        <v>0</v>
      </c>
      <c r="L72" s="87">
        <f t="shared" ca="1" si="31"/>
        <v>169.48353722222279</v>
      </c>
      <c r="M72" s="2">
        <v>48</v>
      </c>
      <c r="N72" s="2">
        <f t="shared" ca="1" si="39"/>
        <v>1</v>
      </c>
      <c r="O72" s="2">
        <f t="shared" ca="1" si="46"/>
        <v>2</v>
      </c>
      <c r="P72" s="134">
        <f t="shared" ca="1" si="5"/>
        <v>6.1127811111111807</v>
      </c>
      <c r="Q72" s="134">
        <f t="shared" ca="1" si="6"/>
        <v>6.1127811111111807</v>
      </c>
      <c r="R72" s="134">
        <f t="shared" ca="1" si="47"/>
        <v>145.99000000000265</v>
      </c>
      <c r="S72" s="134">
        <f t="shared" ca="1" si="22"/>
        <v>145.98999999999978</v>
      </c>
      <c r="T72" s="134">
        <f t="shared" ca="1" si="23"/>
        <v>145.98999999999978</v>
      </c>
      <c r="U72" s="134">
        <f ca="1">IF(N73=1,R71*D11*20/36000+R72*D11*10/36000,IF(N73=0,IF(N72=0,0,R72*D11*Q12/36000+R71*D11*20/36000+R72*D11*10/36000)))</f>
        <v>6.1127811111111807</v>
      </c>
      <c r="V72" s="134">
        <f ca="1">IF(N73=1,R71*D11*20/36000+R72*D11*10/36000,IF(N73=0,IF(N72=0,0,R72*D11*Q12/36000+R71*D11*20/36000+R72*D11*10/36000)))</f>
        <v>6.1127811111111807</v>
      </c>
      <c r="W72" s="134">
        <f t="shared" ca="1" si="35"/>
        <v>180.44444444444443</v>
      </c>
      <c r="X72" s="134">
        <f t="shared" ca="1" si="25"/>
        <v>180</v>
      </c>
      <c r="Y72" s="134">
        <f t="shared" ca="1" si="7"/>
        <v>166.52999999999767</v>
      </c>
      <c r="Z72" s="134">
        <f t="shared" ca="1" si="36"/>
        <v>2.9535372222222178</v>
      </c>
      <c r="AA72" s="134">
        <f t="shared" ca="1" si="8"/>
        <v>2.9535372222222178</v>
      </c>
      <c r="AB72" s="134">
        <f t="shared" ca="1" si="48"/>
        <v>291.9800000000053</v>
      </c>
      <c r="AC72" s="134">
        <f t="shared" ca="1" si="1"/>
        <v>0</v>
      </c>
      <c r="AD72" s="134">
        <f t="shared" ca="1" si="38"/>
        <v>0</v>
      </c>
      <c r="AE72" s="134">
        <f t="shared" ca="1" si="32"/>
        <v>0</v>
      </c>
      <c r="AF72" s="134">
        <f t="shared" ca="1" si="9"/>
        <v>0</v>
      </c>
      <c r="AG72" s="134">
        <f t="shared" ca="1" si="26"/>
        <v>0</v>
      </c>
      <c r="AH72" s="134">
        <f t="shared" ca="1" si="10"/>
        <v>0</v>
      </c>
      <c r="AI72" s="134">
        <f t="shared" ca="1" si="49"/>
        <v>145.99000000000265</v>
      </c>
      <c r="AJ72" s="134">
        <f t="shared" ca="1" si="44"/>
        <v>0</v>
      </c>
      <c r="AK72" s="134">
        <f t="shared" ca="1" si="50"/>
        <v>0</v>
      </c>
      <c r="AL72" s="132">
        <f t="shared" ca="1" si="12"/>
        <v>13</v>
      </c>
      <c r="AM72" s="132">
        <f t="shared" ca="1" si="13"/>
        <v>1</v>
      </c>
      <c r="AN72" s="2">
        <f t="shared" ca="1" si="14"/>
        <v>2027</v>
      </c>
      <c r="AO72" s="2">
        <f t="shared" ca="1" si="2"/>
        <v>2028</v>
      </c>
      <c r="AP72" s="2">
        <f t="shared" ca="1" si="15"/>
        <v>0</v>
      </c>
      <c r="AQ72" s="2">
        <f t="shared" ca="1" si="16"/>
        <v>30</v>
      </c>
      <c r="AR72" s="2">
        <f t="shared" si="17"/>
        <v>20</v>
      </c>
      <c r="AS72" s="2">
        <f t="shared" ca="1" si="27"/>
        <v>30</v>
      </c>
      <c r="AT72" s="21"/>
      <c r="AU72" s="21"/>
      <c r="AV72" s="21"/>
      <c r="AW72" s="21"/>
      <c r="AX72" s="21"/>
      <c r="AY72" s="2">
        <f t="shared" ca="1" si="18"/>
        <v>1</v>
      </c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52"/>
      <c r="BL72" s="52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ca="1">IF(N73=0,IF(N72=1,"ИТОГО"," "),IF(M73=M$14,DATE(YEAR(B72),MONTH(B72),O73),DATE(YEAR(B72),MONTH(B72)+1,O73)))</f>
        <v>ИТОГО</v>
      </c>
      <c r="C73" s="401"/>
      <c r="D73" s="269">
        <f ca="1">IF(N73=0,IF(N72=1,SUM(D$25:E72)," "),IF(N73=0," ",IF(N74=1,D$25,IF(N74=0,D$10-D$25*(M$14-1)," "))))</f>
        <v>6999.9999999999973</v>
      </c>
      <c r="E73" s="269"/>
      <c r="F73" s="87">
        <f ca="1">IF(N73=0,IF(N72=1,SUM(F$25:F72)," "),IF(M$1=1,P73,IF(M$1=2,Q73," ")))</f>
        <v>4238.4184561111115</v>
      </c>
      <c r="G73" s="87">
        <f ca="1">IF(N73=0,IF(N72=1,SUM(G$25:G72)," "),IF(M$1=1,AC73,IF(M$1=2,AD73," ")))</f>
        <v>0</v>
      </c>
      <c r="H73" s="87">
        <f t="shared" ca="1" si="4"/>
        <v>11238.418456111109</v>
      </c>
      <c r="I73" s="87">
        <f t="shared" ca="1" si="28"/>
        <v>0</v>
      </c>
      <c r="J73" s="87">
        <f t="shared" ca="1" si="29"/>
        <v>0</v>
      </c>
      <c r="K73" s="87">
        <f t="shared" ca="1" si="30"/>
        <v>0</v>
      </c>
      <c r="L73" s="87" t="str">
        <f t="shared" ca="1" si="31"/>
        <v xml:space="preserve"> </v>
      </c>
      <c r="M73" s="2">
        <v>49</v>
      </c>
      <c r="N73" s="2">
        <f t="shared" ca="1" si="39"/>
        <v>0</v>
      </c>
      <c r="O73" s="2">
        <f ca="1">IF(M73=A$14,IF(MONTH(B72)=-2,AS73,DATE(YEAR(0),MONTH(0),DAY(D$16)-1)),AR73)</f>
        <v>20</v>
      </c>
      <c r="P73" s="134">
        <f t="shared" ca="1" si="5"/>
        <v>0</v>
      </c>
      <c r="Q73" s="134">
        <f t="shared" ca="1" si="6"/>
        <v>0</v>
      </c>
      <c r="R73" s="134">
        <f ca="1">IF(N73=0,0,R72-D72)</f>
        <v>0</v>
      </c>
      <c r="S73" s="134">
        <f t="shared" ca="1" si="22"/>
        <v>6999.9999999999973</v>
      </c>
      <c r="T73" s="134">
        <f t="shared" ca="1" si="23"/>
        <v>6999.9999999999973</v>
      </c>
      <c r="U73" s="134">
        <f t="shared" ca="1" si="33"/>
        <v>0</v>
      </c>
      <c r="V73" s="134">
        <f t="shared" ca="1" si="34"/>
        <v>0</v>
      </c>
      <c r="W73" s="134">
        <f t="shared" ca="1" si="35"/>
        <v>0</v>
      </c>
      <c r="X73" s="134">
        <f t="shared" ca="1" si="25"/>
        <v>0</v>
      </c>
      <c r="Y73" s="134">
        <f t="shared" ca="1" si="7"/>
        <v>-2.8990143619012088E-12</v>
      </c>
      <c r="Z73" s="134">
        <f t="shared" ca="1" si="36"/>
        <v>0</v>
      </c>
      <c r="AA73" s="134">
        <f t="shared" ca="1" si="8"/>
        <v>0</v>
      </c>
      <c r="AB73" s="134">
        <f ca="1">IF(R74=0,R73*Q$12,(R72*20+R73*10))</f>
        <v>0</v>
      </c>
      <c r="AC73" s="134">
        <f t="shared" ca="1" si="1"/>
        <v>0</v>
      </c>
      <c r="AD73" s="134">
        <f t="shared" ca="1" si="38"/>
        <v>0</v>
      </c>
      <c r="AE73" s="134">
        <f t="shared" ca="1" si="32"/>
        <v>0</v>
      </c>
      <c r="AF73" s="134">
        <f t="shared" ca="1" si="9"/>
        <v>0</v>
      </c>
      <c r="AG73" s="134">
        <f t="shared" ca="1" si="26"/>
        <v>0</v>
      </c>
      <c r="AH73" s="134">
        <f t="shared" ca="1" si="10"/>
        <v>0</v>
      </c>
      <c r="AI73" s="134">
        <f ca="1">R73</f>
        <v>0</v>
      </c>
      <c r="AJ73" s="134">
        <f ca="1">IF(N74=1,AI72*G$12*20/36000+AI73*G$12*10/36000,IF(N74=0,IF(N73=0,0,AI73*G$12*Q$12/36000)))</f>
        <v>0</v>
      </c>
      <c r="AK73" s="134">
        <f ca="1">IF(N74=1,AI72*G$12*20/36000+AI73*G$12*10/36000,IF(N74=0,IF(N73=0,0,AI73*G$12*Q$12/36000)))</f>
        <v>0</v>
      </c>
      <c r="AL73" s="132">
        <f t="shared" ca="1" si="12"/>
        <v>0</v>
      </c>
      <c r="AM73" s="132">
        <f t="shared" ca="1" si="13"/>
        <v>0</v>
      </c>
      <c r="AN73" s="2">
        <f t="shared" ca="1" si="14"/>
        <v>0</v>
      </c>
      <c r="AO73" s="2">
        <f t="shared" ca="1" si="2"/>
        <v>0</v>
      </c>
      <c r="AP73" s="2">
        <f ca="1">IF((AN73/2012)=1,1,IF((AN73/2016)=1,1,IF((AN73/2020)=1,1,IF((AN73/2024)=1,1,IF((AN73/2028)=1,1,IF((AN73/2032)=1,1,0))))))</f>
        <v>0</v>
      </c>
      <c r="AQ73" s="2">
        <f ca="1">IF(AM73=2,IF(AP73=1,29,28),30)</f>
        <v>30</v>
      </c>
      <c r="AR73" s="2">
        <f t="shared" si="17"/>
        <v>20</v>
      </c>
      <c r="AS73" s="2">
        <f t="shared" ca="1" si="27"/>
        <v>30</v>
      </c>
      <c r="AT73" s="21"/>
      <c r="AU73" s="21"/>
      <c r="AV73" s="21"/>
      <c r="AW73" s="21"/>
      <c r="AX73" s="21"/>
      <c r="AY73" s="2">
        <f t="shared" ca="1" si="18"/>
        <v>0</v>
      </c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52"/>
      <c r="BL73" s="52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ref="B74:B82" ca="1" si="51">IF(N74=0,IF(N73=1,"ИТОГО"," "),DATE(YEAR(B73),MONTH(B73)+1,O74))</f>
        <v xml:space="preserve"> </v>
      </c>
      <c r="C74" s="401"/>
      <c r="D74" s="269" t="str">
        <f ca="1">IF(N74=0,IF(N73=1,SUM(D$25:E73)," "),IF(N74=0," ",IF(N75=1,D$25,IF(N75=0,D$10-D$25*(M$14-1)," "))))</f>
        <v xml:space="preserve"> </v>
      </c>
      <c r="E74" s="269"/>
      <c r="F74" s="87" t="str">
        <f ca="1">IF(N74=0,IF(N73=1,SUM(F$25:F73)," "),IF(M$1=1,P74,IF(M$1=2,Q74," ")))</f>
        <v xml:space="preserve"> </v>
      </c>
      <c r="G74" s="87" t="str">
        <f ca="1">IF(N74=0,IF(N73=1,SUM(G$25:G73)," "),IF(M$1=1,AC74,IF(M$1=2,AD74," ")))</f>
        <v xml:space="preserve"> </v>
      </c>
      <c r="H74" s="87" t="str">
        <f t="shared" ca="1" si="4"/>
        <v xml:space="preserve"> </v>
      </c>
      <c r="I74" s="87">
        <f t="shared" ca="1" si="28"/>
        <v>0</v>
      </c>
      <c r="J74" s="87">
        <f t="shared" ca="1" si="29"/>
        <v>0</v>
      </c>
      <c r="K74" s="87">
        <f t="shared" ca="1" si="30"/>
        <v>0</v>
      </c>
      <c r="L74" s="87" t="str">
        <f t="shared" ca="1" si="31"/>
        <v xml:space="preserve"> </v>
      </c>
      <c r="M74" s="2">
        <v>50</v>
      </c>
      <c r="N74" s="2">
        <f t="shared" ca="1" si="39"/>
        <v>0</v>
      </c>
      <c r="O74" s="2">
        <f ca="1">IF(M74=A$14,IF(DATE(YEAR(0),MONTH(0),DAY(D$16)-1)&lt;AR74,DATE(YEAR(0),MONTH(0),DAY(D$16)-1),AR74),AR74)</f>
        <v>20</v>
      </c>
      <c r="P74" s="134">
        <f t="shared" ca="1" si="5"/>
        <v>0</v>
      </c>
      <c r="Q74" s="134">
        <f t="shared" ca="1" si="6"/>
        <v>0</v>
      </c>
      <c r="R74" s="134">
        <f t="shared" ref="R74:R85" ca="1" si="52">IF(N74=0,0,R73-D73)</f>
        <v>0</v>
      </c>
      <c r="S74" s="134" t="str">
        <f t="shared" ca="1" si="22"/>
        <v xml:space="preserve"> </v>
      </c>
      <c r="T74" s="134" t="str">
        <f t="shared" ca="1" si="23"/>
        <v xml:space="preserve"> </v>
      </c>
      <c r="U74" s="134">
        <f t="shared" ca="1" si="33"/>
        <v>0</v>
      </c>
      <c r="V74" s="134">
        <f t="shared" ca="1" si="34"/>
        <v>0</v>
      </c>
      <c r="W74" s="134">
        <f t="shared" ca="1" si="35"/>
        <v>0</v>
      </c>
      <c r="X74" s="134">
        <f t="shared" ca="1" si="25"/>
        <v>0</v>
      </c>
      <c r="Y74" s="134">
        <f t="shared" ca="1" si="7"/>
        <v>-2.8990143619012088E-12</v>
      </c>
      <c r="Z74" s="134">
        <f t="shared" ca="1" si="36"/>
        <v>0</v>
      </c>
      <c r="AA74" s="134">
        <f t="shared" ca="1" si="8"/>
        <v>0</v>
      </c>
      <c r="AB74" s="134">
        <f t="shared" ref="AB74:AB84" ca="1" si="53">IF(R75=0,R74*Q$12,(R73*20+R74*10))</f>
        <v>0</v>
      </c>
      <c r="AC74" s="134">
        <f t="shared" ca="1" si="1"/>
        <v>0</v>
      </c>
      <c r="AD74" s="134">
        <f t="shared" ca="1" si="38"/>
        <v>0</v>
      </c>
      <c r="AE74" s="134">
        <f t="shared" ca="1" si="32"/>
        <v>0</v>
      </c>
      <c r="AF74" s="134">
        <f t="shared" ca="1" si="9"/>
        <v>0</v>
      </c>
      <c r="AG74" s="134">
        <f t="shared" ca="1" si="26"/>
        <v>0</v>
      </c>
      <c r="AH74" s="134">
        <f t="shared" ca="1" si="10"/>
        <v>0</v>
      </c>
      <c r="AI74" s="134">
        <f t="shared" ref="AI74:AI84" ca="1" si="54">R74</f>
        <v>0</v>
      </c>
      <c r="AJ74" s="134">
        <f t="shared" ref="AJ74:AJ84" ca="1" si="55">IF(N75=1,AI73*G$12*20/36000+AI74*G$12*10/36000,IF(N75=0,IF(N74=0,0,AI74*G$12*Q$12/36000+AI73*G$12*20/36000+AI74*G$12*10/36000)))</f>
        <v>0</v>
      </c>
      <c r="AK74" s="134">
        <f t="shared" ref="AK74:AK84" ca="1" si="56">IF(N75=1,AI73*G$12*20/36000+AI74*G$12*10/36000,IF(N75=0,IF(N74=0,0,AI74*G$12*Q$12/36000+AI73*G$12*20/36000+AI74*G$12*10/36000)))</f>
        <v>0</v>
      </c>
      <c r="AL74" s="132">
        <f t="shared" ca="1" si="12"/>
        <v>0</v>
      </c>
      <c r="AM74" s="132">
        <f t="shared" ca="1" si="13"/>
        <v>0</v>
      </c>
      <c r="AN74" s="2">
        <f t="shared" ca="1" si="14"/>
        <v>0</v>
      </c>
      <c r="AO74" s="2">
        <f t="shared" ca="1" si="2"/>
        <v>0</v>
      </c>
      <c r="AP74" s="2">
        <f t="shared" ref="AP74:AP85" ca="1" si="57">IF((AN74/2012)=1,1,IF((AN74/2016)=1,1,IF((AN74/2020)=1,1,IF((AN74/2024)=1,1,IF((AN74/2028)=1,1,IF((AN74/2032)=1,1,0))))))</f>
        <v>0</v>
      </c>
      <c r="AQ74" s="2">
        <f t="shared" ref="AQ74:AQ85" ca="1" si="58">IF(AM74=2,IF(AP74=1,29,28),30)</f>
        <v>30</v>
      </c>
      <c r="AR74" s="2">
        <f t="shared" si="17"/>
        <v>20</v>
      </c>
      <c r="AS74" s="2">
        <f t="shared" ca="1" si="27"/>
        <v>30</v>
      </c>
      <c r="AT74" s="21"/>
      <c r="AU74" s="21"/>
      <c r="AV74" s="21"/>
      <c r="AW74" s="21"/>
      <c r="AX74" s="21"/>
      <c r="AY74" s="2">
        <f t="shared" ca="1" si="18"/>
        <v>0</v>
      </c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52"/>
      <c r="BL74" s="52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1"/>
        <v xml:space="preserve"> </v>
      </c>
      <c r="C75" s="401"/>
      <c r="D75" s="269" t="str">
        <f ca="1">IF(N75=0,IF(N74=1,SUM(D$25:E74)," "),IF(N75=0," ",IF(N76=1,D$25,IF(N76=0,D$10-D$25*(M$14-1)," "))))</f>
        <v xml:space="preserve"> </v>
      </c>
      <c r="E75" s="269"/>
      <c r="F75" s="87" t="str">
        <f ca="1">IF(N75=0,IF(N74=1,SUM(F$25:F74)," "),IF(M$1=1,P75,IF(M$1=2,Q75," ")))</f>
        <v xml:space="preserve"> </v>
      </c>
      <c r="G75" s="87" t="str">
        <f ca="1">IF(N75=0,IF(N74=1,SUM(G$25:G74)," "),IF(M$1=1,AC75,IF(M$1=2,AD75," ")))</f>
        <v xml:space="preserve"> </v>
      </c>
      <c r="H75" s="87" t="str">
        <f t="shared" ca="1" si="4"/>
        <v xml:space="preserve"> </v>
      </c>
      <c r="I75" s="87">
        <f t="shared" ca="1" si="28"/>
        <v>0</v>
      </c>
      <c r="J75" s="87">
        <f t="shared" ca="1" si="29"/>
        <v>0</v>
      </c>
      <c r="K75" s="87">
        <f t="shared" ca="1" si="30"/>
        <v>0</v>
      </c>
      <c r="L75" s="87" t="str">
        <f t="shared" ca="1" si="31"/>
        <v xml:space="preserve"> </v>
      </c>
      <c r="M75" s="2">
        <v>51</v>
      </c>
      <c r="N75" s="2">
        <f t="shared" ca="1" si="39"/>
        <v>0</v>
      </c>
      <c r="O75" s="2">
        <f t="shared" ca="1" si="46"/>
        <v>20</v>
      </c>
      <c r="P75" s="134">
        <f t="shared" ca="1" si="5"/>
        <v>0</v>
      </c>
      <c r="Q75" s="134">
        <f t="shared" ca="1" si="6"/>
        <v>0</v>
      </c>
      <c r="R75" s="134">
        <f t="shared" ca="1" si="52"/>
        <v>0</v>
      </c>
      <c r="S75" s="134" t="str">
        <f t="shared" ca="1" si="22"/>
        <v xml:space="preserve"> </v>
      </c>
      <c r="T75" s="134" t="str">
        <f t="shared" ca="1" si="23"/>
        <v xml:space="preserve"> </v>
      </c>
      <c r="U75" s="134">
        <f t="shared" ca="1" si="33"/>
        <v>0</v>
      </c>
      <c r="V75" s="134">
        <f t="shared" ca="1" si="34"/>
        <v>0</v>
      </c>
      <c r="W75" s="134">
        <f t="shared" ca="1" si="35"/>
        <v>0</v>
      </c>
      <c r="X75" s="134">
        <f t="shared" ca="1" si="25"/>
        <v>0</v>
      </c>
      <c r="Y75" s="134">
        <f t="shared" ca="1" si="7"/>
        <v>-2.8990143619012088E-12</v>
      </c>
      <c r="Z75" s="134">
        <f t="shared" ca="1" si="36"/>
        <v>0</v>
      </c>
      <c r="AA75" s="134">
        <f t="shared" ca="1" si="8"/>
        <v>0</v>
      </c>
      <c r="AB75" s="134">
        <f t="shared" ca="1" si="53"/>
        <v>0</v>
      </c>
      <c r="AC75" s="134">
        <f t="shared" ca="1" si="1"/>
        <v>0</v>
      </c>
      <c r="AD75" s="134">
        <f t="shared" ca="1" si="38"/>
        <v>0</v>
      </c>
      <c r="AE75" s="134">
        <f t="shared" ca="1" si="32"/>
        <v>0</v>
      </c>
      <c r="AF75" s="134">
        <f t="shared" ca="1" si="9"/>
        <v>0</v>
      </c>
      <c r="AG75" s="134">
        <f t="shared" ca="1" si="26"/>
        <v>0</v>
      </c>
      <c r="AH75" s="134">
        <f t="shared" ca="1" si="10"/>
        <v>0</v>
      </c>
      <c r="AI75" s="134">
        <f t="shared" ca="1" si="54"/>
        <v>0</v>
      </c>
      <c r="AJ75" s="134">
        <f t="shared" ca="1" si="55"/>
        <v>0</v>
      </c>
      <c r="AK75" s="134">
        <f t="shared" ca="1" si="56"/>
        <v>0</v>
      </c>
      <c r="AL75" s="132">
        <f t="shared" ca="1" si="12"/>
        <v>0</v>
      </c>
      <c r="AM75" s="132">
        <f t="shared" ca="1" si="13"/>
        <v>0</v>
      </c>
      <c r="AN75" s="2">
        <f t="shared" ca="1" si="14"/>
        <v>0</v>
      </c>
      <c r="AO75" s="2">
        <f t="shared" ca="1" si="2"/>
        <v>0</v>
      </c>
      <c r="AP75" s="2">
        <f t="shared" ca="1" si="57"/>
        <v>0</v>
      </c>
      <c r="AQ75" s="2">
        <f t="shared" ca="1" si="58"/>
        <v>30</v>
      </c>
      <c r="AR75" s="2">
        <f t="shared" si="17"/>
        <v>20</v>
      </c>
      <c r="AS75" s="2">
        <f t="shared" ca="1" si="27"/>
        <v>30</v>
      </c>
      <c r="AT75" s="21"/>
      <c r="AU75" s="21"/>
      <c r="AV75" s="21"/>
      <c r="AW75" s="21"/>
      <c r="AX75" s="21"/>
      <c r="AY75" s="2">
        <f t="shared" ca="1" si="18"/>
        <v>0</v>
      </c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52"/>
      <c r="BL75" s="52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1"/>
        <v xml:space="preserve"> </v>
      </c>
      <c r="C76" s="401"/>
      <c r="D76" s="269" t="str">
        <f ca="1">IF(N76=0,IF(N75=1,SUM(D$25:E75)," "),IF(N76=0," ",IF(N77=1,D$25,IF(N77=0,D$10-D$25*(M$14-1)," "))))</f>
        <v xml:space="preserve"> </v>
      </c>
      <c r="E76" s="269"/>
      <c r="F76" s="87" t="str">
        <f ca="1">IF(N76=0,IF(N75=1,SUM(F$25:F75)," "),IF(M$1=1,P76,IF(M$1=2,Q76," ")))</f>
        <v xml:space="preserve"> </v>
      </c>
      <c r="G76" s="87" t="str">
        <f ca="1">IF(N76=0,IF(N75=1,SUM(G$25:G75)," "),IF(M$1=1,AC76,IF(M$1=2,AD76," ")))</f>
        <v xml:space="preserve"> </v>
      </c>
      <c r="H76" s="87" t="str">
        <f t="shared" ca="1" si="4"/>
        <v xml:space="preserve"> </v>
      </c>
      <c r="I76" s="87">
        <f t="shared" ca="1" si="28"/>
        <v>0</v>
      </c>
      <c r="J76" s="87">
        <f t="shared" ca="1" si="29"/>
        <v>0</v>
      </c>
      <c r="K76" s="87">
        <f t="shared" ca="1" si="30"/>
        <v>0</v>
      </c>
      <c r="L76" s="87" t="str">
        <f t="shared" ca="1" si="31"/>
        <v xml:space="preserve"> </v>
      </c>
      <c r="M76" s="2">
        <v>52</v>
      </c>
      <c r="N76" s="2">
        <f t="shared" ca="1" si="39"/>
        <v>0</v>
      </c>
      <c r="O76" s="2">
        <f t="shared" ca="1" si="46"/>
        <v>20</v>
      </c>
      <c r="P76" s="134">
        <f t="shared" ca="1" si="5"/>
        <v>0</v>
      </c>
      <c r="Q76" s="134">
        <f t="shared" ca="1" si="6"/>
        <v>0</v>
      </c>
      <c r="R76" s="134">
        <f t="shared" ca="1" si="52"/>
        <v>0</v>
      </c>
      <c r="S76" s="134" t="str">
        <f t="shared" ca="1" si="22"/>
        <v xml:space="preserve"> </v>
      </c>
      <c r="T76" s="134" t="str">
        <f t="shared" ca="1" si="23"/>
        <v xml:space="preserve"> </v>
      </c>
      <c r="U76" s="134">
        <f t="shared" ca="1" si="33"/>
        <v>0</v>
      </c>
      <c r="V76" s="134">
        <f t="shared" ca="1" si="34"/>
        <v>0</v>
      </c>
      <c r="W76" s="134">
        <f t="shared" ca="1" si="35"/>
        <v>0</v>
      </c>
      <c r="X76" s="134">
        <f t="shared" ca="1" si="25"/>
        <v>0</v>
      </c>
      <c r="Y76" s="134">
        <f t="shared" ca="1" si="7"/>
        <v>-2.8990143619012088E-12</v>
      </c>
      <c r="Z76" s="134">
        <f t="shared" ca="1" si="36"/>
        <v>0</v>
      </c>
      <c r="AA76" s="134">
        <f t="shared" ca="1" si="8"/>
        <v>0</v>
      </c>
      <c r="AB76" s="134">
        <f t="shared" ca="1" si="53"/>
        <v>0</v>
      </c>
      <c r="AC76" s="134">
        <f t="shared" ca="1" si="1"/>
        <v>0</v>
      </c>
      <c r="AD76" s="134">
        <f t="shared" ca="1" si="38"/>
        <v>0</v>
      </c>
      <c r="AE76" s="134">
        <f t="shared" ca="1" si="32"/>
        <v>0</v>
      </c>
      <c r="AF76" s="134">
        <f t="shared" ca="1" si="9"/>
        <v>0</v>
      </c>
      <c r="AG76" s="134">
        <f t="shared" ca="1" si="26"/>
        <v>0</v>
      </c>
      <c r="AH76" s="134">
        <f t="shared" ca="1" si="10"/>
        <v>0</v>
      </c>
      <c r="AI76" s="134">
        <f t="shared" ca="1" si="54"/>
        <v>0</v>
      </c>
      <c r="AJ76" s="134">
        <f t="shared" ca="1" si="55"/>
        <v>0</v>
      </c>
      <c r="AK76" s="134">
        <f t="shared" ca="1" si="56"/>
        <v>0</v>
      </c>
      <c r="AL76" s="132">
        <f t="shared" ca="1" si="12"/>
        <v>0</v>
      </c>
      <c r="AM76" s="132">
        <f t="shared" ca="1" si="13"/>
        <v>0</v>
      </c>
      <c r="AN76" s="2">
        <f t="shared" ca="1" si="14"/>
        <v>0</v>
      </c>
      <c r="AO76" s="2">
        <f t="shared" ca="1" si="2"/>
        <v>0</v>
      </c>
      <c r="AP76" s="2">
        <f t="shared" ca="1" si="57"/>
        <v>0</v>
      </c>
      <c r="AQ76" s="2">
        <f t="shared" ca="1" si="58"/>
        <v>30</v>
      </c>
      <c r="AR76" s="2">
        <f t="shared" si="17"/>
        <v>20</v>
      </c>
      <c r="AS76" s="2">
        <f t="shared" ca="1" si="27"/>
        <v>30</v>
      </c>
      <c r="AT76" s="21"/>
      <c r="AU76" s="21"/>
      <c r="AV76" s="21"/>
      <c r="AW76" s="21"/>
      <c r="AX76" s="21"/>
      <c r="AY76" s="2">
        <f t="shared" ca="1" si="18"/>
        <v>0</v>
      </c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52"/>
      <c r="BL76" s="52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1"/>
        <v xml:space="preserve"> </v>
      </c>
      <c r="C77" s="401"/>
      <c r="D77" s="269" t="str">
        <f ca="1">IF(N77=0,IF(N76=1,SUM(D$25:E76)," "),IF(N77=0," ",IF(N78=1,D$25,IF(N78=0,D$10-D$25*(M$14-1)," "))))</f>
        <v xml:space="preserve"> </v>
      </c>
      <c r="E77" s="269"/>
      <c r="F77" s="87" t="str">
        <f ca="1">IF(N77=0,IF(N76=1,SUM(F$25:F76)," "),IF(M$1=1,P77,IF(M$1=2,Q77," ")))</f>
        <v xml:space="preserve"> </v>
      </c>
      <c r="G77" s="87" t="str">
        <f ca="1">IF(N77=0,IF(N76=1,SUM(G$25:G76)," "),IF(M$1=1,AC77,IF(M$1=2,AD77," ")))</f>
        <v xml:space="preserve"> </v>
      </c>
      <c r="H77" s="87" t="str">
        <f t="shared" ca="1" si="4"/>
        <v xml:space="preserve"> </v>
      </c>
      <c r="I77" s="87">
        <f t="shared" ca="1" si="28"/>
        <v>0</v>
      </c>
      <c r="J77" s="87">
        <f t="shared" ca="1" si="29"/>
        <v>0</v>
      </c>
      <c r="K77" s="87">
        <f t="shared" ca="1" si="30"/>
        <v>0</v>
      </c>
      <c r="L77" s="87" t="str">
        <f t="shared" ca="1" si="31"/>
        <v xml:space="preserve"> </v>
      </c>
      <c r="M77" s="2">
        <v>53</v>
      </c>
      <c r="N77" s="2">
        <f t="shared" ca="1" si="39"/>
        <v>0</v>
      </c>
      <c r="O77" s="2">
        <f t="shared" ca="1" si="46"/>
        <v>20</v>
      </c>
      <c r="P77" s="134">
        <f t="shared" ca="1" si="5"/>
        <v>0</v>
      </c>
      <c r="Q77" s="134">
        <f t="shared" ca="1" si="6"/>
        <v>0</v>
      </c>
      <c r="R77" s="134">
        <f t="shared" ca="1" si="52"/>
        <v>0</v>
      </c>
      <c r="S77" s="134" t="str">
        <f t="shared" ca="1" si="22"/>
        <v xml:space="preserve"> </v>
      </c>
      <c r="T77" s="134" t="str">
        <f t="shared" ca="1" si="23"/>
        <v xml:space="preserve"> </v>
      </c>
      <c r="U77" s="134">
        <f t="shared" ca="1" si="33"/>
        <v>0</v>
      </c>
      <c r="V77" s="134">
        <f t="shared" ca="1" si="34"/>
        <v>0</v>
      </c>
      <c r="W77" s="134">
        <f t="shared" ca="1" si="35"/>
        <v>0</v>
      </c>
      <c r="X77" s="134">
        <f t="shared" ca="1" si="25"/>
        <v>0</v>
      </c>
      <c r="Y77" s="134">
        <f t="shared" ca="1" si="7"/>
        <v>-2.8990143619012088E-12</v>
      </c>
      <c r="Z77" s="134">
        <f t="shared" ca="1" si="36"/>
        <v>0</v>
      </c>
      <c r="AA77" s="134">
        <f t="shared" ca="1" si="8"/>
        <v>0</v>
      </c>
      <c r="AB77" s="134">
        <f t="shared" ca="1" si="53"/>
        <v>0</v>
      </c>
      <c r="AC77" s="134">
        <f t="shared" ca="1" si="1"/>
        <v>0</v>
      </c>
      <c r="AD77" s="134">
        <f t="shared" ca="1" si="38"/>
        <v>0</v>
      </c>
      <c r="AE77" s="134">
        <f t="shared" ca="1" si="32"/>
        <v>0</v>
      </c>
      <c r="AF77" s="134">
        <f t="shared" ca="1" si="9"/>
        <v>0</v>
      </c>
      <c r="AG77" s="134">
        <f t="shared" ca="1" si="26"/>
        <v>0</v>
      </c>
      <c r="AH77" s="134">
        <f t="shared" ca="1" si="10"/>
        <v>0</v>
      </c>
      <c r="AI77" s="134">
        <f t="shared" ca="1" si="54"/>
        <v>0</v>
      </c>
      <c r="AJ77" s="134">
        <f t="shared" ca="1" si="55"/>
        <v>0</v>
      </c>
      <c r="AK77" s="134">
        <f t="shared" ca="1" si="56"/>
        <v>0</v>
      </c>
      <c r="AL77" s="132">
        <f t="shared" ca="1" si="12"/>
        <v>0</v>
      </c>
      <c r="AM77" s="132">
        <f t="shared" ca="1" si="13"/>
        <v>0</v>
      </c>
      <c r="AN77" s="2">
        <f t="shared" ca="1" si="14"/>
        <v>0</v>
      </c>
      <c r="AO77" s="2">
        <f t="shared" ca="1" si="2"/>
        <v>0</v>
      </c>
      <c r="AP77" s="2">
        <f t="shared" ca="1" si="57"/>
        <v>0</v>
      </c>
      <c r="AQ77" s="2">
        <f t="shared" ca="1" si="58"/>
        <v>30</v>
      </c>
      <c r="AR77" s="2">
        <f t="shared" si="17"/>
        <v>20</v>
      </c>
      <c r="AS77" s="2">
        <f t="shared" ca="1" si="27"/>
        <v>30</v>
      </c>
      <c r="AT77" s="21"/>
      <c r="AU77" s="21"/>
      <c r="AV77" s="21"/>
      <c r="AW77" s="21"/>
      <c r="AX77" s="21"/>
      <c r="AY77" s="2">
        <f t="shared" ca="1" si="18"/>
        <v>0</v>
      </c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52"/>
      <c r="BL77" s="52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1"/>
        <v xml:space="preserve"> </v>
      </c>
      <c r="C78" s="401"/>
      <c r="D78" s="269" t="str">
        <f ca="1">IF(N78=0,IF(N77=1,SUM(D$25:E77)," "),IF(N78=0," ",IF(N79=1,D$25,IF(N79=0,D$10-D$25*(M$14-1)," "))))</f>
        <v xml:space="preserve"> </v>
      </c>
      <c r="E78" s="269"/>
      <c r="F78" s="87" t="str">
        <f ca="1">IF(N78=0,IF(N77=1,SUM(F$25:F77)," "),IF(M$1=1,P78,IF(M$1=2,Q78," ")))</f>
        <v xml:space="preserve"> </v>
      </c>
      <c r="G78" s="87" t="str">
        <f ca="1">IF(N78=0,IF(N77=1,SUM(G$25:G77)," "),IF(M$1=1,AC78,IF(M$1=2,AD78," ")))</f>
        <v xml:space="preserve"> </v>
      </c>
      <c r="H78" s="87" t="str">
        <f t="shared" ca="1" si="4"/>
        <v xml:space="preserve"> </v>
      </c>
      <c r="I78" s="87">
        <f t="shared" ca="1" si="28"/>
        <v>0</v>
      </c>
      <c r="J78" s="87">
        <f t="shared" ca="1" si="29"/>
        <v>0</v>
      </c>
      <c r="K78" s="87">
        <f t="shared" ca="1" si="30"/>
        <v>0</v>
      </c>
      <c r="L78" s="87" t="str">
        <f t="shared" ca="1" si="31"/>
        <v xml:space="preserve"> </v>
      </c>
      <c r="M78" s="2">
        <v>54</v>
      </c>
      <c r="N78" s="2">
        <f t="shared" ca="1" si="39"/>
        <v>0</v>
      </c>
      <c r="O78" s="2">
        <f t="shared" ca="1" si="46"/>
        <v>20</v>
      </c>
      <c r="P78" s="134">
        <f t="shared" ca="1" si="5"/>
        <v>0</v>
      </c>
      <c r="Q78" s="134">
        <f t="shared" ca="1" si="6"/>
        <v>0</v>
      </c>
      <c r="R78" s="134">
        <f t="shared" ca="1" si="52"/>
        <v>0</v>
      </c>
      <c r="S78" s="134" t="str">
        <f t="shared" ca="1" si="22"/>
        <v xml:space="preserve"> </v>
      </c>
      <c r="T78" s="134" t="str">
        <f t="shared" ca="1" si="23"/>
        <v xml:space="preserve"> </v>
      </c>
      <c r="U78" s="134">
        <f t="shared" ca="1" si="33"/>
        <v>0</v>
      </c>
      <c r="V78" s="134">
        <f t="shared" ca="1" si="34"/>
        <v>0</v>
      </c>
      <c r="W78" s="134">
        <f t="shared" ca="1" si="35"/>
        <v>0</v>
      </c>
      <c r="X78" s="134">
        <f t="shared" ca="1" si="25"/>
        <v>0</v>
      </c>
      <c r="Y78" s="134">
        <f t="shared" ca="1" si="7"/>
        <v>-2.8990143619012088E-12</v>
      </c>
      <c r="Z78" s="134">
        <f t="shared" ca="1" si="36"/>
        <v>0</v>
      </c>
      <c r="AA78" s="134">
        <f t="shared" ca="1" si="8"/>
        <v>0</v>
      </c>
      <c r="AB78" s="134">
        <f t="shared" ca="1" si="53"/>
        <v>0</v>
      </c>
      <c r="AC78" s="134">
        <f t="shared" ca="1" si="1"/>
        <v>0</v>
      </c>
      <c r="AD78" s="134">
        <f t="shared" ca="1" si="38"/>
        <v>0</v>
      </c>
      <c r="AE78" s="134">
        <f t="shared" ca="1" si="32"/>
        <v>0</v>
      </c>
      <c r="AF78" s="134">
        <f t="shared" ca="1" si="9"/>
        <v>0</v>
      </c>
      <c r="AG78" s="134">
        <f t="shared" ca="1" si="26"/>
        <v>0</v>
      </c>
      <c r="AH78" s="134">
        <f t="shared" ca="1" si="10"/>
        <v>0</v>
      </c>
      <c r="AI78" s="134">
        <f t="shared" ca="1" si="54"/>
        <v>0</v>
      </c>
      <c r="AJ78" s="134">
        <f t="shared" ca="1" si="55"/>
        <v>0</v>
      </c>
      <c r="AK78" s="134">
        <f t="shared" ca="1" si="56"/>
        <v>0</v>
      </c>
      <c r="AL78" s="132">
        <f t="shared" ca="1" si="12"/>
        <v>0</v>
      </c>
      <c r="AM78" s="132">
        <f t="shared" ca="1" si="13"/>
        <v>0</v>
      </c>
      <c r="AN78" s="2">
        <f t="shared" ca="1" si="14"/>
        <v>0</v>
      </c>
      <c r="AO78" s="2">
        <f t="shared" ca="1" si="2"/>
        <v>0</v>
      </c>
      <c r="AP78" s="2">
        <f t="shared" ca="1" si="57"/>
        <v>0</v>
      </c>
      <c r="AQ78" s="2">
        <f t="shared" ca="1" si="58"/>
        <v>30</v>
      </c>
      <c r="AR78" s="2">
        <f t="shared" si="17"/>
        <v>20</v>
      </c>
      <c r="AS78" s="2">
        <f t="shared" ca="1" si="27"/>
        <v>30</v>
      </c>
      <c r="AT78" s="21"/>
      <c r="AU78" s="21"/>
      <c r="AV78" s="21"/>
      <c r="AW78" s="21"/>
      <c r="AX78" s="21"/>
      <c r="AY78" s="2">
        <f t="shared" ca="1" si="18"/>
        <v>0</v>
      </c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52"/>
      <c r="BL78" s="52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1"/>
        <v xml:space="preserve"> </v>
      </c>
      <c r="C79" s="401"/>
      <c r="D79" s="269" t="str">
        <f ca="1">IF(N79=0,IF(N78=1,SUM(D$25:E78)," "),IF(N79=0," ",IF(N80=1,D$25,IF(N80=0,D$10-D$25*(M$14-1)," "))))</f>
        <v xml:space="preserve"> </v>
      </c>
      <c r="E79" s="269"/>
      <c r="F79" s="87" t="str">
        <f ca="1">IF(N79=0,IF(N78=1,SUM(F$25:F78)," "),IF(M$1=1,P79,IF(M$1=2,Q79," ")))</f>
        <v xml:space="preserve"> </v>
      </c>
      <c r="G79" s="87" t="str">
        <f ca="1">IF(N79=0,IF(N78=1,SUM(G$25:G78)," "),IF(M$1=1,AC79,IF(M$1=2,AD79," ")))</f>
        <v xml:space="preserve"> </v>
      </c>
      <c r="H79" s="87" t="str">
        <f t="shared" ca="1" si="4"/>
        <v xml:space="preserve"> </v>
      </c>
      <c r="I79" s="87">
        <f t="shared" ca="1" si="28"/>
        <v>0</v>
      </c>
      <c r="J79" s="87">
        <f t="shared" ca="1" si="29"/>
        <v>0</v>
      </c>
      <c r="K79" s="87">
        <f t="shared" ca="1" si="30"/>
        <v>0</v>
      </c>
      <c r="L79" s="87" t="str">
        <f t="shared" ca="1" si="31"/>
        <v xml:space="preserve"> </v>
      </c>
      <c r="M79" s="2">
        <v>55</v>
      </c>
      <c r="N79" s="2">
        <f t="shared" ca="1" si="39"/>
        <v>0</v>
      </c>
      <c r="O79" s="2">
        <f t="shared" ca="1" si="46"/>
        <v>20</v>
      </c>
      <c r="P79" s="134">
        <f t="shared" ca="1" si="5"/>
        <v>0</v>
      </c>
      <c r="Q79" s="134">
        <f t="shared" ca="1" si="6"/>
        <v>0</v>
      </c>
      <c r="R79" s="134">
        <f t="shared" ca="1" si="52"/>
        <v>0</v>
      </c>
      <c r="S79" s="134" t="str">
        <f t="shared" ca="1" si="22"/>
        <v xml:space="preserve"> </v>
      </c>
      <c r="T79" s="134" t="str">
        <f t="shared" ca="1" si="23"/>
        <v xml:space="preserve"> </v>
      </c>
      <c r="U79" s="134">
        <f t="shared" ca="1" si="33"/>
        <v>0</v>
      </c>
      <c r="V79" s="134">
        <f t="shared" ca="1" si="34"/>
        <v>0</v>
      </c>
      <c r="W79" s="134">
        <f t="shared" ca="1" si="35"/>
        <v>0</v>
      </c>
      <c r="X79" s="134">
        <f t="shared" ca="1" si="25"/>
        <v>0</v>
      </c>
      <c r="Y79" s="134">
        <f t="shared" ca="1" si="7"/>
        <v>-2.8990143619012088E-12</v>
      </c>
      <c r="Z79" s="134">
        <f t="shared" ca="1" si="36"/>
        <v>0</v>
      </c>
      <c r="AA79" s="134">
        <f t="shared" ca="1" si="8"/>
        <v>0</v>
      </c>
      <c r="AB79" s="134">
        <f t="shared" ca="1" si="53"/>
        <v>0</v>
      </c>
      <c r="AC79" s="134">
        <f t="shared" ca="1" si="1"/>
        <v>0</v>
      </c>
      <c r="AD79" s="134">
        <f t="shared" ca="1" si="38"/>
        <v>0</v>
      </c>
      <c r="AE79" s="134">
        <f t="shared" ca="1" si="32"/>
        <v>0</v>
      </c>
      <c r="AF79" s="134">
        <f t="shared" ca="1" si="9"/>
        <v>0</v>
      </c>
      <c r="AG79" s="134">
        <f t="shared" ca="1" si="26"/>
        <v>0</v>
      </c>
      <c r="AH79" s="134">
        <f t="shared" ca="1" si="10"/>
        <v>0</v>
      </c>
      <c r="AI79" s="134">
        <f t="shared" ca="1" si="54"/>
        <v>0</v>
      </c>
      <c r="AJ79" s="134">
        <f t="shared" ca="1" si="55"/>
        <v>0</v>
      </c>
      <c r="AK79" s="134">
        <f t="shared" ca="1" si="56"/>
        <v>0</v>
      </c>
      <c r="AL79" s="132">
        <f t="shared" ca="1" si="12"/>
        <v>0</v>
      </c>
      <c r="AM79" s="132">
        <f t="shared" ca="1" si="13"/>
        <v>0</v>
      </c>
      <c r="AN79" s="2">
        <f t="shared" ca="1" si="14"/>
        <v>0</v>
      </c>
      <c r="AO79" s="2">
        <f t="shared" ca="1" si="2"/>
        <v>0</v>
      </c>
      <c r="AP79" s="2">
        <f t="shared" ca="1" si="57"/>
        <v>0</v>
      </c>
      <c r="AQ79" s="2">
        <f t="shared" ca="1" si="58"/>
        <v>30</v>
      </c>
      <c r="AR79" s="2">
        <f t="shared" si="17"/>
        <v>20</v>
      </c>
      <c r="AS79" s="2">
        <f t="shared" ca="1" si="27"/>
        <v>30</v>
      </c>
      <c r="AT79" s="21"/>
      <c r="AU79" s="21"/>
      <c r="AV79" s="21"/>
      <c r="AW79" s="21"/>
      <c r="AX79" s="21"/>
      <c r="AY79" s="2">
        <f t="shared" ca="1" si="18"/>
        <v>0</v>
      </c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52"/>
      <c r="BL79" s="52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1"/>
        <v xml:space="preserve"> </v>
      </c>
      <c r="C80" s="401"/>
      <c r="D80" s="269" t="str">
        <f ca="1">IF(N80=0,IF(N79=1,SUM(D$25:E79)," "),IF(N80=0," ",IF(N81=1,D$25,IF(N81=0,D$10-D$25*(M$14-1)," "))))</f>
        <v xml:space="preserve"> </v>
      </c>
      <c r="E80" s="269"/>
      <c r="F80" s="87" t="str">
        <f ca="1">IF(N80=0,IF(N79=1,SUM(F$25:F79)," "),IF(M$1=1,P80,IF(M$1=2,Q80," ")))</f>
        <v xml:space="preserve"> </v>
      </c>
      <c r="G80" s="87" t="str">
        <f ca="1">IF(N80=0,IF(N79=1,SUM(G$25:G79)," "),IF(M$1=1,AC80,IF(M$1=2,AD80," ")))</f>
        <v xml:space="preserve"> </v>
      </c>
      <c r="H80" s="87" t="str">
        <f t="shared" ca="1" si="4"/>
        <v xml:space="preserve"> </v>
      </c>
      <c r="I80" s="87">
        <f t="shared" ca="1" si="28"/>
        <v>0</v>
      </c>
      <c r="J80" s="87">
        <f t="shared" ca="1" si="29"/>
        <v>0</v>
      </c>
      <c r="K80" s="87">
        <f t="shared" ca="1" si="30"/>
        <v>0</v>
      </c>
      <c r="L80" s="87" t="str">
        <f t="shared" ca="1" si="31"/>
        <v xml:space="preserve"> </v>
      </c>
      <c r="M80" s="2">
        <v>56</v>
      </c>
      <c r="N80" s="2">
        <f t="shared" ca="1" si="39"/>
        <v>0</v>
      </c>
      <c r="O80" s="2">
        <f t="shared" ca="1" si="46"/>
        <v>20</v>
      </c>
      <c r="P80" s="134">
        <f t="shared" ca="1" si="5"/>
        <v>0</v>
      </c>
      <c r="Q80" s="134">
        <f t="shared" ca="1" si="6"/>
        <v>0</v>
      </c>
      <c r="R80" s="134">
        <f t="shared" ca="1" si="52"/>
        <v>0</v>
      </c>
      <c r="S80" s="134" t="str">
        <f t="shared" ca="1" si="22"/>
        <v xml:space="preserve"> </v>
      </c>
      <c r="T80" s="134" t="str">
        <f t="shared" ca="1" si="23"/>
        <v xml:space="preserve"> </v>
      </c>
      <c r="U80" s="134">
        <f t="shared" ca="1" si="33"/>
        <v>0</v>
      </c>
      <c r="V80" s="134">
        <f t="shared" ca="1" si="34"/>
        <v>0</v>
      </c>
      <c r="W80" s="134">
        <f t="shared" ca="1" si="35"/>
        <v>0</v>
      </c>
      <c r="X80" s="134">
        <f t="shared" ca="1" si="25"/>
        <v>0</v>
      </c>
      <c r="Y80" s="134">
        <f t="shared" ca="1" si="7"/>
        <v>-2.8990143619012088E-12</v>
      </c>
      <c r="Z80" s="134">
        <f t="shared" ca="1" si="36"/>
        <v>0</v>
      </c>
      <c r="AA80" s="134">
        <f t="shared" ca="1" si="8"/>
        <v>0</v>
      </c>
      <c r="AB80" s="134">
        <f t="shared" ca="1" si="53"/>
        <v>0</v>
      </c>
      <c r="AC80" s="134">
        <f t="shared" ca="1" si="1"/>
        <v>0</v>
      </c>
      <c r="AD80" s="134">
        <f t="shared" ca="1" si="38"/>
        <v>0</v>
      </c>
      <c r="AE80" s="134">
        <f t="shared" ca="1" si="32"/>
        <v>0</v>
      </c>
      <c r="AF80" s="134">
        <f t="shared" ca="1" si="9"/>
        <v>0</v>
      </c>
      <c r="AG80" s="134">
        <f t="shared" ca="1" si="26"/>
        <v>0</v>
      </c>
      <c r="AH80" s="134">
        <f t="shared" ca="1" si="10"/>
        <v>0</v>
      </c>
      <c r="AI80" s="134">
        <f t="shared" ca="1" si="54"/>
        <v>0</v>
      </c>
      <c r="AJ80" s="134">
        <f t="shared" ca="1" si="55"/>
        <v>0</v>
      </c>
      <c r="AK80" s="134">
        <f t="shared" ca="1" si="56"/>
        <v>0</v>
      </c>
      <c r="AL80" s="132">
        <f t="shared" ca="1" si="12"/>
        <v>0</v>
      </c>
      <c r="AM80" s="132">
        <f t="shared" ca="1" si="13"/>
        <v>0</v>
      </c>
      <c r="AN80" s="2">
        <f t="shared" ca="1" si="14"/>
        <v>0</v>
      </c>
      <c r="AO80" s="2">
        <f t="shared" ca="1" si="2"/>
        <v>0</v>
      </c>
      <c r="AP80" s="2">
        <f t="shared" ca="1" si="57"/>
        <v>0</v>
      </c>
      <c r="AQ80" s="2">
        <f t="shared" ca="1" si="58"/>
        <v>30</v>
      </c>
      <c r="AR80" s="2">
        <f t="shared" si="17"/>
        <v>20</v>
      </c>
      <c r="AS80" s="2">
        <f t="shared" ca="1" si="27"/>
        <v>30</v>
      </c>
      <c r="AT80" s="21"/>
      <c r="AU80" s="21"/>
      <c r="AV80" s="21"/>
      <c r="AW80" s="21"/>
      <c r="AX80" s="21"/>
      <c r="AY80" s="2">
        <f t="shared" ca="1" si="18"/>
        <v>0</v>
      </c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52"/>
      <c r="BL80" s="52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1"/>
        <v xml:space="preserve"> </v>
      </c>
      <c r="C81" s="401"/>
      <c r="D81" s="269" t="str">
        <f ca="1">IF(N81=0,IF(N80=1,SUM(D$25:E80)," "),IF(N81=0," ",IF(N82=1,D$25,IF(N82=0,D$10-D$25*(M$14-1)," "))))</f>
        <v xml:space="preserve"> </v>
      </c>
      <c r="E81" s="269"/>
      <c r="F81" s="87" t="str">
        <f ca="1">IF(N81=0,IF(N80=1,SUM(F$25:F80)," "),IF(M$1=1,P81,IF(M$1=2,Q81," ")))</f>
        <v xml:space="preserve"> </v>
      </c>
      <c r="G81" s="87" t="str">
        <f ca="1">IF(N81=0,IF(N80=1,SUM(G$25:G80)," "),IF(M$1=1,AC81,IF(M$1=2,AD81," ")))</f>
        <v xml:space="preserve"> </v>
      </c>
      <c r="H81" s="87" t="str">
        <f t="shared" ca="1" si="4"/>
        <v xml:space="preserve"> </v>
      </c>
      <c r="I81" s="87">
        <f t="shared" ca="1" si="28"/>
        <v>0</v>
      </c>
      <c r="J81" s="87">
        <f t="shared" ca="1" si="29"/>
        <v>0</v>
      </c>
      <c r="K81" s="87">
        <f t="shared" ca="1" si="30"/>
        <v>0</v>
      </c>
      <c r="L81" s="87" t="str">
        <f t="shared" ca="1" si="31"/>
        <v xml:space="preserve"> </v>
      </c>
      <c r="M81" s="2">
        <v>57</v>
      </c>
      <c r="N81" s="2">
        <f t="shared" ca="1" si="39"/>
        <v>0</v>
      </c>
      <c r="O81" s="2">
        <f t="shared" ca="1" si="46"/>
        <v>20</v>
      </c>
      <c r="P81" s="134">
        <f t="shared" ca="1" si="5"/>
        <v>0</v>
      </c>
      <c r="Q81" s="134">
        <f t="shared" ca="1" si="6"/>
        <v>0</v>
      </c>
      <c r="R81" s="134">
        <f t="shared" ca="1" si="52"/>
        <v>0</v>
      </c>
      <c r="S81" s="134" t="str">
        <f t="shared" ca="1" si="22"/>
        <v xml:space="preserve"> </v>
      </c>
      <c r="T81" s="134" t="str">
        <f t="shared" ca="1" si="23"/>
        <v xml:space="preserve"> </v>
      </c>
      <c r="U81" s="134">
        <f t="shared" ca="1" si="33"/>
        <v>0</v>
      </c>
      <c r="V81" s="134">
        <f t="shared" ca="1" si="34"/>
        <v>0</v>
      </c>
      <c r="W81" s="134">
        <f t="shared" ca="1" si="35"/>
        <v>0</v>
      </c>
      <c r="X81" s="134">
        <f t="shared" ca="1" si="25"/>
        <v>0</v>
      </c>
      <c r="Y81" s="134">
        <f t="shared" ca="1" si="7"/>
        <v>-2.8990143619012088E-12</v>
      </c>
      <c r="Z81" s="134">
        <f t="shared" ca="1" si="36"/>
        <v>0</v>
      </c>
      <c r="AA81" s="134">
        <f t="shared" ca="1" si="8"/>
        <v>0</v>
      </c>
      <c r="AB81" s="134">
        <f t="shared" ca="1" si="53"/>
        <v>0</v>
      </c>
      <c r="AC81" s="134">
        <f t="shared" ca="1" si="1"/>
        <v>0</v>
      </c>
      <c r="AD81" s="134">
        <f t="shared" ca="1" si="38"/>
        <v>0</v>
      </c>
      <c r="AE81" s="134">
        <f t="shared" ca="1" si="32"/>
        <v>0</v>
      </c>
      <c r="AF81" s="134">
        <f t="shared" ca="1" si="9"/>
        <v>0</v>
      </c>
      <c r="AG81" s="134">
        <f t="shared" ca="1" si="26"/>
        <v>0</v>
      </c>
      <c r="AH81" s="134">
        <f t="shared" ca="1" si="10"/>
        <v>0</v>
      </c>
      <c r="AI81" s="134">
        <f t="shared" ca="1" si="54"/>
        <v>0</v>
      </c>
      <c r="AJ81" s="134">
        <f t="shared" ca="1" si="55"/>
        <v>0</v>
      </c>
      <c r="AK81" s="134">
        <f t="shared" ca="1" si="56"/>
        <v>0</v>
      </c>
      <c r="AL81" s="132">
        <f t="shared" ca="1" si="12"/>
        <v>0</v>
      </c>
      <c r="AM81" s="132">
        <f t="shared" ca="1" si="13"/>
        <v>0</v>
      </c>
      <c r="AN81" s="2">
        <f t="shared" ca="1" si="14"/>
        <v>0</v>
      </c>
      <c r="AO81" s="2">
        <f t="shared" ca="1" si="2"/>
        <v>0</v>
      </c>
      <c r="AP81" s="2">
        <f t="shared" ca="1" si="57"/>
        <v>0</v>
      </c>
      <c r="AQ81" s="2">
        <f t="shared" ca="1" si="58"/>
        <v>30</v>
      </c>
      <c r="AR81" s="2">
        <f t="shared" si="17"/>
        <v>20</v>
      </c>
      <c r="AS81" s="2">
        <f t="shared" ca="1" si="27"/>
        <v>30</v>
      </c>
      <c r="AT81" s="21"/>
      <c r="AU81" s="21"/>
      <c r="AV81" s="21"/>
      <c r="AW81" s="21"/>
      <c r="AX81" s="21"/>
      <c r="AY81" s="2">
        <f t="shared" ca="1" si="18"/>
        <v>0</v>
      </c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52"/>
      <c r="BL81" s="52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1"/>
        <v xml:space="preserve"> </v>
      </c>
      <c r="C82" s="401"/>
      <c r="D82" s="269" t="str">
        <f ca="1">IF(N82=0,IF(N81=1,SUM(D$25:E81)," "),IF(N82=0," ",IF(N83=1,D$25,IF(N83=0,D$10-D$25*(M$14-1)," "))))</f>
        <v xml:space="preserve"> </v>
      </c>
      <c r="E82" s="269"/>
      <c r="F82" s="87" t="str">
        <f ca="1">IF(N82=0,IF(N81=1,SUM(F$25:F81)," "),IF(M$1=1,P82,IF(M$1=2,Q82," ")))</f>
        <v xml:space="preserve"> </v>
      </c>
      <c r="G82" s="87" t="str">
        <f ca="1">IF(N82=0,IF(N81=1,SUM(G$25:G81)," "),IF(M$1=1,AC82,IF(M$1=2,AD82," ")))</f>
        <v xml:space="preserve"> </v>
      </c>
      <c r="H82" s="87" t="str">
        <f t="shared" ca="1" si="4"/>
        <v xml:space="preserve"> </v>
      </c>
      <c r="I82" s="87">
        <f t="shared" ca="1" si="28"/>
        <v>0</v>
      </c>
      <c r="J82" s="87">
        <f t="shared" ca="1" si="29"/>
        <v>0</v>
      </c>
      <c r="K82" s="87">
        <f t="shared" ca="1" si="30"/>
        <v>0</v>
      </c>
      <c r="L82" s="87" t="str">
        <f t="shared" ca="1" si="31"/>
        <v xml:space="preserve"> </v>
      </c>
      <c r="M82" s="2">
        <v>58</v>
      </c>
      <c r="N82" s="2">
        <f t="shared" ca="1" si="39"/>
        <v>0</v>
      </c>
      <c r="O82" s="2">
        <f t="shared" ca="1" si="46"/>
        <v>20</v>
      </c>
      <c r="P82" s="134">
        <f t="shared" ca="1" si="5"/>
        <v>0</v>
      </c>
      <c r="Q82" s="134">
        <f t="shared" ca="1" si="6"/>
        <v>0</v>
      </c>
      <c r="R82" s="134">
        <f t="shared" ca="1" si="52"/>
        <v>0</v>
      </c>
      <c r="S82" s="134" t="str">
        <f t="shared" ca="1" si="22"/>
        <v xml:space="preserve"> </v>
      </c>
      <c r="T82" s="134" t="str">
        <f t="shared" ca="1" si="23"/>
        <v xml:space="preserve"> </v>
      </c>
      <c r="U82" s="134">
        <f t="shared" ca="1" si="33"/>
        <v>0</v>
      </c>
      <c r="V82" s="134">
        <f t="shared" ca="1" si="34"/>
        <v>0</v>
      </c>
      <c r="W82" s="134">
        <f t="shared" ca="1" si="35"/>
        <v>0</v>
      </c>
      <c r="X82" s="134">
        <f t="shared" ca="1" si="25"/>
        <v>0</v>
      </c>
      <c r="Y82" s="134">
        <f t="shared" ca="1" si="7"/>
        <v>-2.8990143619012088E-12</v>
      </c>
      <c r="Z82" s="134">
        <f t="shared" ca="1" si="36"/>
        <v>0</v>
      </c>
      <c r="AA82" s="134">
        <f t="shared" ca="1" si="8"/>
        <v>0</v>
      </c>
      <c r="AB82" s="134">
        <f t="shared" ca="1" si="53"/>
        <v>0</v>
      </c>
      <c r="AC82" s="134">
        <f t="shared" ca="1" si="1"/>
        <v>0</v>
      </c>
      <c r="AD82" s="134">
        <f t="shared" ca="1" si="38"/>
        <v>0</v>
      </c>
      <c r="AE82" s="134">
        <f t="shared" ca="1" si="32"/>
        <v>0</v>
      </c>
      <c r="AF82" s="134">
        <f t="shared" ca="1" si="9"/>
        <v>0</v>
      </c>
      <c r="AG82" s="134">
        <f t="shared" ca="1" si="26"/>
        <v>0</v>
      </c>
      <c r="AH82" s="134">
        <f t="shared" ca="1" si="10"/>
        <v>0</v>
      </c>
      <c r="AI82" s="134">
        <f t="shared" ca="1" si="54"/>
        <v>0</v>
      </c>
      <c r="AJ82" s="134">
        <f t="shared" ca="1" si="55"/>
        <v>0</v>
      </c>
      <c r="AK82" s="134">
        <f t="shared" ca="1" si="56"/>
        <v>0</v>
      </c>
      <c r="AL82" s="132">
        <f t="shared" ca="1" si="12"/>
        <v>0</v>
      </c>
      <c r="AM82" s="132">
        <f t="shared" ca="1" si="13"/>
        <v>0</v>
      </c>
      <c r="AN82" s="2">
        <f t="shared" ca="1" si="14"/>
        <v>0</v>
      </c>
      <c r="AO82" s="2">
        <f t="shared" ca="1" si="2"/>
        <v>0</v>
      </c>
      <c r="AP82" s="2">
        <f t="shared" ca="1" si="57"/>
        <v>0</v>
      </c>
      <c r="AQ82" s="2">
        <f t="shared" ca="1" si="58"/>
        <v>30</v>
      </c>
      <c r="AR82" s="2">
        <f t="shared" si="17"/>
        <v>20</v>
      </c>
      <c r="AS82" s="2">
        <f t="shared" ca="1" si="27"/>
        <v>30</v>
      </c>
      <c r="AT82" s="21"/>
      <c r="AU82" s="21"/>
      <c r="AV82" s="21"/>
      <c r="AW82" s="21"/>
      <c r="AX82" s="21"/>
      <c r="AY82" s="2">
        <f t="shared" ca="1" si="18"/>
        <v>0</v>
      </c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52"/>
      <c r="BL82" s="52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ca="1">IF(N83=0,IF(N82=1,"ИТОГО"," "),DATE(YEAR(B82),MONTH(B82)+1,O83))</f>
        <v xml:space="preserve"> </v>
      </c>
      <c r="C83" s="401"/>
      <c r="D83" s="269" t="str">
        <f ca="1">IF(N83=0,IF(N82=1,SUM(D$25:E82)," "),IF(N83=0," ",IF(N84=1,D$25,IF(N84=0,D$10-D$25*(M$14-1)," "))))</f>
        <v xml:space="preserve"> </v>
      </c>
      <c r="E83" s="269"/>
      <c r="F83" s="87" t="str">
        <f ca="1">IF(N83=0,IF(N82=1,SUM(F$25:F82)," "),IF(M$1=1,P83,IF(M$1=2,Q83," ")))</f>
        <v xml:space="preserve"> </v>
      </c>
      <c r="G83" s="87" t="str">
        <f ca="1">IF(N83=0,IF(N82=1,SUM(G$25:G82)," "),IF(M$1=1,AC83,IF(M$1=2,AD83," ")))</f>
        <v xml:space="preserve"> </v>
      </c>
      <c r="H83" s="87" t="str">
        <f ca="1">IF(SUM(D83:G83)=0," ",SUM(D83:G83))</f>
        <v xml:space="preserve"> </v>
      </c>
      <c r="I83" s="87">
        <f t="shared" ca="1" si="28"/>
        <v>0</v>
      </c>
      <c r="J83" s="87">
        <f t="shared" ca="1" si="29"/>
        <v>0</v>
      </c>
      <c r="K83" s="87">
        <f t="shared" ca="1" si="30"/>
        <v>0</v>
      </c>
      <c r="L83" s="87" t="str">
        <f t="shared" ca="1" si="31"/>
        <v xml:space="preserve"> </v>
      </c>
      <c r="M83" s="2">
        <v>59</v>
      </c>
      <c r="N83" s="2">
        <f t="shared" ca="1" si="39"/>
        <v>0</v>
      </c>
      <c r="O83" s="2">
        <f t="shared" ca="1" si="46"/>
        <v>20</v>
      </c>
      <c r="P83" s="134">
        <f t="shared" ca="1" si="5"/>
        <v>0</v>
      </c>
      <c r="Q83" s="134">
        <f t="shared" ca="1" si="6"/>
        <v>0</v>
      </c>
      <c r="R83" s="134">
        <f t="shared" ca="1" si="52"/>
        <v>0</v>
      </c>
      <c r="S83" s="134" t="str">
        <f t="shared" ca="1" si="22"/>
        <v xml:space="preserve"> </v>
      </c>
      <c r="T83" s="134" t="str">
        <f t="shared" ca="1" si="23"/>
        <v xml:space="preserve"> </v>
      </c>
      <c r="U83" s="134">
        <f t="shared" ca="1" si="33"/>
        <v>0</v>
      </c>
      <c r="V83" s="134">
        <f t="shared" ca="1" si="34"/>
        <v>0</v>
      </c>
      <c r="W83" s="134">
        <f t="shared" ca="1" si="35"/>
        <v>0</v>
      </c>
      <c r="X83" s="134">
        <f t="shared" ca="1" si="25"/>
        <v>0</v>
      </c>
      <c r="Y83" s="134">
        <f t="shared" ca="1" si="7"/>
        <v>-2.8990143619012088E-12</v>
      </c>
      <c r="Z83" s="134">
        <f t="shared" ca="1" si="36"/>
        <v>0</v>
      </c>
      <c r="AA83" s="134">
        <f t="shared" ca="1" si="8"/>
        <v>0</v>
      </c>
      <c r="AB83" s="134">
        <f t="shared" ca="1" si="53"/>
        <v>0</v>
      </c>
      <c r="AC83" s="134">
        <f t="shared" ca="1" si="1"/>
        <v>0</v>
      </c>
      <c r="AD83" s="134">
        <f t="shared" ca="1" si="38"/>
        <v>0</v>
      </c>
      <c r="AE83" s="134">
        <f t="shared" ca="1" si="32"/>
        <v>0</v>
      </c>
      <c r="AF83" s="134">
        <f t="shared" ca="1" si="9"/>
        <v>0</v>
      </c>
      <c r="AG83" s="134">
        <f t="shared" ca="1" si="26"/>
        <v>0</v>
      </c>
      <c r="AH83" s="134">
        <f t="shared" ca="1" si="10"/>
        <v>0</v>
      </c>
      <c r="AI83" s="134">
        <f t="shared" ca="1" si="54"/>
        <v>0</v>
      </c>
      <c r="AJ83" s="134">
        <f t="shared" ca="1" si="55"/>
        <v>0</v>
      </c>
      <c r="AK83" s="134">
        <f t="shared" ca="1" si="56"/>
        <v>0</v>
      </c>
      <c r="AL83" s="132">
        <f t="shared" ca="1" si="12"/>
        <v>0</v>
      </c>
      <c r="AM83" s="132">
        <f t="shared" ca="1" si="13"/>
        <v>0</v>
      </c>
      <c r="AN83" s="2">
        <f t="shared" ca="1" si="14"/>
        <v>0</v>
      </c>
      <c r="AO83" s="2">
        <f t="shared" ca="1" si="2"/>
        <v>0</v>
      </c>
      <c r="AP83" s="2">
        <f t="shared" ca="1" si="57"/>
        <v>0</v>
      </c>
      <c r="AQ83" s="2">
        <f t="shared" ca="1" si="58"/>
        <v>30</v>
      </c>
      <c r="AR83" s="2">
        <f t="shared" si="17"/>
        <v>20</v>
      </c>
      <c r="AS83" s="2">
        <f t="shared" ca="1" si="27"/>
        <v>30</v>
      </c>
      <c r="AT83" s="21"/>
      <c r="AU83" s="21"/>
      <c r="AV83" s="21"/>
      <c r="AW83" s="21"/>
      <c r="AX83" s="21"/>
      <c r="AY83" s="2">
        <f t="shared" ca="1" si="18"/>
        <v>0</v>
      </c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52"/>
      <c r="BL83" s="52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ca="1">IF(N84=0,IF(N83=1,"ИТОГО"," "),DATE(YEAR(B83),MONTH(B83)+1,O84))</f>
        <v xml:space="preserve"> </v>
      </c>
      <c r="C84" s="401"/>
      <c r="D84" s="269" t="str">
        <f ca="1">IF(N84=0,IF(N83=1,SUM(D$25:E83)," "),IF(N84=0," ",IF(N85=1,D$25,IF(N85=0,D$10-D$25*(M$14-1)," "))))</f>
        <v xml:space="preserve"> </v>
      </c>
      <c r="E84" s="269"/>
      <c r="F84" s="87" t="str">
        <f ca="1">IF(N84=0,IF(N83=1,SUM(F$25:F83)," "),IF(M$1=1,P84,IF(M$1=2,Q84," ")))</f>
        <v xml:space="preserve"> </v>
      </c>
      <c r="G84" s="87" t="str">
        <f ca="1">IF(N84=0,IF(N83=1,SUM(G$25:G83)," "),IF(M$1=1,AC84,IF(M$1=2,AD84," ")))</f>
        <v xml:space="preserve"> </v>
      </c>
      <c r="H84" s="87" t="str">
        <f ca="1">IF(SUM(D84:G84)=0," ",SUM(D84:G84))</f>
        <v xml:space="preserve"> </v>
      </c>
      <c r="I84" s="87">
        <f t="shared" ca="1" si="28"/>
        <v>0</v>
      </c>
      <c r="J84" s="87">
        <f t="shared" ca="1" si="29"/>
        <v>0</v>
      </c>
      <c r="K84" s="87">
        <f t="shared" ca="1" si="30"/>
        <v>0</v>
      </c>
      <c r="L84" s="87" t="str">
        <f t="shared" ca="1" si="31"/>
        <v xml:space="preserve"> </v>
      </c>
      <c r="M84" s="2">
        <v>60</v>
      </c>
      <c r="N84" s="2">
        <f t="shared" ca="1" si="39"/>
        <v>0</v>
      </c>
      <c r="O84" s="2">
        <f t="shared" ca="1" si="46"/>
        <v>20</v>
      </c>
      <c r="P84" s="134">
        <f t="shared" ca="1" si="5"/>
        <v>0</v>
      </c>
      <c r="Q84" s="134">
        <f t="shared" ca="1" si="6"/>
        <v>0</v>
      </c>
      <c r="R84" s="134">
        <f t="shared" ca="1" si="52"/>
        <v>0</v>
      </c>
      <c r="S84" s="134" t="str">
        <f t="shared" ca="1" si="22"/>
        <v xml:space="preserve"> </v>
      </c>
      <c r="T84" s="134" t="str">
        <f t="shared" ca="1" si="23"/>
        <v xml:space="preserve"> </v>
      </c>
      <c r="U84" s="134">
        <f ca="1">IF(N85=1,R83*D11*20/36000+R84*D11*10/36000,IF(N85=0,IF(N84=0,0,R84*D11*Q12/36000+R83*D11*20/36000+R84*D11*10/36000)))</f>
        <v>0</v>
      </c>
      <c r="V84" s="134">
        <f ca="1">IF(N85=1,R83*D11*20/36000+R84*D11*10/36000,IF(N85=0,IF(N84=0,0,R84*D11*Q12/36000+R83*D11*20/36000+R84*D11*10/36000)))</f>
        <v>0</v>
      </c>
      <c r="W84" s="134">
        <f t="shared" ca="1" si="35"/>
        <v>0</v>
      </c>
      <c r="X84" s="134">
        <f t="shared" ca="1" si="25"/>
        <v>0</v>
      </c>
      <c r="Y84" s="134">
        <f t="shared" ca="1" si="7"/>
        <v>-2.8990143619012088E-12</v>
      </c>
      <c r="Z84" s="134">
        <f t="shared" ca="1" si="36"/>
        <v>0</v>
      </c>
      <c r="AA84" s="134">
        <f t="shared" ca="1" si="8"/>
        <v>0</v>
      </c>
      <c r="AB84" s="134">
        <f t="shared" ca="1" si="53"/>
        <v>0</v>
      </c>
      <c r="AC84" s="134">
        <f t="shared" ca="1" si="1"/>
        <v>0</v>
      </c>
      <c r="AD84" s="134">
        <f t="shared" ca="1" si="38"/>
        <v>0</v>
      </c>
      <c r="AE84" s="134">
        <f t="shared" ca="1" si="32"/>
        <v>0</v>
      </c>
      <c r="AF84" s="134">
        <f t="shared" ca="1" si="9"/>
        <v>0</v>
      </c>
      <c r="AG84" s="134">
        <f t="shared" ca="1" si="26"/>
        <v>0</v>
      </c>
      <c r="AH84" s="134">
        <f t="shared" ca="1" si="10"/>
        <v>0</v>
      </c>
      <c r="AI84" s="134">
        <f t="shared" ca="1" si="54"/>
        <v>0</v>
      </c>
      <c r="AJ84" s="134">
        <f t="shared" ca="1" si="55"/>
        <v>0</v>
      </c>
      <c r="AK84" s="134">
        <f t="shared" ca="1" si="56"/>
        <v>0</v>
      </c>
      <c r="AL84" s="132">
        <f t="shared" ca="1" si="12"/>
        <v>0</v>
      </c>
      <c r="AM84" s="132">
        <f t="shared" ca="1" si="13"/>
        <v>0</v>
      </c>
      <c r="AN84" s="2">
        <f t="shared" ca="1" si="14"/>
        <v>0</v>
      </c>
      <c r="AO84" s="2">
        <f t="shared" ca="1" si="2"/>
        <v>0</v>
      </c>
      <c r="AP84" s="2">
        <f t="shared" ca="1" si="57"/>
        <v>0</v>
      </c>
      <c r="AQ84" s="2">
        <f t="shared" ca="1" si="58"/>
        <v>30</v>
      </c>
      <c r="AR84" s="2">
        <f t="shared" si="17"/>
        <v>20</v>
      </c>
      <c r="AS84" s="2">
        <f t="shared" ca="1" si="27"/>
        <v>30</v>
      </c>
      <c r="AT84" s="21"/>
      <c r="AU84" s="21"/>
      <c r="AV84" s="21"/>
      <c r="AW84" s="21"/>
      <c r="AX84" s="21"/>
      <c r="AY84" s="2">
        <f t="shared" ca="1" si="18"/>
        <v>0</v>
      </c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52"/>
      <c r="BL84" s="52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ca="1">IF(N85=0,IF(N84=1,"ИТОГО"," "),IF(M85=M$14,DATE(YEAR(B84),MONTH(B84),O85),DATE(YEAR(B84),MONTH(B84)+1,O85)))</f>
        <v xml:space="preserve"> </v>
      </c>
      <c r="C85" s="401"/>
      <c r="D85" s="269" t="str">
        <f ca="1">IF(N85=0,IF(N84=1,SUM(D$25:E84)," "),IF(N85=0," ",IF(N86=1,D$25,IF(N86=0,D$10-D$25*(M$14-1)," "))))</f>
        <v xml:space="preserve"> </v>
      </c>
      <c r="E85" s="269"/>
      <c r="F85" s="87" t="str">
        <f ca="1">IF(N85=0,IF(N84=1,SUM(F$25:F84)," "),IF(M$1=1,P85,IF(M$1=2,Q85," ")))</f>
        <v xml:space="preserve"> </v>
      </c>
      <c r="G85" s="87" t="str">
        <f ca="1">IF(N85=0,IF(N84=1,SUM(G$25:G84)," "),IF(M$1=1,AC85,IF(M$1=2,AD85," ")))</f>
        <v xml:space="preserve"> </v>
      </c>
      <c r="H85" s="87" t="str">
        <f ca="1">IF(SUM(D85:G85)=0," ",SUM(D85:G85))</f>
        <v xml:space="preserve"> </v>
      </c>
      <c r="I85" s="87">
        <f t="shared" ca="1" si="28"/>
        <v>0</v>
      </c>
      <c r="J85" s="87">
        <f t="shared" ca="1" si="29"/>
        <v>0</v>
      </c>
      <c r="K85" s="87">
        <f t="shared" ca="1" si="30"/>
        <v>0</v>
      </c>
      <c r="L85" s="87" t="str">
        <f t="shared" ca="1" si="31"/>
        <v xml:space="preserve"> </v>
      </c>
      <c r="M85" s="2">
        <v>61</v>
      </c>
      <c r="N85" s="2">
        <f t="shared" ca="1" si="39"/>
        <v>0</v>
      </c>
      <c r="O85" s="2">
        <f ca="1">IF(M85=A$14,IF(MONTH(B84)=-2,AS85,DATE(YEAR(0),MONTH(0),DAY(D$16)-1)),AR85)</f>
        <v>20</v>
      </c>
      <c r="P85" s="134">
        <f t="shared" ca="1" si="5"/>
        <v>0</v>
      </c>
      <c r="Q85" s="134">
        <f t="shared" ca="1" si="6"/>
        <v>0</v>
      </c>
      <c r="R85" s="134">
        <f t="shared" ca="1" si="52"/>
        <v>0</v>
      </c>
      <c r="S85" s="134" t="str">
        <f t="shared" ca="1" si="22"/>
        <v xml:space="preserve"> </v>
      </c>
      <c r="T85" s="134" t="str">
        <f t="shared" ca="1" si="23"/>
        <v xml:space="preserve"> </v>
      </c>
      <c r="U85" s="134">
        <f t="shared" ca="1" si="33"/>
        <v>0</v>
      </c>
      <c r="V85" s="134">
        <f t="shared" ca="1" si="34"/>
        <v>0</v>
      </c>
      <c r="W85" s="134">
        <f ca="1">IF(N86=1,D10*D$11*20/36000+D10*D$11*10/36000,IF(N86=0,IF(N85=0,0,D10*D$11*Q$12/36000)))</f>
        <v>0</v>
      </c>
      <c r="X85" s="134">
        <f t="shared" ca="1" si="25"/>
        <v>0</v>
      </c>
      <c r="Y85" s="134">
        <f t="shared" ca="1" si="7"/>
        <v>-2.8990143619012088E-12</v>
      </c>
      <c r="Z85" s="134">
        <f t="shared" ca="1" si="36"/>
        <v>0</v>
      </c>
      <c r="AA85" s="134">
        <f t="shared" ca="1" si="8"/>
        <v>0</v>
      </c>
      <c r="AB85" s="134">
        <f ca="1">R85*Q$12</f>
        <v>0</v>
      </c>
      <c r="AC85" s="134">
        <f t="shared" ca="1" si="1"/>
        <v>0</v>
      </c>
      <c r="AD85" s="134">
        <f t="shared" ca="1" si="38"/>
        <v>0</v>
      </c>
      <c r="AE85" s="134">
        <f ca="1">IF(N86=1,D10*G$12*20/36000+D10*G$12*10/36000,IF(N86=0,IF(N85=0,0,D10*G$12*Q$12/36000)))</f>
        <v>0</v>
      </c>
      <c r="AF85" s="134">
        <f t="shared" ca="1" si="9"/>
        <v>0</v>
      </c>
      <c r="AG85" s="134">
        <f ca="1">IF(N86=1,Y84*G$12*20/36000+Y85*G$12*10/36000,IF(N86=0,IF(N85=0,0,Y85*G$12*Q$12/36000)))</f>
        <v>0</v>
      </c>
      <c r="AH85" s="134">
        <f t="shared" ca="1" si="10"/>
        <v>0</v>
      </c>
      <c r="AI85" s="134">
        <f ca="1">R85</f>
        <v>0</v>
      </c>
      <c r="AJ85" s="134">
        <f ca="1">IF(N86=1,AI84*G$12*20/36000+AI85*G$12*10/36000,IF(N86=0,IF(N85=0,0,AI85*G$12*Q$12/36000)))</f>
        <v>0</v>
      </c>
      <c r="AK85" s="134">
        <f ca="1">IF(N86=1,AI84*G$12*20/36000+AI85*G$12*10/36000,IF(N86=0,IF(N85=0,0,AI85*G$12*Q$12/36000)))</f>
        <v>0</v>
      </c>
      <c r="AL85" s="132">
        <f t="shared" ca="1" si="12"/>
        <v>0</v>
      </c>
      <c r="AM85" s="132">
        <f t="shared" ca="1" si="13"/>
        <v>0</v>
      </c>
      <c r="AN85" s="2">
        <f t="shared" ca="1" si="14"/>
        <v>0</v>
      </c>
      <c r="AO85" s="2">
        <f t="shared" ca="1" si="2"/>
        <v>0</v>
      </c>
      <c r="AP85" s="2">
        <f t="shared" ca="1" si="57"/>
        <v>0</v>
      </c>
      <c r="AQ85" s="2">
        <f t="shared" ca="1" si="58"/>
        <v>30</v>
      </c>
      <c r="AR85" s="2">
        <f t="shared" si="17"/>
        <v>20</v>
      </c>
      <c r="AS85" s="2">
        <f t="shared" ca="1" si="27"/>
        <v>30</v>
      </c>
      <c r="AT85" s="21"/>
      <c r="AU85" s="21"/>
      <c r="AV85" s="21"/>
      <c r="AW85" s="21"/>
      <c r="AX85" s="21"/>
      <c r="AY85" s="2">
        <f t="shared" ca="1" si="18"/>
        <v>0</v>
      </c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52"/>
      <c r="BL85" s="52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06" t="str">
        <f ca="1">IF(N86=0,IF(N85=1,D22," ")," ")</f>
        <v xml:space="preserve"> </v>
      </c>
      <c r="E86" s="406"/>
      <c r="F86" s="27" t="str">
        <f ca="1">IF(N86=0,IF(N85=1,SUM(F25:F85)," ")," ")</f>
        <v xml:space="preserve"> </v>
      </c>
      <c r="G86" s="27" t="str">
        <f ca="1">IF(N86=0,IF(N85=1,SUM(G25:G85)," ")," ")</f>
        <v xml:space="preserve"> </v>
      </c>
      <c r="H86" s="27" t="str">
        <f t="shared" ca="1" si="4"/>
        <v xml:space="preserve"> </v>
      </c>
      <c r="I86" s="27"/>
      <c r="J86" s="27"/>
      <c r="K86" s="27"/>
      <c r="L86" s="27"/>
      <c r="M86" s="135">
        <f>IF(A94=0,0,62000)</f>
        <v>0</v>
      </c>
      <c r="N86" s="135"/>
      <c r="O86" s="135"/>
      <c r="P86" s="136">
        <f t="shared" ref="P86:AK86" ca="1" si="59">SUM(P25:P85)</f>
        <v>4238.4184561111115</v>
      </c>
      <c r="Q86" s="136">
        <f t="shared" ca="1" si="59"/>
        <v>4238.4184561111115</v>
      </c>
      <c r="R86" s="136">
        <f t="shared" ca="1" si="59"/>
        <v>171503.7600000001</v>
      </c>
      <c r="S86" s="136"/>
      <c r="T86" s="136"/>
      <c r="U86" s="136">
        <f t="shared" ca="1" si="59"/>
        <v>4238.4184561111115</v>
      </c>
      <c r="V86" s="136">
        <f t="shared" ca="1" si="59"/>
        <v>4238.4184561111115</v>
      </c>
      <c r="W86" s="136">
        <f ca="1">SUM(W25:W85)</f>
        <v>8114.3611111111159</v>
      </c>
      <c r="X86" s="136">
        <f ca="1">SUM(X25:X85)</f>
        <v>8150</v>
      </c>
      <c r="Y86" s="136"/>
      <c r="Z86" s="136"/>
      <c r="AA86" s="136"/>
      <c r="AB86" s="136">
        <f t="shared" ca="1" si="59"/>
        <v>5254188.6800000006</v>
      </c>
      <c r="AC86" s="136">
        <f t="shared" ca="1" si="59"/>
        <v>0</v>
      </c>
      <c r="AD86" s="136">
        <f t="shared" ca="1" si="59"/>
        <v>0</v>
      </c>
      <c r="AE86" s="136">
        <f ca="1">SUM(AE25:AE85)</f>
        <v>0</v>
      </c>
      <c r="AF86" s="136">
        <f ca="1">SUM(AF25:AF85)</f>
        <v>0</v>
      </c>
      <c r="AG86" s="136"/>
      <c r="AH86" s="136"/>
      <c r="AI86" s="136">
        <f t="shared" ca="1" si="59"/>
        <v>171503.7600000001</v>
      </c>
      <c r="AJ86" s="136">
        <f t="shared" ca="1" si="59"/>
        <v>0</v>
      </c>
      <c r="AK86" s="136">
        <f t="shared" ca="1" si="59"/>
        <v>0</v>
      </c>
      <c r="AL86" s="136"/>
      <c r="AM86" s="135"/>
      <c r="AN86" s="135"/>
      <c r="AO86" s="135"/>
      <c r="AP86" s="135"/>
      <c r="AQ86" s="135"/>
      <c r="AR86" s="135"/>
      <c r="AS86" s="135"/>
      <c r="AT86" s="43"/>
      <c r="AU86" s="43"/>
      <c r="AV86" s="43"/>
      <c r="AW86" s="43"/>
      <c r="AX86" s="43"/>
      <c r="AY86" s="135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60"/>
      <c r="BL86" s="60"/>
    </row>
    <row r="87" spans="1:141" ht="39" customHeight="1">
      <c r="A87" s="28">
        <v>0</v>
      </c>
      <c r="B87" s="301" t="s">
        <v>36</v>
      </c>
      <c r="C87" s="301"/>
      <c r="D87" s="301"/>
      <c r="E87" s="301"/>
      <c r="F87" s="301"/>
      <c r="G87" s="301"/>
      <c r="H87" s="301"/>
      <c r="I87" s="79"/>
      <c r="J87" s="79"/>
      <c r="K87" s="79"/>
      <c r="L87" s="79"/>
      <c r="M87" s="29"/>
      <c r="N87" s="29" t="s">
        <v>34</v>
      </c>
      <c r="O87" s="29" t="s">
        <v>35</v>
      </c>
      <c r="P87" s="29"/>
      <c r="Q87" s="29"/>
      <c r="BK87" s="19"/>
      <c r="BL87" s="1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BK88" s="19"/>
      <c r="BL88" s="1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  <c r="BK89" s="19"/>
      <c r="BL89" s="1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  <c r="BK90" s="19"/>
      <c r="BL90" s="19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BK91" s="19"/>
      <c r="BL91" s="19"/>
    </row>
    <row r="92" spans="1:141" s="19" customFormat="1" ht="19.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106"/>
      <c r="M92" s="2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1"/>
      <c r="AU92" s="21"/>
      <c r="AV92" s="21"/>
      <c r="AW92" s="21"/>
      <c r="AX92" s="21"/>
      <c r="AY92" s="2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</row>
    <row r="93" spans="1:141" s="19" customFormat="1" ht="24" hidden="1" customHeight="1">
      <c r="A93" s="31"/>
      <c r="B93" s="407" t="s">
        <v>152</v>
      </c>
      <c r="C93" s="407"/>
      <c r="D93" s="407"/>
      <c r="E93" s="407"/>
      <c r="F93" s="407"/>
      <c r="G93" s="407"/>
      <c r="H93" s="407"/>
      <c r="I93" s="407"/>
      <c r="J93" s="407"/>
      <c r="K93" s="407"/>
      <c r="L93" s="107"/>
      <c r="M93" s="2"/>
      <c r="N93" s="29" t="s">
        <v>37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1"/>
      <c r="AU93" s="21"/>
      <c r="AV93" s="21"/>
      <c r="AW93" s="21"/>
      <c r="AX93" s="21"/>
      <c r="AY93" s="2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2"/>
      <c r="N94" s="300" t="s">
        <v>80</v>
      </c>
      <c r="O94" s="300"/>
      <c r="P94" s="300" t="s">
        <v>38</v>
      </c>
      <c r="Q94" s="300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1"/>
      <c r="AU94" s="21"/>
      <c r="AV94" s="21"/>
      <c r="AW94" s="21"/>
      <c r="AX94" s="21"/>
      <c r="AY94" s="2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104"/>
      <c r="M95" s="2"/>
      <c r="N95" s="2" t="s">
        <v>39</v>
      </c>
      <c r="O95" s="2" t="s">
        <v>40</v>
      </c>
      <c r="P95" s="2" t="s">
        <v>39</v>
      </c>
      <c r="Q95" s="2" t="s">
        <v>40</v>
      </c>
      <c r="R95" s="2" t="s">
        <v>41</v>
      </c>
      <c r="S95" s="2"/>
      <c r="T95" s="2"/>
      <c r="U95" s="2" t="s">
        <v>42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1"/>
      <c r="AU95" s="21"/>
      <c r="AV95" s="21"/>
      <c r="AW95" s="21"/>
      <c r="AX95" s="21"/>
      <c r="AY95" s="2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</row>
    <row r="96" spans="1:141" s="50" customFormat="1" ht="25.5" hidden="1" customHeight="1">
      <c r="A96" s="32">
        <f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36"/>
      <c r="AU96" s="36"/>
      <c r="AV96" s="36"/>
      <c r="AW96" s="36"/>
      <c r="AX96" s="36"/>
      <c r="AY96" s="137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</row>
    <row r="97" spans="1:64" s="50" customFormat="1" ht="25.5" hidden="1" customHeight="1">
      <c r="A97" s="105">
        <f t="shared" ref="A97:A118" si="60">IF(LEFT(B97,1)="I",1,0)</f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бесплатно;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137"/>
      <c r="N97" s="139" t="s">
        <v>100</v>
      </c>
      <c r="O97" s="139" t="s">
        <v>100</v>
      </c>
      <c r="P97" s="139" t="s">
        <v>100</v>
      </c>
      <c r="Q97" s="139" t="s">
        <v>100</v>
      </c>
      <c r="R97" s="139" t="s">
        <v>101</v>
      </c>
      <c r="S97" s="139"/>
      <c r="T97" s="139"/>
      <c r="U97" s="139" t="s">
        <v>45</v>
      </c>
      <c r="V97" s="139" t="s">
        <v>45</v>
      </c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36"/>
      <c r="AU97" s="36"/>
      <c r="AV97" s="36"/>
      <c r="AW97" s="36"/>
      <c r="AX97" s="36"/>
      <c r="AY97" s="137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4"/>
      <c r="BL97" s="34"/>
    </row>
    <row r="98" spans="1:64" s="34" customFormat="1" ht="25.5" hidden="1" customHeight="1">
      <c r="A98" s="105">
        <f t="shared" si="60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67"/>
      <c r="M98" s="137"/>
      <c r="N98" s="139" t="s">
        <v>46</v>
      </c>
      <c r="O98" s="139" t="s">
        <v>46</v>
      </c>
      <c r="P98" s="139" t="s">
        <v>46</v>
      </c>
      <c r="Q98" s="139" t="s">
        <v>46</v>
      </c>
      <c r="R98" s="139" t="s">
        <v>47</v>
      </c>
      <c r="S98" s="139"/>
      <c r="T98" s="139"/>
      <c r="U98" s="138" t="s">
        <v>48</v>
      </c>
      <c r="V98" s="138" t="s">
        <v>48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36"/>
      <c r="AU98" s="36"/>
      <c r="AV98" s="36"/>
      <c r="AW98" s="36"/>
      <c r="AX98" s="36"/>
      <c r="AY98" s="137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</row>
    <row r="99" spans="1:64" s="34" customFormat="1" ht="25.5" hidden="1" customHeight="1">
      <c r="A99" s="32">
        <f t="shared" si="60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137"/>
      <c r="N99" s="139" t="s">
        <v>83</v>
      </c>
      <c r="O99" s="139" t="s">
        <v>83</v>
      </c>
      <c r="P99" s="139" t="s">
        <v>83</v>
      </c>
      <c r="Q99" s="139" t="s">
        <v>83</v>
      </c>
      <c r="R99" s="140" t="s">
        <v>49</v>
      </c>
      <c r="S99" s="140"/>
      <c r="T99" s="140"/>
      <c r="U99" s="139" t="s">
        <v>50</v>
      </c>
      <c r="V99" s="139" t="s">
        <v>51</v>
      </c>
      <c r="W99" s="139"/>
      <c r="X99" s="139"/>
      <c r="Y99" s="139"/>
      <c r="Z99" s="139"/>
      <c r="AA99" s="139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36"/>
      <c r="AU99" s="36"/>
      <c r="AV99" s="36"/>
      <c r="AW99" s="36"/>
      <c r="AX99" s="36"/>
      <c r="AY99" s="137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</row>
    <row r="100" spans="1:64" s="50" customFormat="1" ht="25.5" hidden="1" customHeight="1">
      <c r="A100" s="32">
        <f t="shared" si="60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137"/>
      <c r="N100" s="139" t="s">
        <v>52</v>
      </c>
      <c r="O100" s="139" t="s">
        <v>52</v>
      </c>
      <c r="P100" s="139" t="s">
        <v>52</v>
      </c>
      <c r="Q100" s="139" t="s">
        <v>52</v>
      </c>
      <c r="R100" s="139" t="s">
        <v>122</v>
      </c>
      <c r="S100" s="139"/>
      <c r="T100" s="139"/>
      <c r="U100" s="139" t="s">
        <v>54</v>
      </c>
      <c r="V100" s="139" t="s">
        <v>55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36"/>
      <c r="AU100" s="36"/>
      <c r="AV100" s="36"/>
      <c r="AW100" s="36"/>
      <c r="AX100" s="36"/>
      <c r="AY100" s="137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</row>
    <row r="101" spans="1:64" s="50" customFormat="1" ht="25.5" hidden="1" customHeight="1">
      <c r="A101" s="105">
        <f t="shared" si="60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137"/>
      <c r="N101" s="139" t="s">
        <v>57</v>
      </c>
      <c r="O101" s="139" t="s">
        <v>57</v>
      </c>
      <c r="P101" s="139" t="s">
        <v>57</v>
      </c>
      <c r="Q101" s="139" t="s">
        <v>57</v>
      </c>
      <c r="R101" s="139" t="s">
        <v>53</v>
      </c>
      <c r="S101" s="139"/>
      <c r="T101" s="139"/>
      <c r="U101" s="139" t="s">
        <v>106</v>
      </c>
      <c r="V101" s="139" t="s">
        <v>106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36"/>
      <c r="AU101" s="36"/>
      <c r="AV101" s="36"/>
      <c r="AW101" s="36"/>
      <c r="AX101" s="36"/>
      <c r="AY101" s="137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4"/>
      <c r="BL101" s="34"/>
    </row>
    <row r="102" spans="1:64" s="34" customFormat="1" ht="25.5" hidden="1" customHeight="1">
      <c r="A102" s="105">
        <f t="shared" si="60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137"/>
      <c r="N102" s="139" t="s">
        <v>102</v>
      </c>
      <c r="O102" s="139" t="s">
        <v>121</v>
      </c>
      <c r="P102" s="139" t="s">
        <v>103</v>
      </c>
      <c r="Q102" s="139" t="s">
        <v>121</v>
      </c>
      <c r="R102" s="139" t="s">
        <v>58</v>
      </c>
      <c r="S102" s="139"/>
      <c r="T102" s="139"/>
      <c r="U102" s="138" t="s">
        <v>61</v>
      </c>
      <c r="V102" s="138" t="s">
        <v>62</v>
      </c>
      <c r="W102" s="138"/>
      <c r="X102" s="138"/>
      <c r="Y102" s="138"/>
      <c r="Z102" s="138"/>
      <c r="AA102" s="138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36"/>
      <c r="AU102" s="36"/>
      <c r="AV102" s="36"/>
      <c r="AW102" s="36"/>
      <c r="AX102" s="36"/>
      <c r="AY102" s="137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</row>
    <row r="103" spans="1:64" s="34" customFormat="1" ht="25.5" hidden="1" customHeight="1">
      <c r="A103" s="32">
        <f t="shared" si="60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137"/>
      <c r="N103" s="139" t="s">
        <v>63</v>
      </c>
      <c r="O103" s="139" t="s">
        <v>63</v>
      </c>
      <c r="P103" s="139" t="s">
        <v>63</v>
      </c>
      <c r="Q103" s="139" t="s">
        <v>63</v>
      </c>
      <c r="R103" s="139" t="s">
        <v>109</v>
      </c>
      <c r="S103" s="139"/>
      <c r="T103" s="139"/>
      <c r="U103" s="139" t="s">
        <v>36</v>
      </c>
      <c r="V103" s="138" t="s">
        <v>61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36"/>
      <c r="AU103" s="36"/>
      <c r="AV103" s="36"/>
      <c r="AW103" s="36"/>
      <c r="AX103" s="36"/>
      <c r="AY103" s="137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</row>
    <row r="104" spans="1:64" s="34" customFormat="1" ht="25.5" hidden="1" customHeight="1">
      <c r="A104" s="32"/>
      <c r="B104" s="299" t="str">
        <f t="shared" ref="B104:B114" si="61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137"/>
      <c r="N104" s="139" t="s">
        <v>123</v>
      </c>
      <c r="O104" s="139" t="s">
        <v>123</v>
      </c>
      <c r="P104" s="139" t="s">
        <v>123</v>
      </c>
      <c r="Q104" s="139" t="s">
        <v>123</v>
      </c>
      <c r="R104" s="139" t="s">
        <v>123</v>
      </c>
      <c r="S104" s="141"/>
      <c r="T104" s="141"/>
      <c r="U104" s="139"/>
      <c r="V104" s="138"/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36"/>
      <c r="AU104" s="36"/>
      <c r="AV104" s="36"/>
      <c r="AW104" s="36"/>
      <c r="AX104" s="36"/>
      <c r="AY104" s="137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</row>
    <row r="105" spans="1:64" s="50" customFormat="1" ht="25.5" hidden="1" customHeight="1">
      <c r="A105" s="32">
        <f t="shared" si="60"/>
        <v>0</v>
      </c>
      <c r="B105" s="299" t="str">
        <f t="shared" si="61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137"/>
      <c r="N105" s="139" t="s">
        <v>124</v>
      </c>
      <c r="O105" s="145" t="s">
        <v>124</v>
      </c>
      <c r="P105" s="145" t="s">
        <v>124</v>
      </c>
      <c r="Q105" s="145" t="s">
        <v>124</v>
      </c>
      <c r="R105" s="139" t="s">
        <v>117</v>
      </c>
      <c r="S105" s="139"/>
      <c r="T105" s="139"/>
      <c r="U105" s="139" t="s">
        <v>36</v>
      </c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36"/>
      <c r="AU105" s="36"/>
      <c r="AV105" s="36"/>
      <c r="AW105" s="36"/>
      <c r="AX105" s="36"/>
      <c r="AY105" s="137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</row>
    <row r="106" spans="1:64" s="50" customFormat="1" ht="25.5" hidden="1" customHeight="1">
      <c r="A106" s="105">
        <f t="shared" si="60"/>
        <v>0</v>
      </c>
      <c r="B106" s="299" t="str">
        <f t="shared" si="61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137"/>
      <c r="N106" s="139" t="s">
        <v>122</v>
      </c>
      <c r="O106" s="139" t="s">
        <v>122</v>
      </c>
      <c r="P106" s="139" t="s">
        <v>122</v>
      </c>
      <c r="Q106" s="139" t="s">
        <v>122</v>
      </c>
      <c r="R106" s="139" t="s">
        <v>111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36"/>
      <c r="AU106" s="36"/>
      <c r="AV106" s="36"/>
      <c r="AW106" s="36"/>
      <c r="AX106" s="36"/>
      <c r="AY106" s="137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4"/>
      <c r="BL106" s="34"/>
    </row>
    <row r="107" spans="1:64" s="34" customFormat="1" ht="25.5" hidden="1" customHeight="1">
      <c r="A107" s="105">
        <f t="shared" si="60"/>
        <v>0</v>
      </c>
      <c r="B107" s="299" t="str">
        <f t="shared" si="61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137"/>
      <c r="N107" s="139" t="s">
        <v>91</v>
      </c>
      <c r="O107" s="139" t="s">
        <v>91</v>
      </c>
      <c r="P107" s="139" t="s">
        <v>91</v>
      </c>
      <c r="Q107" s="139" t="s">
        <v>91</v>
      </c>
      <c r="R107" s="138" t="s">
        <v>48</v>
      </c>
      <c r="S107" s="138"/>
      <c r="T107" s="138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36"/>
      <c r="AU107" s="36"/>
      <c r="AV107" s="36"/>
      <c r="AW107" s="36"/>
      <c r="AX107" s="36"/>
      <c r="AY107" s="137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</row>
    <row r="108" spans="1:64" s="50" customFormat="1" ht="25.5" hidden="1" customHeight="1">
      <c r="A108" s="32">
        <f t="shared" si="60"/>
        <v>0</v>
      </c>
      <c r="B108" s="299" t="str">
        <f t="shared" si="61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137"/>
      <c r="N108" s="139" t="s">
        <v>58</v>
      </c>
      <c r="O108" s="139" t="s">
        <v>58</v>
      </c>
      <c r="P108" s="139" t="s">
        <v>58</v>
      </c>
      <c r="Q108" s="139" t="s">
        <v>58</v>
      </c>
      <c r="R108" s="139" t="s">
        <v>64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36"/>
      <c r="AU108" s="36"/>
      <c r="AV108" s="36"/>
      <c r="AW108" s="36"/>
      <c r="AX108" s="36"/>
      <c r="AY108" s="137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</row>
    <row r="109" spans="1:64" s="34" customFormat="1" ht="25.5" hidden="1" customHeight="1">
      <c r="A109" s="105">
        <f t="shared" si="60"/>
        <v>0</v>
      </c>
      <c r="B109" s="299" t="str">
        <f t="shared" si="61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137"/>
      <c r="N109" s="139" t="s">
        <v>65</v>
      </c>
      <c r="O109" s="139" t="s">
        <v>125</v>
      </c>
      <c r="P109" s="139" t="s">
        <v>65</v>
      </c>
      <c r="Q109" s="139" t="s">
        <v>125</v>
      </c>
      <c r="R109" s="139" t="s">
        <v>66</v>
      </c>
      <c r="S109" s="139"/>
      <c r="T109" s="139"/>
      <c r="U109" s="137" t="s">
        <v>36</v>
      </c>
      <c r="V109" s="138" t="s">
        <v>48</v>
      </c>
      <c r="W109" s="138"/>
      <c r="X109" s="138"/>
      <c r="Y109" s="138"/>
      <c r="Z109" s="138"/>
      <c r="AA109" s="138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36"/>
      <c r="AU109" s="36"/>
      <c r="AV109" s="36"/>
      <c r="AW109" s="36"/>
      <c r="AX109" s="36"/>
      <c r="AY109" s="137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50"/>
      <c r="BL109" s="50"/>
    </row>
    <row r="110" spans="1:64" s="34" customFormat="1" ht="25.5" hidden="1" customHeight="1">
      <c r="A110" s="32">
        <f t="shared" si="60"/>
        <v>0</v>
      </c>
      <c r="B110" s="299" t="str">
        <f t="shared" si="61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137"/>
      <c r="N110" s="139" t="s">
        <v>67</v>
      </c>
      <c r="O110" s="139" t="s">
        <v>126</v>
      </c>
      <c r="P110" s="139" t="s">
        <v>67</v>
      </c>
      <c r="Q110" s="139" t="s">
        <v>126</v>
      </c>
      <c r="R110" s="139" t="s">
        <v>106</v>
      </c>
      <c r="S110" s="139"/>
      <c r="T110" s="139"/>
      <c r="U110" s="137" t="s">
        <v>36</v>
      </c>
      <c r="V110" s="139" t="s">
        <v>69</v>
      </c>
      <c r="W110" s="139"/>
      <c r="X110" s="139"/>
      <c r="Y110" s="139"/>
      <c r="Z110" s="139"/>
      <c r="AA110" s="139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36"/>
      <c r="AU110" s="36"/>
      <c r="AV110" s="36"/>
      <c r="AW110" s="36"/>
      <c r="AX110" s="36"/>
      <c r="AY110" s="137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50"/>
      <c r="BL110" s="50"/>
    </row>
    <row r="111" spans="1:64" s="50" customFormat="1" ht="25.5" hidden="1" customHeight="1">
      <c r="A111" s="32">
        <f t="shared" si="60"/>
        <v>0</v>
      </c>
      <c r="B111" s="299" t="str">
        <f t="shared" si="61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137"/>
      <c r="N111" s="139" t="s">
        <v>68</v>
      </c>
      <c r="O111" s="139" t="s">
        <v>127</v>
      </c>
      <c r="P111" s="139" t="s">
        <v>68</v>
      </c>
      <c r="Q111" s="139" t="s">
        <v>127</v>
      </c>
      <c r="R111" s="138" t="s">
        <v>61</v>
      </c>
      <c r="S111" s="138"/>
      <c r="T111" s="138"/>
      <c r="U111" s="137" t="s">
        <v>36</v>
      </c>
      <c r="V111" s="139" t="s">
        <v>54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36"/>
      <c r="AU111" s="36"/>
      <c r="AV111" s="36"/>
      <c r="AW111" s="36"/>
      <c r="AX111" s="36"/>
      <c r="AY111" s="137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4"/>
      <c r="BL111" s="34"/>
    </row>
    <row r="112" spans="1:64" s="34" customFormat="1" ht="25.5" hidden="1" customHeight="1">
      <c r="A112" s="105">
        <f t="shared" si="60"/>
        <v>0</v>
      </c>
      <c r="B112" s="299" t="str">
        <f t="shared" si="61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137"/>
      <c r="N112" s="139" t="s">
        <v>113</v>
      </c>
      <c r="O112" s="139" t="s">
        <v>116</v>
      </c>
      <c r="P112" s="139" t="s">
        <v>113</v>
      </c>
      <c r="Q112" s="139" t="s">
        <v>116</v>
      </c>
      <c r="R112" s="137" t="s">
        <v>36</v>
      </c>
      <c r="S112" s="137"/>
      <c r="T112" s="137"/>
      <c r="U112" s="137" t="s">
        <v>36</v>
      </c>
      <c r="V112" s="139" t="s">
        <v>73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36"/>
      <c r="AU112" s="36"/>
      <c r="AV112" s="36"/>
      <c r="AW112" s="36"/>
      <c r="AX112" s="36"/>
      <c r="AY112" s="137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</row>
    <row r="113" spans="1:64" s="50" customFormat="1" ht="25.5" hidden="1" customHeight="1">
      <c r="A113" s="32">
        <f t="shared" si="60"/>
        <v>0</v>
      </c>
      <c r="B113" s="299" t="str">
        <f t="shared" si="61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137"/>
      <c r="N113" s="139" t="s">
        <v>114</v>
      </c>
      <c r="O113" s="139" t="s">
        <v>128</v>
      </c>
      <c r="P113" s="139" t="s">
        <v>114</v>
      </c>
      <c r="Q113" s="139" t="s">
        <v>128</v>
      </c>
      <c r="R113" s="139" t="s">
        <v>36</v>
      </c>
      <c r="S113" s="139"/>
      <c r="T113" s="139"/>
      <c r="U113" s="139" t="s">
        <v>36</v>
      </c>
      <c r="V113" s="139" t="s">
        <v>105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36"/>
      <c r="AU113" s="36"/>
      <c r="AV113" s="36"/>
      <c r="AW113" s="36"/>
      <c r="AX113" s="36"/>
      <c r="AY113" s="137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</row>
    <row r="114" spans="1:64" s="34" customFormat="1" ht="25.5" hidden="1" customHeight="1">
      <c r="A114" s="105">
        <f t="shared" si="60"/>
        <v>0</v>
      </c>
      <c r="B114" s="299" t="str">
        <f t="shared" si="61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137"/>
      <c r="N114" s="139" t="s">
        <v>115</v>
      </c>
      <c r="O114" s="139" t="s">
        <v>94</v>
      </c>
      <c r="P114" s="139" t="s">
        <v>115</v>
      </c>
      <c r="Q114" s="139" t="s">
        <v>94</v>
      </c>
      <c r="R114" s="138" t="s">
        <v>36</v>
      </c>
      <c r="S114" s="138"/>
      <c r="T114" s="138"/>
      <c r="U114" s="138" t="s">
        <v>36</v>
      </c>
      <c r="V114" s="137" t="s">
        <v>36</v>
      </c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36"/>
      <c r="AU114" s="36"/>
      <c r="AV114" s="36"/>
      <c r="AW114" s="36"/>
      <c r="AX114" s="36"/>
      <c r="AY114" s="137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50"/>
      <c r="BL114" s="50"/>
    </row>
    <row r="115" spans="1:64" s="34" customFormat="1" ht="25.5" hidden="1" customHeight="1">
      <c r="A115" s="32">
        <f t="shared" si="60"/>
        <v>1</v>
      </c>
      <c r="B115" s="299" t="str">
        <f>IF(H$8=1,R115,IF(N$8=1,U115,IF(M$8=1,IF(F$10="бел. рублей",IF(D$17="Залог приобретаемого товара",V115,Q115),IF(D$17="Залог приобретаемого товара",AB115,P115)))))</f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137"/>
      <c r="N115" s="138" t="s">
        <v>48</v>
      </c>
      <c r="O115" s="138" t="s">
        <v>48</v>
      </c>
      <c r="P115" s="138" t="s">
        <v>48</v>
      </c>
      <c r="Q115" s="138" t="s">
        <v>48</v>
      </c>
      <c r="R115" s="138" t="s">
        <v>36</v>
      </c>
      <c r="S115" s="138"/>
      <c r="T115" s="138"/>
      <c r="U115" s="138" t="s">
        <v>36</v>
      </c>
      <c r="V115" s="139" t="s">
        <v>77</v>
      </c>
      <c r="W115" s="137"/>
      <c r="X115" s="137"/>
      <c r="Y115" s="137"/>
      <c r="Z115" s="137"/>
      <c r="AA115" s="137"/>
      <c r="AB115" s="139" t="s">
        <v>77</v>
      </c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36"/>
      <c r="AU115" s="36"/>
      <c r="AV115" s="36"/>
      <c r="AW115" s="36"/>
      <c r="AX115" s="36"/>
      <c r="AY115" s="137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50"/>
      <c r="BL115" s="50"/>
    </row>
    <row r="116" spans="1:64" s="34" customFormat="1" ht="25.5" hidden="1" customHeight="1">
      <c r="A116" s="32">
        <f t="shared" si="60"/>
        <v>0</v>
      </c>
      <c r="B116" s="299" t="str">
        <f>IF(H$8=1,R116,IF(N$8=1,U116,IF(M$8=1,IF(F$10="бел. рублей",IF(D$17="Неустойка",O116,Q116),IF(D$17="Неустойка",N116,P116)))))</f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пунктов;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137"/>
      <c r="N116" s="139" t="s">
        <v>108</v>
      </c>
      <c r="O116" s="139" t="s">
        <v>108</v>
      </c>
      <c r="P116" s="139" t="s">
        <v>108</v>
      </c>
      <c r="Q116" s="139" t="s">
        <v>108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36"/>
      <c r="AU116" s="36"/>
      <c r="AV116" s="36"/>
      <c r="AW116" s="36"/>
      <c r="AX116" s="36"/>
      <c r="AY116" s="137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50"/>
      <c r="BL116" s="50"/>
    </row>
    <row r="117" spans="1:64" s="34" customFormat="1" ht="25.5" hidden="1" customHeight="1">
      <c r="A117" s="32">
        <f t="shared" si="60"/>
        <v>0</v>
      </c>
      <c r="B117" s="299" t="str">
        <f>IF(H$8=1,R117,IF(N$8=1,U117,IF(M$8=1,IF(F$10="бел. рублей",IF(D$17="Неустойка",O117,Q117),IF(D$17="Неустойка",N117,P117)))))</f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137"/>
      <c r="N117" s="139" t="s">
        <v>81</v>
      </c>
      <c r="O117" s="139" t="s">
        <v>81</v>
      </c>
      <c r="P117" s="139" t="s">
        <v>78</v>
      </c>
      <c r="Q117" s="139" t="s">
        <v>78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36"/>
      <c r="AU117" s="36"/>
      <c r="AV117" s="36"/>
      <c r="AW117" s="36"/>
      <c r="AX117" s="36"/>
      <c r="AY117" s="137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50"/>
      <c r="BL117" s="50"/>
    </row>
    <row r="118" spans="1:64" s="34" customFormat="1" ht="25.5" hidden="1" customHeight="1">
      <c r="A118" s="32">
        <f t="shared" si="60"/>
        <v>0</v>
      </c>
      <c r="B118" s="299" t="str">
        <f>IF(H$8=1,R118,IF(N$8=1,U118,IF(M$8=1,IF(F$10="бел. рублей",IF(D$17="Неустойка",O118,Q118),IF(D$17="Неустойка",N118,P118)))))</f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137"/>
      <c r="N118" s="139" t="s">
        <v>82</v>
      </c>
      <c r="O118" s="139" t="s">
        <v>82</v>
      </c>
      <c r="P118" s="139" t="s">
        <v>106</v>
      </c>
      <c r="Q118" s="139" t="s">
        <v>106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36"/>
      <c r="AU118" s="36"/>
      <c r="AV118" s="36"/>
      <c r="AW118" s="36"/>
      <c r="AX118" s="36"/>
      <c r="AY118" s="137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50"/>
      <c r="BL118" s="50"/>
    </row>
    <row r="119" spans="1:64" s="34" customFormat="1" ht="25.5" hidden="1" customHeight="1">
      <c r="A119" s="32">
        <f>IF(LEFT(B119,1)="I",1,0)</f>
        <v>0</v>
      </c>
      <c r="B119" s="299" t="str">
        <f>IF(H$8=1,R119,IF(N$8=1,U119,IF(M$8=1,IF(F$10="бел. рублей",IF(D$17="Неустойка",O119,Q119),IF(D$17="Неустойка",N119,P119)))))</f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137"/>
      <c r="N119" s="139" t="s">
        <v>105</v>
      </c>
      <c r="O119" s="139" t="s">
        <v>105</v>
      </c>
      <c r="P119" s="138" t="s">
        <v>61</v>
      </c>
      <c r="Q119" s="138" t="s">
        <v>61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36"/>
      <c r="AU119" s="36"/>
      <c r="AV119" s="36"/>
      <c r="AW119" s="36"/>
      <c r="AX119" s="36"/>
      <c r="AY119" s="137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50"/>
      <c r="BL119" s="50"/>
    </row>
    <row r="120" spans="1:64" s="34" customFormat="1" ht="38.25" customHeight="1">
      <c r="A120" s="32"/>
      <c r="B120" s="385" t="s">
        <v>154</v>
      </c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137"/>
      <c r="N120" s="139"/>
      <c r="O120" s="139"/>
      <c r="P120" s="138"/>
      <c r="Q120" s="138"/>
      <c r="R120" s="138"/>
      <c r="S120" s="138"/>
      <c r="T120" s="138"/>
      <c r="U120" s="138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36"/>
      <c r="AU120" s="36"/>
      <c r="AV120" s="36"/>
      <c r="AW120" s="36"/>
      <c r="AX120" s="36"/>
      <c r="AY120" s="137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50"/>
      <c r="BL120" s="50"/>
    </row>
    <row r="121" spans="1:64" s="34" customFormat="1" ht="39" customHeight="1">
      <c r="A121" s="32"/>
      <c r="B121" s="385" t="s">
        <v>202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9"/>
      <c r="O121" s="139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36"/>
      <c r="AU121" s="36"/>
      <c r="AV121" s="36"/>
      <c r="AW121" s="36"/>
      <c r="AX121" s="36"/>
      <c r="AY121" s="137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50"/>
      <c r="BL121" s="50"/>
    </row>
    <row r="122" spans="1:64" s="34" customFormat="1" ht="40.5" customHeight="1">
      <c r="A122" s="32"/>
      <c r="B122" s="385" t="s">
        <v>213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9"/>
      <c r="O122" s="139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36"/>
      <c r="AU122" s="36"/>
      <c r="AV122" s="36"/>
      <c r="AW122" s="36"/>
      <c r="AX122" s="36"/>
      <c r="AY122" s="137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50"/>
      <c r="BL122" s="50"/>
    </row>
    <row r="123" spans="1:64" s="34" customFormat="1" ht="64.5" customHeight="1">
      <c r="A123" s="32"/>
      <c r="B123" s="385" t="s">
        <v>209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9"/>
      <c r="O123" s="139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36"/>
      <c r="AU123" s="36"/>
      <c r="AV123" s="36"/>
      <c r="AW123" s="36"/>
      <c r="AX123" s="36"/>
      <c r="AY123" s="137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50"/>
      <c r="BL123" s="50"/>
    </row>
    <row r="124" spans="1:64" s="34" customFormat="1" ht="25.5" customHeight="1">
      <c r="A124" s="32"/>
      <c r="B124" s="394" t="s">
        <v>187</v>
      </c>
      <c r="C124" s="394"/>
      <c r="D124" s="394"/>
      <c r="E124" s="394"/>
      <c r="F124" s="394"/>
      <c r="G124" s="394"/>
      <c r="H124" s="394"/>
      <c r="I124" s="394"/>
      <c r="J124" s="394"/>
      <c r="K124" s="394"/>
      <c r="L124" s="394"/>
      <c r="M124" s="137"/>
      <c r="N124" s="139"/>
      <c r="O124" s="139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36"/>
      <c r="AU124" s="36"/>
      <c r="AV124" s="36"/>
      <c r="AW124" s="36"/>
      <c r="AX124" s="36"/>
      <c r="AY124" s="137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50"/>
      <c r="BL124" s="50"/>
    </row>
    <row r="125" spans="1:64" s="34" customFormat="1" ht="33.75" customHeight="1">
      <c r="A125" s="32"/>
      <c r="B125" s="385" t="s">
        <v>156</v>
      </c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137"/>
      <c r="N125" s="139"/>
      <c r="O125" s="139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36"/>
      <c r="AU125" s="36"/>
      <c r="AV125" s="36"/>
      <c r="AW125" s="36"/>
      <c r="AX125" s="36"/>
      <c r="AY125" s="137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50"/>
      <c r="BL125" s="50"/>
    </row>
    <row r="126" spans="1:64" s="34" customFormat="1" ht="49.5" customHeight="1">
      <c r="A126" s="32"/>
      <c r="B126" s="385" t="s">
        <v>157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137"/>
      <c r="N126" s="139"/>
      <c r="O126" s="139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36"/>
      <c r="AU126" s="36"/>
      <c r="AV126" s="36"/>
      <c r="AW126" s="36"/>
      <c r="AX126" s="36"/>
      <c r="AY126" s="137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50"/>
      <c r="BL126" s="50"/>
    </row>
    <row r="127" spans="1:64" s="34" customFormat="1" ht="36" customHeight="1">
      <c r="A127" s="32"/>
      <c r="B127" s="385" t="s">
        <v>158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137"/>
      <c r="N127" s="139"/>
      <c r="O127" s="139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36"/>
      <c r="AU127" s="36"/>
      <c r="AV127" s="36"/>
      <c r="AW127" s="36"/>
      <c r="AX127" s="36"/>
      <c r="AY127" s="137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50"/>
      <c r="BL127" s="50"/>
    </row>
    <row r="128" spans="1:64" s="34" customFormat="1" ht="40.5" customHeight="1">
      <c r="A128" s="32"/>
      <c r="B128" s="385" t="s">
        <v>159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137"/>
      <c r="N128" s="139"/>
      <c r="O128" s="139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36"/>
      <c r="AU128" s="36"/>
      <c r="AV128" s="36"/>
      <c r="AW128" s="36"/>
      <c r="AX128" s="36"/>
      <c r="AY128" s="137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50"/>
      <c r="BL128" s="50"/>
    </row>
    <row r="129" spans="1:64" s="34" customFormat="1" ht="25.5" customHeight="1">
      <c r="A129" s="32"/>
      <c r="B129" s="394" t="s">
        <v>188</v>
      </c>
      <c r="C129" s="394"/>
      <c r="D129" s="394"/>
      <c r="E129" s="394"/>
      <c r="F129" s="394"/>
      <c r="G129" s="394"/>
      <c r="H129" s="394"/>
      <c r="I129" s="394"/>
      <c r="J129" s="394"/>
      <c r="K129" s="394"/>
      <c r="L129" s="394"/>
      <c r="M129" s="137"/>
      <c r="N129" s="139"/>
      <c r="O129" s="139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36"/>
      <c r="AU129" s="36"/>
      <c r="AV129" s="36"/>
      <c r="AW129" s="36"/>
      <c r="AX129" s="36"/>
      <c r="AY129" s="137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50"/>
      <c r="BL129" s="50"/>
    </row>
    <row r="130" spans="1:64" s="34" customFormat="1" ht="40.5" customHeight="1">
      <c r="A130" s="32"/>
      <c r="B130" s="385" t="s">
        <v>192</v>
      </c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137"/>
      <c r="N130" s="139"/>
      <c r="O130" s="139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36"/>
      <c r="AU130" s="36"/>
      <c r="AV130" s="36"/>
      <c r="AW130" s="36"/>
      <c r="AX130" s="36"/>
      <c r="AY130" s="137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50"/>
      <c r="BL130" s="50"/>
    </row>
    <row r="131" spans="1:64" s="34" customFormat="1" ht="42" customHeight="1">
      <c r="A131" s="32"/>
      <c r="B131" s="394" t="s">
        <v>160</v>
      </c>
      <c r="C131" s="394"/>
      <c r="D131" s="394"/>
      <c r="E131" s="394"/>
      <c r="F131" s="394"/>
      <c r="G131" s="394"/>
      <c r="H131" s="394"/>
      <c r="I131" s="394"/>
      <c r="J131" s="394"/>
      <c r="K131" s="394"/>
      <c r="L131" s="394"/>
      <c r="M131" s="137"/>
      <c r="N131" s="139"/>
      <c r="O131" s="139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36"/>
      <c r="AU131" s="36"/>
      <c r="AV131" s="36"/>
      <c r="AW131" s="36"/>
      <c r="AX131" s="36"/>
      <c r="AY131" s="137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50"/>
      <c r="BL131" s="50"/>
    </row>
    <row r="132" spans="1:64" s="34" customFormat="1" ht="25.5" customHeight="1">
      <c r="A132" s="32"/>
      <c r="B132" s="393" t="s">
        <v>191</v>
      </c>
      <c r="C132" s="393"/>
      <c r="D132" s="393"/>
      <c r="E132" s="393"/>
      <c r="F132" s="393"/>
      <c r="G132" s="393"/>
      <c r="H132" s="393"/>
      <c r="I132" s="393"/>
      <c r="J132" s="393"/>
      <c r="K132" s="393"/>
      <c r="L132" s="393"/>
      <c r="M132" s="137"/>
      <c r="N132" s="139"/>
      <c r="O132" s="139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36"/>
      <c r="AU132" s="36"/>
      <c r="AV132" s="36"/>
      <c r="AW132" s="36"/>
      <c r="AX132" s="36"/>
      <c r="AY132" s="137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50"/>
      <c r="BL132" s="50"/>
    </row>
    <row r="133" spans="1:64" s="34" customFormat="1" ht="25.5" customHeight="1">
      <c r="A133" s="32"/>
      <c r="B133" s="393" t="s">
        <v>161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9"/>
      <c r="O133" s="139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36"/>
      <c r="AU133" s="36"/>
      <c r="AV133" s="36"/>
      <c r="AW133" s="36"/>
      <c r="AX133" s="36"/>
      <c r="AY133" s="137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50"/>
      <c r="BL133" s="50"/>
    </row>
    <row r="134" spans="1:64" s="34" customFormat="1" ht="11.25" customHeight="1">
      <c r="A134" s="32"/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137"/>
      <c r="N134" s="139"/>
      <c r="O134" s="139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36"/>
      <c r="AU134" s="36"/>
      <c r="AV134" s="36"/>
      <c r="AW134" s="36"/>
      <c r="AX134" s="36"/>
      <c r="AY134" s="137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50"/>
      <c r="BL134" s="50"/>
    </row>
    <row r="135" spans="1:64" s="34" customFormat="1" ht="25.5" customHeight="1">
      <c r="A135" s="32"/>
      <c r="B135" s="387" t="s">
        <v>162</v>
      </c>
      <c r="C135" s="388"/>
      <c r="D135" s="388"/>
      <c r="E135" s="388"/>
      <c r="F135" s="388"/>
      <c r="G135" s="388"/>
      <c r="H135" s="389"/>
      <c r="I135" s="390" t="s">
        <v>175</v>
      </c>
      <c r="J135" s="391"/>
      <c r="K135" s="391"/>
      <c r="L135" s="392"/>
      <c r="M135" s="137"/>
      <c r="N135" s="139"/>
      <c r="O135" s="139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36"/>
      <c r="AU135" s="36"/>
      <c r="AV135" s="36"/>
      <c r="AW135" s="36"/>
      <c r="AX135" s="36"/>
      <c r="AY135" s="137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50"/>
      <c r="BL135" s="50"/>
    </row>
    <row r="136" spans="1:64" s="34" customFormat="1" ht="36" customHeight="1">
      <c r="A136" s="32"/>
      <c r="B136" s="387" t="s">
        <v>164</v>
      </c>
      <c r="C136" s="388"/>
      <c r="D136" s="388"/>
      <c r="E136" s="388"/>
      <c r="F136" s="388"/>
      <c r="G136" s="388"/>
      <c r="H136" s="389"/>
      <c r="I136" s="390" t="s">
        <v>216</v>
      </c>
      <c r="J136" s="391"/>
      <c r="K136" s="391"/>
      <c r="L136" s="392"/>
      <c r="M136" s="137"/>
      <c r="N136" s="139"/>
      <c r="O136" s="139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36"/>
      <c r="AU136" s="36"/>
      <c r="AV136" s="36"/>
      <c r="AW136" s="36"/>
      <c r="AX136" s="36"/>
      <c r="AY136" s="137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50"/>
      <c r="BL136" s="50"/>
    </row>
    <row r="137" spans="1:64" s="34" customFormat="1" ht="48.75" customHeight="1">
      <c r="A137" s="32"/>
      <c r="B137" s="387" t="s">
        <v>166</v>
      </c>
      <c r="C137" s="388"/>
      <c r="D137" s="388"/>
      <c r="E137" s="388"/>
      <c r="F137" s="388"/>
      <c r="G137" s="388"/>
      <c r="H137" s="389"/>
      <c r="I137" s="390" t="s">
        <v>217</v>
      </c>
      <c r="J137" s="391"/>
      <c r="K137" s="391"/>
      <c r="L137" s="392"/>
      <c r="M137" s="137"/>
      <c r="N137" s="139"/>
      <c r="O137" s="139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36"/>
      <c r="AU137" s="36"/>
      <c r="AV137" s="36"/>
      <c r="AW137" s="36"/>
      <c r="AX137" s="36"/>
      <c r="AY137" s="137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50"/>
      <c r="BL137" s="50"/>
    </row>
    <row r="138" spans="1:64" s="34" customFormat="1" ht="51.75" customHeight="1">
      <c r="A138" s="32"/>
      <c r="B138" s="387" t="s">
        <v>167</v>
      </c>
      <c r="C138" s="388"/>
      <c r="D138" s="388"/>
      <c r="E138" s="388"/>
      <c r="F138" s="388"/>
      <c r="G138" s="388"/>
      <c r="H138" s="389"/>
      <c r="I138" s="390" t="s">
        <v>217</v>
      </c>
      <c r="J138" s="391"/>
      <c r="K138" s="391"/>
      <c r="L138" s="392"/>
      <c r="M138" s="137"/>
      <c r="N138" s="139"/>
      <c r="O138" s="139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36"/>
      <c r="AU138" s="36"/>
      <c r="AV138" s="36"/>
      <c r="AW138" s="36"/>
      <c r="AX138" s="36"/>
      <c r="AY138" s="137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50"/>
      <c r="BL138" s="50"/>
    </row>
    <row r="139" spans="1:64" s="34" customFormat="1" ht="25.5" customHeight="1">
      <c r="A139" s="32"/>
      <c r="B139" s="386"/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137"/>
      <c r="N139" s="139"/>
      <c r="O139" s="139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36"/>
      <c r="AU139" s="36"/>
      <c r="AV139" s="36"/>
      <c r="AW139" s="36"/>
      <c r="AX139" s="36"/>
      <c r="AY139" s="137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50"/>
      <c r="BL139" s="50"/>
    </row>
    <row r="140" spans="1:64" s="34" customFormat="1" ht="25.5" customHeight="1">
      <c r="A140" s="32"/>
      <c r="B140" s="393" t="s">
        <v>169</v>
      </c>
      <c r="C140" s="393"/>
      <c r="D140" s="393"/>
      <c r="E140" s="393"/>
      <c r="F140" s="393"/>
      <c r="G140" s="393"/>
      <c r="H140" s="393"/>
      <c r="I140" s="393"/>
      <c r="J140" s="393"/>
      <c r="K140" s="393"/>
      <c r="L140" s="393"/>
      <c r="M140" s="137"/>
      <c r="N140" s="139"/>
      <c r="O140" s="139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36"/>
      <c r="AU140" s="36"/>
      <c r="AV140" s="36"/>
      <c r="AW140" s="36"/>
      <c r="AX140" s="36"/>
      <c r="AY140" s="137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50"/>
      <c r="BL140" s="50"/>
    </row>
    <row r="141" spans="1:64" s="34" customFormat="1" ht="25.5" customHeight="1">
      <c r="A141" s="32"/>
      <c r="B141" s="384"/>
      <c r="C141" s="384"/>
      <c r="D141" s="384"/>
      <c r="E141" s="384"/>
      <c r="F141" s="384"/>
      <c r="G141" s="384"/>
      <c r="H141" s="384"/>
      <c r="I141" s="384"/>
      <c r="J141" s="384"/>
      <c r="K141" s="384"/>
      <c r="L141" s="384"/>
      <c r="M141" s="137"/>
      <c r="N141" s="139"/>
      <c r="O141" s="139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36"/>
      <c r="AU141" s="36"/>
      <c r="AV141" s="36"/>
      <c r="AW141" s="36"/>
      <c r="AX141" s="36"/>
      <c r="AY141" s="137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50"/>
      <c r="BL141" s="50"/>
    </row>
    <row r="142" spans="1:64" s="34" customFormat="1" ht="25.5" customHeight="1">
      <c r="A142" s="32"/>
      <c r="B142" s="390" t="s">
        <v>170</v>
      </c>
      <c r="C142" s="391"/>
      <c r="D142" s="391"/>
      <c r="E142" s="391"/>
      <c r="F142" s="391"/>
      <c r="G142" s="391"/>
      <c r="H142" s="392"/>
      <c r="I142" s="390" t="s">
        <v>174</v>
      </c>
      <c r="J142" s="391"/>
      <c r="K142" s="391"/>
      <c r="L142" s="392"/>
      <c r="M142" s="137"/>
      <c r="N142" s="139"/>
      <c r="O142" s="139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36"/>
      <c r="AU142" s="36"/>
      <c r="AV142" s="36"/>
      <c r="AW142" s="36"/>
      <c r="AX142" s="36"/>
      <c r="AY142" s="137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50"/>
      <c r="BL142" s="50"/>
    </row>
    <row r="143" spans="1:64" s="34" customFormat="1" ht="33.75" customHeight="1">
      <c r="A143" s="32"/>
      <c r="B143" s="390" t="s">
        <v>173</v>
      </c>
      <c r="C143" s="391"/>
      <c r="D143" s="391"/>
      <c r="E143" s="391"/>
      <c r="F143" s="391"/>
      <c r="G143" s="391"/>
      <c r="H143" s="392"/>
      <c r="I143" s="390" t="s">
        <v>208</v>
      </c>
      <c r="J143" s="391"/>
      <c r="K143" s="391"/>
      <c r="L143" s="392"/>
      <c r="M143" s="137"/>
      <c r="N143" s="139"/>
      <c r="O143" s="139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36"/>
      <c r="AU143" s="36"/>
      <c r="AV143" s="36"/>
      <c r="AW143" s="36"/>
      <c r="AX143" s="36"/>
      <c r="AY143" s="137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50"/>
      <c r="BL143" s="50"/>
    </row>
    <row r="144" spans="1:64" s="34" customFormat="1" ht="36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205</v>
      </c>
      <c r="J144" s="391"/>
      <c r="K144" s="391"/>
      <c r="L144" s="392"/>
      <c r="M144" s="137"/>
      <c r="N144" s="139"/>
      <c r="O144" s="139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36"/>
      <c r="AU144" s="36"/>
      <c r="AV144" s="36"/>
      <c r="AW144" s="36"/>
      <c r="AX144" s="36"/>
      <c r="AY144" s="137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50"/>
      <c r="BL144" s="50"/>
    </row>
    <row r="145" spans="1:64" s="34" customFormat="1" ht="50.2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206</v>
      </c>
      <c r="J145" s="391"/>
      <c r="K145" s="391"/>
      <c r="L145" s="392"/>
      <c r="M145" s="137"/>
      <c r="N145" s="139"/>
      <c r="O145" s="139"/>
      <c r="P145" s="138"/>
      <c r="Q145" s="138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36"/>
      <c r="AU145" s="36"/>
      <c r="AV145" s="36"/>
      <c r="AW145" s="36"/>
      <c r="AX145" s="36"/>
      <c r="AY145" s="137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50"/>
      <c r="BL145" s="50"/>
    </row>
    <row r="146" spans="1:64" s="34" customFormat="1" ht="51.7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207</v>
      </c>
      <c r="J146" s="391"/>
      <c r="K146" s="391"/>
      <c r="L146" s="392"/>
      <c r="M146" s="137"/>
      <c r="N146" s="139"/>
      <c r="O146" s="139"/>
      <c r="P146" s="138"/>
      <c r="Q146" s="138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36"/>
      <c r="AU146" s="36"/>
      <c r="AV146" s="36"/>
      <c r="AW146" s="36"/>
      <c r="AX146" s="36"/>
      <c r="AY146" s="137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50"/>
      <c r="BL146" s="50"/>
    </row>
    <row r="147" spans="1:64" s="34" customFormat="1" ht="69.75" customHeight="1">
      <c r="A147" s="32"/>
      <c r="B147" s="400" t="s">
        <v>179</v>
      </c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  <c r="M147" s="137"/>
      <c r="N147" s="139"/>
      <c r="O147" s="139"/>
      <c r="P147" s="138"/>
      <c r="Q147" s="138"/>
      <c r="R147" s="138"/>
      <c r="S147" s="138"/>
      <c r="T147" s="138"/>
      <c r="U147" s="138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36"/>
      <c r="AU147" s="36"/>
      <c r="AV147" s="36"/>
      <c r="AW147" s="36"/>
      <c r="AX147" s="36"/>
      <c r="AY147" s="137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50"/>
      <c r="BL147" s="50"/>
    </row>
    <row r="148" spans="1:64" s="34" customFormat="1" ht="39" customHeight="1">
      <c r="A148" s="32"/>
      <c r="B148" s="385" t="s">
        <v>180</v>
      </c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137"/>
      <c r="N148" s="139"/>
      <c r="O148" s="139"/>
      <c r="P148" s="138"/>
      <c r="Q148" s="138"/>
      <c r="R148" s="138"/>
      <c r="S148" s="138"/>
      <c r="T148" s="138"/>
      <c r="U148" s="138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36"/>
      <c r="AU148" s="36"/>
      <c r="AV148" s="36"/>
      <c r="AW148" s="36"/>
      <c r="AX148" s="36"/>
      <c r="AY148" s="137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50"/>
      <c r="BL148" s="50"/>
    </row>
    <row r="149" spans="1:64">
      <c r="A149" s="2"/>
      <c r="B149" s="399"/>
      <c r="C149" s="399"/>
      <c r="D149" s="399"/>
      <c r="E149" s="399"/>
      <c r="F149" s="399"/>
      <c r="G149" s="399"/>
      <c r="H149" s="399"/>
      <c r="I149" s="399"/>
      <c r="J149" s="399"/>
      <c r="K149" s="399"/>
      <c r="L149" s="399"/>
    </row>
    <row r="150" spans="1:64" ht="16.5" thickBot="1">
      <c r="A150" s="2"/>
      <c r="B150" s="396">
        <f ca="1">IF(A150=0,TODAY(),A150)</f>
        <v>45294</v>
      </c>
      <c r="C150" s="397"/>
      <c r="D150" s="398"/>
      <c r="E150" s="398"/>
      <c r="F150" s="398"/>
      <c r="G150" s="385" t="str">
        <f>D7</f>
        <v>Иванов И.И.</v>
      </c>
      <c r="H150" s="385"/>
      <c r="I150" s="123"/>
      <c r="J150" s="123"/>
      <c r="K150" s="123"/>
      <c r="L150" s="123"/>
    </row>
    <row r="151" spans="1:6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6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6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6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6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6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64">
      <c r="A157" s="2"/>
      <c r="B157" s="2"/>
      <c r="C157" s="2"/>
      <c r="D157" s="2"/>
      <c r="E157" s="2"/>
      <c r="F157" s="2"/>
      <c r="G157" s="2"/>
      <c r="H157" s="2"/>
      <c r="I157" s="2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</row>
    <row r="158" spans="1:6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6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6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C7A8" sheet="1"/>
  <mergeCells count="232">
    <mergeCell ref="M11:P11"/>
    <mergeCell ref="D12:E12"/>
    <mergeCell ref="M12:P12"/>
    <mergeCell ref="D11:E11"/>
    <mergeCell ref="N1:Q1"/>
    <mergeCell ref="B7:C7"/>
    <mergeCell ref="D7:F7"/>
    <mergeCell ref="B5:I5"/>
    <mergeCell ref="F1:H4"/>
    <mergeCell ref="B8:C8"/>
    <mergeCell ref="D8:F8"/>
    <mergeCell ref="B10:C10"/>
    <mergeCell ref="D10:E10"/>
    <mergeCell ref="B16:C16"/>
    <mergeCell ref="B11:C11"/>
    <mergeCell ref="B12:C12"/>
    <mergeCell ref="D17:F17"/>
    <mergeCell ref="B13:C13"/>
    <mergeCell ref="B14:C14"/>
    <mergeCell ref="D14:E14"/>
    <mergeCell ref="D13:F13"/>
    <mergeCell ref="D16:E16"/>
    <mergeCell ref="B15:C15"/>
    <mergeCell ref="D15:E15"/>
    <mergeCell ref="B17:C17"/>
    <mergeCell ref="D19:F19"/>
    <mergeCell ref="D21:F21"/>
    <mergeCell ref="D20:F20"/>
    <mergeCell ref="B23:C24"/>
    <mergeCell ref="B25:C25"/>
    <mergeCell ref="D25:E25"/>
    <mergeCell ref="D24:E24"/>
    <mergeCell ref="D23:H23"/>
    <mergeCell ref="B27:C27"/>
    <mergeCell ref="D27:E27"/>
    <mergeCell ref="B29:C29"/>
    <mergeCell ref="D29:E29"/>
    <mergeCell ref="B33:C33"/>
    <mergeCell ref="D33:E33"/>
    <mergeCell ref="B30:C30"/>
    <mergeCell ref="D30:E30"/>
    <mergeCell ref="B32:C32"/>
    <mergeCell ref="D32:E32"/>
    <mergeCell ref="B26:C26"/>
    <mergeCell ref="D26:E26"/>
    <mergeCell ref="D31:E31"/>
    <mergeCell ref="B28:C28"/>
    <mergeCell ref="D28:E28"/>
    <mergeCell ref="B38:C38"/>
    <mergeCell ref="D38:E38"/>
    <mergeCell ref="B43:C43"/>
    <mergeCell ref="D43:E43"/>
    <mergeCell ref="B44:C44"/>
    <mergeCell ref="D44:E44"/>
    <mergeCell ref="B31:C31"/>
    <mergeCell ref="B42:C42"/>
    <mergeCell ref="D42:E42"/>
    <mergeCell ref="B39:C39"/>
    <mergeCell ref="D39:E39"/>
    <mergeCell ref="B36:C36"/>
    <mergeCell ref="D36:E36"/>
    <mergeCell ref="B41:C41"/>
    <mergeCell ref="D41:E41"/>
    <mergeCell ref="D37:E37"/>
    <mergeCell ref="B34:C34"/>
    <mergeCell ref="D34:E34"/>
    <mergeCell ref="B40:C40"/>
    <mergeCell ref="D40:E40"/>
    <mergeCell ref="B35:C35"/>
    <mergeCell ref="D35:E35"/>
    <mergeCell ref="B37:C37"/>
    <mergeCell ref="B50:C50"/>
    <mergeCell ref="D50:E50"/>
    <mergeCell ref="B45:C45"/>
    <mergeCell ref="D45:E45"/>
    <mergeCell ref="B47:C47"/>
    <mergeCell ref="D47:E47"/>
    <mergeCell ref="B49:C49"/>
    <mergeCell ref="D49:E49"/>
    <mergeCell ref="B48:C48"/>
    <mergeCell ref="D48:E48"/>
    <mergeCell ref="B46:C46"/>
    <mergeCell ref="D46:E46"/>
    <mergeCell ref="I23:L23"/>
    <mergeCell ref="P94:Q94"/>
    <mergeCell ref="B92:K92"/>
    <mergeCell ref="B93:K93"/>
    <mergeCell ref="B85:C85"/>
    <mergeCell ref="D85:E85"/>
    <mergeCell ref="B81:C81"/>
    <mergeCell ref="D81:E81"/>
    <mergeCell ref="D79:E79"/>
    <mergeCell ref="B80:C80"/>
    <mergeCell ref="B66:C66"/>
    <mergeCell ref="D66:E66"/>
    <mergeCell ref="B65:C65"/>
    <mergeCell ref="D65:E65"/>
    <mergeCell ref="B79:C79"/>
    <mergeCell ref="B78:C78"/>
    <mergeCell ref="D78:E78"/>
    <mergeCell ref="B73:C73"/>
    <mergeCell ref="D73:E73"/>
    <mergeCell ref="D64:E64"/>
    <mergeCell ref="B59:C59"/>
    <mergeCell ref="D59:E59"/>
    <mergeCell ref="D53:E53"/>
    <mergeCell ref="B54:C54"/>
    <mergeCell ref="D80:E80"/>
    <mergeCell ref="N94:O94"/>
    <mergeCell ref="D83:E83"/>
    <mergeCell ref="B82:C82"/>
    <mergeCell ref="B86:C86"/>
    <mergeCell ref="D86:E86"/>
    <mergeCell ref="B87:H87"/>
    <mergeCell ref="D82:E82"/>
    <mergeCell ref="B83:C83"/>
    <mergeCell ref="B89:H89"/>
    <mergeCell ref="B102:K102"/>
    <mergeCell ref="B103:K103"/>
    <mergeCell ref="B96:H96"/>
    <mergeCell ref="B100:K100"/>
    <mergeCell ref="B111:K111"/>
    <mergeCell ref="B97:K97"/>
    <mergeCell ref="B98:K98"/>
    <mergeCell ref="B99:K99"/>
    <mergeCell ref="B101:K101"/>
    <mergeCell ref="B110:K110"/>
    <mergeCell ref="B104:K104"/>
    <mergeCell ref="B18:C18"/>
    <mergeCell ref="D18:F18"/>
    <mergeCell ref="D22:E22"/>
    <mergeCell ref="B68:C68"/>
    <mergeCell ref="D68:E68"/>
    <mergeCell ref="B61:C61"/>
    <mergeCell ref="D61:E61"/>
    <mergeCell ref="B62:C62"/>
    <mergeCell ref="D62:E62"/>
    <mergeCell ref="B60:C60"/>
    <mergeCell ref="D54:E54"/>
    <mergeCell ref="B55:C55"/>
    <mergeCell ref="D55:E55"/>
    <mergeCell ref="B57:C57"/>
    <mergeCell ref="D57:E57"/>
    <mergeCell ref="B51:C51"/>
    <mergeCell ref="D51:E51"/>
    <mergeCell ref="B58:C58"/>
    <mergeCell ref="D58:E58"/>
    <mergeCell ref="B53:C53"/>
    <mergeCell ref="B56:C56"/>
    <mergeCell ref="D56:E56"/>
    <mergeCell ref="B52:C52"/>
    <mergeCell ref="D52:E52"/>
    <mergeCell ref="D60:E60"/>
    <mergeCell ref="B67:C67"/>
    <mergeCell ref="B70:C70"/>
    <mergeCell ref="D70:E70"/>
    <mergeCell ref="D69:E69"/>
    <mergeCell ref="B69:C69"/>
    <mergeCell ref="D67:E67"/>
    <mergeCell ref="B63:C63"/>
    <mergeCell ref="D63:E63"/>
    <mergeCell ref="B64:C64"/>
    <mergeCell ref="B120:L120"/>
    <mergeCell ref="B119:K119"/>
    <mergeCell ref="B117:K117"/>
    <mergeCell ref="B123:L123"/>
    <mergeCell ref="B124:L124"/>
    <mergeCell ref="D72:E72"/>
    <mergeCell ref="B77:C77"/>
    <mergeCell ref="B71:C71"/>
    <mergeCell ref="D71:E71"/>
    <mergeCell ref="D75:E75"/>
    <mergeCell ref="B72:C72"/>
    <mergeCell ref="D77:E77"/>
    <mergeCell ref="B74:C74"/>
    <mergeCell ref="D74:E74"/>
    <mergeCell ref="B76:C76"/>
    <mergeCell ref="D76:E76"/>
    <mergeCell ref="B75:C75"/>
    <mergeCell ref="B112:K112"/>
    <mergeCell ref="B108:K108"/>
    <mergeCell ref="B109:K109"/>
    <mergeCell ref="B105:K105"/>
    <mergeCell ref="B106:K106"/>
    <mergeCell ref="B84:C84"/>
    <mergeCell ref="D84:E84"/>
    <mergeCell ref="J157:U157"/>
    <mergeCell ref="B148:L148"/>
    <mergeCell ref="B145:H145"/>
    <mergeCell ref="B142:H142"/>
    <mergeCell ref="B150:C150"/>
    <mergeCell ref="D150:F150"/>
    <mergeCell ref="G150:H150"/>
    <mergeCell ref="B135:H135"/>
    <mergeCell ref="I135:L135"/>
    <mergeCell ref="I136:L136"/>
    <mergeCell ref="B137:H137"/>
    <mergeCell ref="I137:L137"/>
    <mergeCell ref="B149:L149"/>
    <mergeCell ref="B143:H143"/>
    <mergeCell ref="I143:L143"/>
    <mergeCell ref="I142:L142"/>
    <mergeCell ref="B147:L147"/>
    <mergeCell ref="B144:H144"/>
    <mergeCell ref="I144:L144"/>
    <mergeCell ref="I145:L145"/>
    <mergeCell ref="B146:H146"/>
    <mergeCell ref="I146:L146"/>
    <mergeCell ref="B113:K113"/>
    <mergeCell ref="B114:K114"/>
    <mergeCell ref="B107:K107"/>
    <mergeCell ref="B141:L141"/>
    <mergeCell ref="B126:L126"/>
    <mergeCell ref="B122:L122"/>
    <mergeCell ref="B115:K115"/>
    <mergeCell ref="B121:L121"/>
    <mergeCell ref="B139:L139"/>
    <mergeCell ref="B138:H138"/>
    <mergeCell ref="I138:L138"/>
    <mergeCell ref="B136:H136"/>
    <mergeCell ref="B140:L140"/>
    <mergeCell ref="B127:L127"/>
    <mergeCell ref="B132:L132"/>
    <mergeCell ref="B130:L130"/>
    <mergeCell ref="B134:L134"/>
    <mergeCell ref="B128:L128"/>
    <mergeCell ref="B133:L133"/>
    <mergeCell ref="B131:L131"/>
    <mergeCell ref="B129:L129"/>
    <mergeCell ref="B116:K116"/>
    <mergeCell ref="B125:L125"/>
    <mergeCell ref="B118:K118"/>
  </mergeCells>
  <phoneticPr fontId="22" type="noConversion"/>
  <conditionalFormatting sqref="A14:A15">
    <cfRule type="cellIs" dxfId="734" priority="4" stopIfTrue="1" operator="greaterThan">
      <formula>61</formula>
    </cfRule>
    <cfRule type="expression" dxfId="733" priority="5" stopIfTrue="1">
      <formula>$A$24</formula>
    </cfRule>
  </conditionalFormatting>
  <conditionalFormatting sqref="B37:C37 B43:C43 B48:H85">
    <cfRule type="expression" dxfId="732" priority="37" stopIfTrue="1">
      <formula>$N37</formula>
    </cfRule>
  </conditionalFormatting>
  <conditionalFormatting sqref="B18:F18">
    <cfRule type="expression" dxfId="731" priority="16" stopIfTrue="1">
      <formula>$M$8</formula>
    </cfRule>
  </conditionalFormatting>
  <conditionalFormatting sqref="B25:H25">
    <cfRule type="expression" dxfId="730" priority="35" stopIfTrue="1">
      <formula>$N$25</formula>
    </cfRule>
  </conditionalFormatting>
  <conditionalFormatting sqref="B26:H26">
    <cfRule type="expression" dxfId="729" priority="34" stopIfTrue="1">
      <formula>$N$26</formula>
    </cfRule>
  </conditionalFormatting>
  <conditionalFormatting sqref="B27:H27">
    <cfRule type="expression" dxfId="728" priority="33" stopIfTrue="1">
      <formula>$N$27</formula>
    </cfRule>
  </conditionalFormatting>
  <conditionalFormatting sqref="B28:H28">
    <cfRule type="expression" dxfId="727" priority="32" stopIfTrue="1">
      <formula>$N$28</formula>
    </cfRule>
  </conditionalFormatting>
  <conditionalFormatting sqref="B29:H29">
    <cfRule type="expression" dxfId="726" priority="31" stopIfTrue="1">
      <formula>$N$29</formula>
    </cfRule>
  </conditionalFormatting>
  <conditionalFormatting sqref="B30:H30">
    <cfRule type="expression" dxfId="725" priority="30" stopIfTrue="1">
      <formula>$N$30</formula>
    </cfRule>
  </conditionalFormatting>
  <conditionalFormatting sqref="B31:H31">
    <cfRule type="expression" dxfId="724" priority="29" stopIfTrue="1">
      <formula>$N$31</formula>
    </cfRule>
  </conditionalFormatting>
  <conditionalFormatting sqref="B32:H32">
    <cfRule type="expression" dxfId="723" priority="28" stopIfTrue="1">
      <formula>$N$32</formula>
    </cfRule>
  </conditionalFormatting>
  <conditionalFormatting sqref="B33:H33">
    <cfRule type="expression" dxfId="722" priority="27" stopIfTrue="1">
      <formula>$N$33</formula>
    </cfRule>
  </conditionalFormatting>
  <conditionalFormatting sqref="B34:H34">
    <cfRule type="expression" dxfId="721" priority="26" stopIfTrue="1">
      <formula>$N$34</formula>
    </cfRule>
  </conditionalFormatting>
  <conditionalFormatting sqref="B35:H35">
    <cfRule type="expression" dxfId="720" priority="25" stopIfTrue="1">
      <formula>$N$35</formula>
    </cfRule>
  </conditionalFormatting>
  <conditionalFormatting sqref="B36:H36">
    <cfRule type="expression" dxfId="719" priority="24" stopIfTrue="1">
      <formula>$N$36</formula>
    </cfRule>
  </conditionalFormatting>
  <conditionalFormatting sqref="B38:H38">
    <cfRule type="expression" dxfId="718" priority="22" stopIfTrue="1">
      <formula>$N$38</formula>
    </cfRule>
  </conditionalFormatting>
  <conditionalFormatting sqref="B39:H39">
    <cfRule type="expression" dxfId="717" priority="21" stopIfTrue="1">
      <formula>$N$39</formula>
    </cfRule>
  </conditionalFormatting>
  <conditionalFormatting sqref="B40:H40">
    <cfRule type="expression" dxfId="716" priority="20" stopIfTrue="1">
      <formula>$N$40</formula>
    </cfRule>
  </conditionalFormatting>
  <conditionalFormatting sqref="B41:H41">
    <cfRule type="expression" dxfId="715" priority="19" stopIfTrue="1">
      <formula>$N$41</formula>
    </cfRule>
  </conditionalFormatting>
  <conditionalFormatting sqref="B42:H42">
    <cfRule type="expression" dxfId="714" priority="18" stopIfTrue="1">
      <formula>$N$42</formula>
    </cfRule>
  </conditionalFormatting>
  <conditionalFormatting sqref="B44:H44">
    <cfRule type="expression" dxfId="713" priority="13" stopIfTrue="1">
      <formula>$N$44</formula>
    </cfRule>
  </conditionalFormatting>
  <conditionalFormatting sqref="B45:H45">
    <cfRule type="expression" dxfId="712" priority="12" stopIfTrue="1">
      <formula>$N$45</formula>
    </cfRule>
  </conditionalFormatting>
  <conditionalFormatting sqref="B46:H46">
    <cfRule type="expression" dxfId="711" priority="11" stopIfTrue="1">
      <formula>$N$46</formula>
    </cfRule>
  </conditionalFormatting>
  <conditionalFormatting sqref="B47:H47">
    <cfRule type="expression" dxfId="710" priority="10" stopIfTrue="1">
      <formula>$N$47</formula>
    </cfRule>
  </conditionalFormatting>
  <conditionalFormatting sqref="B96:I119 J157:Q157">
    <cfRule type="expression" dxfId="709" priority="41" stopIfTrue="1">
      <formula>A96</formula>
    </cfRule>
  </conditionalFormatting>
  <conditionalFormatting sqref="D10:E10">
    <cfRule type="cellIs" dxfId="708" priority="1" stopIfTrue="1" operator="greaterThan">
      <formula>7000</formula>
    </cfRule>
  </conditionalFormatting>
  <conditionalFormatting sqref="D12:E12">
    <cfRule type="expression" dxfId="707" priority="6" stopIfTrue="1">
      <formula>$A$24</formula>
    </cfRule>
  </conditionalFormatting>
  <conditionalFormatting sqref="D37:H37">
    <cfRule type="expression" dxfId="706" priority="23" stopIfTrue="1">
      <formula>$N$37</formula>
    </cfRule>
  </conditionalFormatting>
  <conditionalFormatting sqref="D43:H43">
    <cfRule type="expression" dxfId="705" priority="14" stopIfTrue="1">
      <formula>$N$43</formula>
    </cfRule>
  </conditionalFormatting>
  <conditionalFormatting sqref="F10 D11:E11">
    <cfRule type="expression" dxfId="704" priority="17" stopIfTrue="1">
      <formula>$M$5</formula>
    </cfRule>
  </conditionalFormatting>
  <conditionalFormatting sqref="G10:L10">
    <cfRule type="expression" dxfId="703" priority="15" stopIfTrue="1">
      <formula>$A$1</formula>
    </cfRule>
  </conditionalFormatting>
  <conditionalFormatting sqref="I24:K24">
    <cfRule type="expression" dxfId="702" priority="79" stopIfTrue="1">
      <formula>$D$15</formula>
    </cfRule>
  </conditionalFormatting>
  <conditionalFormatting sqref="I23:L23 L24">
    <cfRule type="expression" dxfId="701" priority="80" stopIfTrue="1">
      <formula>$D$15</formula>
    </cfRule>
  </conditionalFormatting>
  <conditionalFormatting sqref="I25:L85">
    <cfRule type="expression" dxfId="700" priority="44" stopIfTrue="1">
      <formula>$AY25</formula>
    </cfRule>
  </conditionalFormatting>
  <conditionalFormatting sqref="J96:J119 R157">
    <cfRule type="expression" dxfId="699" priority="42" stopIfTrue="1">
      <formula>H96</formula>
    </cfRule>
  </conditionalFormatting>
  <conditionalFormatting sqref="K96:K119">
    <cfRule type="expression" dxfId="698" priority="40" stopIfTrue="1">
      <formula>H96</formula>
    </cfRule>
  </conditionalFormatting>
  <conditionalFormatting sqref="L96:L119">
    <cfRule type="expression" dxfId="697" priority="36" stopIfTrue="1">
      <formula>H96</formula>
    </cfRule>
  </conditionalFormatting>
  <conditionalFormatting sqref="U157">
    <cfRule type="expression" dxfId="696" priority="43" stopIfTrue="1">
      <formula>P157</formula>
    </cfRule>
  </conditionalFormatting>
  <dataValidations count="2">
    <dataValidation type="list" allowBlank="1" showInputMessage="1" showErrorMessage="1" sqref="D14:E14" xr:uid="{00000000-0002-0000-0100-000000000000}">
      <formula1>$BA$27:$BA$30</formula1>
    </dataValidation>
    <dataValidation type="list" allowBlank="1" showInputMessage="1" showErrorMessage="1" sqref="D15:E15" xr:uid="{00000000-0002-0000-0100-000001000000}">
      <formula1>$BB$27:$BB$29</formula1>
    </dataValidation>
  </dataValidations>
  <pageMargins left="0.19685039370078741" right="0.19685039370078741" top="0.19685039370078741" bottom="0.19685039370078741" header="0" footer="0"/>
  <pageSetup paperSize="9" scale="65" orientation="portrait" horizontalDpi="300" verticalDpi="300" r:id="rId1"/>
  <headerFooter alignWithMargins="0"/>
  <rowBreaks count="1" manualBreakCount="1">
    <brk id="86" min="1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</sheetPr>
  <dimension ref="A1:V87"/>
  <sheetViews>
    <sheetView topLeftCell="A30" zoomScale="84" zoomScaleNormal="84" workbookViewId="0">
      <selection activeCell="F30" sqref="F30:I30"/>
    </sheetView>
  </sheetViews>
  <sheetFormatPr defaultRowHeight="15"/>
  <cols>
    <col min="1" max="1" width="18.140625" style="225" customWidth="1"/>
    <col min="2" max="2" width="12.7109375" style="202" customWidth="1"/>
    <col min="3" max="3" width="15.7109375" style="202" customWidth="1"/>
    <col min="4" max="4" width="16.7109375" style="202" customWidth="1"/>
    <col min="5" max="5" width="17.140625" style="202" customWidth="1"/>
    <col min="6" max="7" width="9.140625" style="203" customWidth="1"/>
    <col min="8" max="8" width="19.5703125" style="203" customWidth="1"/>
    <col min="9" max="9" width="26" style="203" customWidth="1"/>
    <col min="10" max="16" width="9.42578125" style="203" hidden="1" customWidth="1"/>
    <col min="17" max="17" width="9.140625" style="203" hidden="1" customWidth="1"/>
    <col min="18" max="22" width="9.140625" style="202" hidden="1" customWidth="1"/>
    <col min="23" max="23" width="9.140625" style="202" customWidth="1"/>
    <col min="24" max="16384" width="9.140625" style="202"/>
  </cols>
  <sheetData>
    <row r="1" spans="1:13" s="202" customFormat="1">
      <c r="A1" s="635" t="s">
        <v>294</v>
      </c>
      <c r="B1" s="635"/>
      <c r="C1" s="226" t="s">
        <v>3</v>
      </c>
      <c r="D1" s="227"/>
      <c r="F1" s="203"/>
      <c r="G1" s="203"/>
      <c r="H1" s="203"/>
      <c r="I1" s="203"/>
      <c r="J1" s="203"/>
      <c r="K1" s="203"/>
      <c r="L1" s="203"/>
      <c r="M1" s="203"/>
    </row>
    <row r="2" spans="1:13" s="202" customFormat="1">
      <c r="A2" s="635" t="s">
        <v>293</v>
      </c>
      <c r="B2" s="635"/>
      <c r="C2" s="228"/>
      <c r="D2" s="227"/>
      <c r="F2" s="203"/>
      <c r="G2" s="203"/>
      <c r="H2" s="203"/>
      <c r="I2" s="203"/>
      <c r="J2" s="203"/>
      <c r="K2" s="203"/>
      <c r="L2" s="203"/>
      <c r="M2" s="203">
        <v>24</v>
      </c>
    </row>
    <row r="3" spans="1:13" s="202" customFormat="1">
      <c r="A3" s="636"/>
      <c r="B3" s="636"/>
      <c r="C3" s="229"/>
      <c r="D3" s="229"/>
      <c r="F3" s="203"/>
      <c r="G3" s="203"/>
      <c r="H3" s="203"/>
      <c r="I3" s="203"/>
      <c r="J3" s="203"/>
      <c r="K3" s="203"/>
      <c r="L3" s="203"/>
      <c r="M3" s="203">
        <v>36</v>
      </c>
    </row>
    <row r="4" spans="1:13" s="202" customFormat="1">
      <c r="A4" s="637" t="s">
        <v>292</v>
      </c>
      <c r="B4" s="637"/>
      <c r="C4" s="230">
        <v>5000</v>
      </c>
      <c r="D4" s="231" t="s">
        <v>291</v>
      </c>
      <c r="F4" s="203"/>
      <c r="G4" s="203"/>
      <c r="H4" s="203"/>
      <c r="I4" s="203"/>
      <c r="J4" s="203"/>
      <c r="K4" s="203"/>
      <c r="L4" s="203"/>
      <c r="M4" s="203">
        <v>48</v>
      </c>
    </row>
    <row r="5" spans="1:13" s="202" customFormat="1">
      <c r="A5" s="637" t="s">
        <v>290</v>
      </c>
      <c r="B5" s="637"/>
      <c r="C5" s="232">
        <v>16.399999999999999</v>
      </c>
      <c r="D5" s="233" t="s">
        <v>289</v>
      </c>
      <c r="F5" s="203"/>
      <c r="G5" s="203"/>
      <c r="H5" s="203"/>
      <c r="I5" s="203"/>
      <c r="J5" s="203"/>
      <c r="K5" s="203"/>
      <c r="L5" s="203"/>
      <c r="M5" s="203"/>
    </row>
    <row r="6" spans="1:13" s="202" customFormat="1" ht="15.75" customHeight="1">
      <c r="A6" s="641" t="s">
        <v>288</v>
      </c>
      <c r="B6" s="641"/>
      <c r="C6" s="234" t="s">
        <v>183</v>
      </c>
      <c r="D6" s="235"/>
      <c r="F6" s="203"/>
      <c r="G6" s="203"/>
      <c r="H6" s="203"/>
      <c r="I6" s="203"/>
      <c r="J6" s="203"/>
      <c r="K6" s="203"/>
      <c r="L6" s="203"/>
      <c r="M6" s="203"/>
    </row>
    <row r="7" spans="1:13" s="202" customFormat="1" ht="15" customHeight="1">
      <c r="A7" s="641" t="s">
        <v>13</v>
      </c>
      <c r="B7" s="641"/>
      <c r="C7" s="236">
        <v>24</v>
      </c>
      <c r="D7" s="237" t="s">
        <v>287</v>
      </c>
      <c r="F7" s="203"/>
      <c r="G7" s="203"/>
      <c r="H7" s="203"/>
      <c r="I7" s="203"/>
      <c r="J7" s="203"/>
      <c r="K7" s="203"/>
      <c r="L7" s="203"/>
      <c r="M7" s="203"/>
    </row>
    <row r="8" spans="1:13" s="202" customFormat="1" ht="15" customHeight="1">
      <c r="A8" s="641" t="s">
        <v>286</v>
      </c>
      <c r="B8" s="641"/>
      <c r="C8" s="238">
        <f ca="1">TODAY()</f>
        <v>45294</v>
      </c>
      <c r="D8" s="231" t="s">
        <v>15</v>
      </c>
      <c r="F8" s="203"/>
      <c r="G8" s="203"/>
      <c r="H8" s="203"/>
      <c r="I8" s="203"/>
      <c r="J8" s="203"/>
      <c r="K8" s="203"/>
      <c r="L8" s="203"/>
      <c r="M8" s="203"/>
    </row>
    <row r="9" spans="1:13" s="202" customFormat="1" ht="15.75" customHeight="1">
      <c r="A9" s="641" t="s">
        <v>285</v>
      </c>
      <c r="B9" s="641"/>
      <c r="C9" s="638" t="s">
        <v>79</v>
      </c>
      <c r="D9" s="639"/>
      <c r="F9" s="203"/>
      <c r="G9" s="203"/>
      <c r="H9" s="203"/>
      <c r="I9" s="203"/>
      <c r="J9" s="203"/>
      <c r="K9" s="203"/>
      <c r="L9" s="203"/>
      <c r="M9" s="203"/>
    </row>
    <row r="10" spans="1:13" s="202" customFormat="1" ht="15.75" customHeight="1">
      <c r="A10" s="641" t="s">
        <v>284</v>
      </c>
      <c r="B10" s="641"/>
      <c r="C10" s="638" t="s">
        <v>283</v>
      </c>
      <c r="D10" s="639"/>
      <c r="F10" s="203"/>
      <c r="G10" s="203"/>
      <c r="H10" s="203"/>
      <c r="I10" s="203"/>
      <c r="J10" s="203"/>
      <c r="K10" s="203"/>
      <c r="L10" s="203"/>
      <c r="M10" s="203"/>
    </row>
    <row r="11" spans="1:13" s="202" customFormat="1" ht="15.75" customHeight="1">
      <c r="F11" s="203"/>
      <c r="G11" s="203"/>
      <c r="H11" s="203"/>
      <c r="I11" s="203"/>
      <c r="J11" s="203"/>
      <c r="K11" s="203"/>
      <c r="L11" s="203"/>
      <c r="M11" s="203"/>
    </row>
    <row r="12" spans="1:13" s="202" customFormat="1" ht="15.75" customHeight="1">
      <c r="B12" s="592" t="s">
        <v>223</v>
      </c>
      <c r="C12" s="592"/>
      <c r="D12" s="592"/>
      <c r="E12" s="592"/>
      <c r="F12" s="592"/>
      <c r="G12" s="592"/>
      <c r="H12" s="592"/>
      <c r="I12" s="592"/>
      <c r="J12" s="203"/>
      <c r="K12" s="203"/>
      <c r="L12" s="203"/>
      <c r="M12" s="203"/>
    </row>
    <row r="13" spans="1:13" s="202" customFormat="1" ht="15.75" customHeight="1">
      <c r="B13" s="640" t="str">
        <f>C1</f>
        <v>Иванов И.И.</v>
      </c>
      <c r="C13" s="640"/>
      <c r="D13" s="640"/>
      <c r="E13" s="640"/>
      <c r="F13" s="640"/>
      <c r="G13" s="640"/>
      <c r="H13" s="640"/>
      <c r="I13" s="640"/>
      <c r="J13" s="203"/>
      <c r="K13" s="203"/>
      <c r="L13" s="203"/>
      <c r="M13" s="203"/>
    </row>
    <row r="14" spans="1:13" s="202" customFormat="1" ht="15.75" customHeight="1">
      <c r="B14" s="629" t="s">
        <v>224</v>
      </c>
      <c r="C14" s="629"/>
      <c r="D14" s="629"/>
      <c r="E14" s="629"/>
      <c r="F14" s="629"/>
      <c r="G14" s="629"/>
      <c r="H14" s="629"/>
      <c r="I14" s="629"/>
      <c r="J14" s="203"/>
      <c r="K14" s="203"/>
      <c r="L14" s="203"/>
      <c r="M14" s="203"/>
    </row>
    <row r="15" spans="1:13" s="202" customFormat="1" ht="15.75" customHeight="1">
      <c r="B15" s="630" t="s">
        <v>225</v>
      </c>
      <c r="C15" s="630"/>
      <c r="D15" s="630"/>
      <c r="E15" s="630"/>
      <c r="F15" s="630"/>
      <c r="G15" s="630"/>
      <c r="H15" s="630"/>
      <c r="I15" s="630"/>
      <c r="J15" s="203"/>
      <c r="K15" s="203"/>
      <c r="L15" s="203"/>
      <c r="M15" s="203"/>
    </row>
    <row r="16" spans="1:13" s="202" customFormat="1" ht="15.75">
      <c r="B16" s="205" t="s">
        <v>226</v>
      </c>
      <c r="C16" s="631" t="s">
        <v>227</v>
      </c>
      <c r="D16" s="631"/>
      <c r="E16" s="631"/>
      <c r="F16" s="632" t="s">
        <v>228</v>
      </c>
      <c r="G16" s="633"/>
      <c r="H16" s="633"/>
      <c r="I16" s="634"/>
      <c r="J16" s="203"/>
      <c r="K16" s="203"/>
      <c r="L16" s="203"/>
      <c r="M16" s="203"/>
    </row>
    <row r="17" spans="1:17" ht="70.5" customHeight="1">
      <c r="A17" s="206"/>
      <c r="B17" s="207" t="s">
        <v>229</v>
      </c>
      <c r="C17" s="586" t="s">
        <v>230</v>
      </c>
      <c r="D17" s="587"/>
      <c r="E17" s="588"/>
      <c r="F17" s="208">
        <f>C4</f>
        <v>5000</v>
      </c>
      <c r="G17" s="590" t="s">
        <v>231</v>
      </c>
      <c r="H17" s="590"/>
      <c r="I17" s="634"/>
      <c r="P17" s="202"/>
      <c r="Q17" s="202"/>
    </row>
    <row r="18" spans="1:17" ht="15" customHeight="1">
      <c r="A18" s="206"/>
      <c r="B18" s="597" t="s">
        <v>232</v>
      </c>
      <c r="C18" s="613" t="s">
        <v>233</v>
      </c>
      <c r="D18" s="614"/>
      <c r="E18" s="615"/>
      <c r="F18" s="618" t="s">
        <v>282</v>
      </c>
      <c r="G18" s="619"/>
      <c r="H18" s="619"/>
      <c r="I18" s="620"/>
      <c r="P18" s="202"/>
      <c r="Q18" s="202"/>
    </row>
    <row r="19" spans="1:17" ht="21.75" customHeight="1">
      <c r="A19" s="206"/>
      <c r="B19" s="598"/>
      <c r="C19" s="607"/>
      <c r="D19" s="616"/>
      <c r="E19" s="617"/>
      <c r="F19" s="621"/>
      <c r="G19" s="622"/>
      <c r="H19" s="622"/>
      <c r="I19" s="623"/>
      <c r="P19" s="202"/>
      <c r="Q19" s="202"/>
    </row>
    <row r="20" spans="1:17" ht="15.75" customHeight="1">
      <c r="A20" s="206"/>
      <c r="B20" s="597" t="s">
        <v>236</v>
      </c>
      <c r="C20" s="599" t="s">
        <v>237</v>
      </c>
      <c r="D20" s="600"/>
      <c r="E20" s="601"/>
      <c r="F20" s="209">
        <f>C7</f>
        <v>24</v>
      </c>
      <c r="G20" s="624" t="s">
        <v>281</v>
      </c>
      <c r="H20" s="624"/>
      <c r="I20" s="625"/>
      <c r="P20" s="202"/>
      <c r="Q20" s="202"/>
    </row>
    <row r="21" spans="1:17" ht="50.25" customHeight="1">
      <c r="A21" s="206"/>
      <c r="B21" s="598"/>
      <c r="C21" s="602"/>
      <c r="D21" s="603"/>
      <c r="E21" s="604"/>
      <c r="F21" s="626" t="s">
        <v>280</v>
      </c>
      <c r="G21" s="627"/>
      <c r="H21" s="627"/>
      <c r="I21" s="628"/>
      <c r="P21" s="202"/>
      <c r="Q21" s="202"/>
    </row>
    <row r="22" spans="1:17" ht="15.75" customHeight="1">
      <c r="A22" s="206"/>
      <c r="B22" s="597" t="s">
        <v>240</v>
      </c>
      <c r="C22" s="599" t="s">
        <v>241</v>
      </c>
      <c r="D22" s="600"/>
      <c r="E22" s="601"/>
      <c r="F22" s="210">
        <f>C5</f>
        <v>16.399999999999999</v>
      </c>
      <c r="G22" s="605" t="s">
        <v>242</v>
      </c>
      <c r="H22" s="605"/>
      <c r="I22" s="606"/>
      <c r="P22" s="202"/>
      <c r="Q22" s="202"/>
    </row>
    <row r="23" spans="1:17" ht="32.25" customHeight="1">
      <c r="A23" s="206"/>
      <c r="B23" s="598"/>
      <c r="C23" s="602"/>
      <c r="D23" s="603"/>
      <c r="E23" s="604"/>
      <c r="F23" s="607" t="s">
        <v>280</v>
      </c>
      <c r="G23" s="608"/>
      <c r="H23" s="608"/>
      <c r="I23" s="609"/>
      <c r="P23" s="202"/>
      <c r="Q23" s="202"/>
    </row>
    <row r="24" spans="1:17" ht="34.5" customHeight="1">
      <c r="A24" s="206">
        <v>24</v>
      </c>
      <c r="B24" s="207" t="s">
        <v>244</v>
      </c>
      <c r="C24" s="586" t="s">
        <v>245</v>
      </c>
      <c r="D24" s="587"/>
      <c r="E24" s="588"/>
      <c r="F24" s="610" t="s">
        <v>279</v>
      </c>
      <c r="G24" s="611"/>
      <c r="H24" s="611"/>
      <c r="I24" s="612"/>
      <c r="P24" s="202"/>
      <c r="Q24" s="202"/>
    </row>
    <row r="25" spans="1:17" ht="66.75" customHeight="1">
      <c r="A25" s="206">
        <v>48</v>
      </c>
      <c r="B25" s="207" t="s">
        <v>247</v>
      </c>
      <c r="C25" s="586" t="s">
        <v>248</v>
      </c>
      <c r="D25" s="587"/>
      <c r="E25" s="588"/>
      <c r="F25" s="586" t="s">
        <v>296</v>
      </c>
      <c r="G25" s="587"/>
      <c r="H25" s="587"/>
      <c r="I25" s="588"/>
      <c r="P25" s="202"/>
      <c r="Q25" s="202"/>
    </row>
    <row r="26" spans="1:17" ht="32.25" customHeight="1">
      <c r="A26" s="206"/>
      <c r="B26" s="207" t="s">
        <v>250</v>
      </c>
      <c r="C26" s="586" t="s">
        <v>251</v>
      </c>
      <c r="D26" s="587"/>
      <c r="E26" s="588"/>
      <c r="F26" s="596" t="s">
        <v>252</v>
      </c>
      <c r="G26" s="596"/>
      <c r="H26" s="596"/>
      <c r="I26" s="596"/>
      <c r="J26" s="211"/>
      <c r="K26" s="211"/>
      <c r="L26" s="211"/>
      <c r="M26" s="211"/>
      <c r="P26" s="202"/>
      <c r="Q26" s="202"/>
    </row>
    <row r="27" spans="1:17" ht="48" customHeight="1">
      <c r="A27" s="206"/>
      <c r="B27" s="207" t="s">
        <v>253</v>
      </c>
      <c r="C27" s="586" t="s">
        <v>254</v>
      </c>
      <c r="D27" s="587"/>
      <c r="E27" s="588"/>
      <c r="F27" s="593" t="s">
        <v>79</v>
      </c>
      <c r="G27" s="593"/>
      <c r="H27" s="593"/>
      <c r="I27" s="593"/>
      <c r="L27" s="211">
        <v>0</v>
      </c>
      <c r="M27" s="211"/>
      <c r="P27" s="202"/>
      <c r="Q27" s="202"/>
    </row>
    <row r="28" spans="1:17" ht="34.5" customHeight="1">
      <c r="A28" s="206"/>
      <c r="B28" s="207" t="s">
        <v>255</v>
      </c>
      <c r="C28" s="586" t="s">
        <v>256</v>
      </c>
      <c r="D28" s="587"/>
      <c r="E28" s="588"/>
      <c r="F28" s="589" t="s">
        <v>257</v>
      </c>
      <c r="G28" s="590"/>
      <c r="H28" s="590"/>
      <c r="I28" s="591"/>
      <c r="J28" s="211"/>
      <c r="K28" s="211"/>
      <c r="L28" s="211"/>
      <c r="M28" s="211"/>
      <c r="P28" s="202"/>
      <c r="Q28" s="202"/>
    </row>
    <row r="29" spans="1:17" ht="227.25" customHeight="1">
      <c r="A29" s="206"/>
      <c r="B29" s="207" t="s">
        <v>258</v>
      </c>
      <c r="C29" s="586" t="s">
        <v>259</v>
      </c>
      <c r="D29" s="587"/>
      <c r="E29" s="588"/>
      <c r="F29" s="586" t="s">
        <v>297</v>
      </c>
      <c r="G29" s="587"/>
      <c r="H29" s="587"/>
      <c r="I29" s="588"/>
      <c r="J29" s="211"/>
      <c r="K29" s="211"/>
      <c r="L29" s="212">
        <f>C4</f>
        <v>5000</v>
      </c>
      <c r="M29" s="203" t="s">
        <v>278</v>
      </c>
      <c r="N29" s="203">
        <f>$L$30*(1/1200)</f>
        <v>1.3666666666666666E-2</v>
      </c>
      <c r="O29" s="203" t="s">
        <v>277</v>
      </c>
      <c r="P29" s="202"/>
      <c r="Q29" s="202"/>
    </row>
    <row r="30" spans="1:17" ht="264.75" customHeight="1">
      <c r="A30" s="206"/>
      <c r="B30" s="207" t="s">
        <v>261</v>
      </c>
      <c r="C30" s="586" t="s">
        <v>262</v>
      </c>
      <c r="D30" s="587"/>
      <c r="E30" s="588"/>
      <c r="F30" s="586" t="s">
        <v>263</v>
      </c>
      <c r="G30" s="587"/>
      <c r="H30" s="587"/>
      <c r="I30" s="588"/>
      <c r="J30" s="211"/>
      <c r="K30" s="211"/>
      <c r="L30" s="211">
        <f>C5</f>
        <v>16.399999999999999</v>
      </c>
      <c r="M30" s="203" t="s">
        <v>276</v>
      </c>
      <c r="N30" s="213">
        <f>(1+$N$29)^-$C$7</f>
        <v>0.72196481017217584</v>
      </c>
      <c r="P30" s="202"/>
      <c r="Q30" s="202"/>
    </row>
    <row r="31" spans="1:17" ht="54" customHeight="1">
      <c r="A31" s="206"/>
      <c r="B31" s="207" t="s">
        <v>264</v>
      </c>
      <c r="C31" s="586" t="s">
        <v>265</v>
      </c>
      <c r="D31" s="587"/>
      <c r="E31" s="588"/>
      <c r="F31" s="593" t="s">
        <v>266</v>
      </c>
      <c r="G31" s="593"/>
      <c r="H31" s="593"/>
      <c r="I31" s="593"/>
      <c r="J31" s="211"/>
      <c r="K31" s="211"/>
      <c r="L31" s="211"/>
      <c r="M31" s="203" t="s">
        <v>275</v>
      </c>
      <c r="N31" s="213">
        <f>1-$N$30</f>
        <v>0.27803518982782416</v>
      </c>
      <c r="P31" s="202"/>
      <c r="Q31" s="202"/>
    </row>
    <row r="32" spans="1:17" ht="17.25" customHeight="1">
      <c r="A32" s="206"/>
      <c r="B32" s="204"/>
      <c r="C32" s="214"/>
      <c r="D32" s="214"/>
      <c r="E32" s="214"/>
      <c r="F32" s="214"/>
      <c r="G32" s="214"/>
      <c r="H32" s="214"/>
      <c r="I32" s="214"/>
      <c r="J32" s="211"/>
      <c r="K32" s="211"/>
      <c r="L32" s="211">
        <f>C7</f>
        <v>24</v>
      </c>
      <c r="M32" s="215" t="s">
        <v>274</v>
      </c>
      <c r="N32" s="216">
        <f>$L$29*($N$29/$N$31)</f>
        <v>245.77224694345117</v>
      </c>
      <c r="P32" s="202"/>
      <c r="Q32" s="202"/>
    </row>
    <row r="33" spans="1:17" ht="15.75">
      <c r="A33" s="206"/>
      <c r="B33" s="594" t="str">
        <f>C1</f>
        <v>Иванов И.И.</v>
      </c>
      <c r="C33" s="594"/>
      <c r="D33" s="594"/>
      <c r="E33" s="594"/>
      <c r="F33" s="595"/>
      <c r="G33" s="595"/>
      <c r="H33" s="217">
        <f ca="1">TODAY()</f>
        <v>45294</v>
      </c>
      <c r="I33" s="214"/>
      <c r="J33" s="211"/>
      <c r="K33" s="211"/>
      <c r="L33" s="218">
        <f ca="1">C8</f>
        <v>45294</v>
      </c>
      <c r="M33" s="211"/>
      <c r="N33" s="202"/>
      <c r="O33" s="202"/>
      <c r="P33" s="202"/>
      <c r="Q33" s="202"/>
    </row>
    <row r="34" spans="1:17" ht="15.75">
      <c r="A34" s="206"/>
      <c r="B34" s="592" t="s">
        <v>267</v>
      </c>
      <c r="C34" s="592"/>
      <c r="D34" s="592"/>
      <c r="E34" s="592"/>
      <c r="F34" s="592" t="s">
        <v>268</v>
      </c>
      <c r="G34" s="592"/>
      <c r="H34" s="214"/>
      <c r="I34" s="214"/>
      <c r="J34" s="211"/>
      <c r="K34" s="211"/>
      <c r="L34" s="211"/>
      <c r="M34" s="218">
        <f ca="1">EDATE(L33,1)</f>
        <v>45325</v>
      </c>
      <c r="N34" s="202"/>
      <c r="O34" s="202"/>
      <c r="P34" s="202"/>
      <c r="Q34" s="202"/>
    </row>
    <row r="35" spans="1:17">
      <c r="A35" s="206"/>
      <c r="E35" s="211"/>
      <c r="F35" s="211"/>
      <c r="G35" s="211"/>
      <c r="H35" s="211"/>
      <c r="I35" s="211"/>
      <c r="J35" s="211"/>
      <c r="K35" s="211"/>
      <c r="L35" s="211"/>
      <c r="M35" s="211"/>
      <c r="N35" s="202"/>
      <c r="O35" s="202"/>
      <c r="P35" s="202"/>
      <c r="Q35" s="202"/>
    </row>
    <row r="36" spans="1:17">
      <c r="A36" s="206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02"/>
      <c r="O36" s="202"/>
      <c r="P36" s="202"/>
      <c r="Q36" s="202"/>
    </row>
    <row r="37" spans="1:17" ht="68.25" customHeight="1">
      <c r="A37" s="206"/>
      <c r="B37" s="219" t="s">
        <v>21</v>
      </c>
      <c r="C37" s="219" t="s">
        <v>22</v>
      </c>
      <c r="D37" s="219" t="s">
        <v>273</v>
      </c>
      <c r="E37" s="219" t="s">
        <v>25</v>
      </c>
      <c r="G37" s="220"/>
      <c r="H37" s="220"/>
      <c r="I37" s="220"/>
      <c r="J37" s="220"/>
      <c r="K37" s="220"/>
      <c r="L37" s="220" t="s">
        <v>272</v>
      </c>
      <c r="M37" s="211"/>
      <c r="N37" s="202"/>
      <c r="O37" s="202"/>
      <c r="P37" s="202"/>
      <c r="Q37" s="202"/>
    </row>
    <row r="38" spans="1:17" ht="16.5">
      <c r="A38" s="206">
        <v>1</v>
      </c>
      <c r="B38" s="221">
        <f ca="1">L33</f>
        <v>45294</v>
      </c>
      <c r="C38" s="222">
        <f>$N$32-D38</f>
        <v>177.43891361011782</v>
      </c>
      <c r="D38" s="222">
        <f>L29*$L$30/100/360*30</f>
        <v>68.333333333333329</v>
      </c>
      <c r="E38" s="222">
        <f>C38+D38</f>
        <v>245.77224694345114</v>
      </c>
      <c r="G38" s="223"/>
      <c r="H38" s="223"/>
      <c r="I38" s="223"/>
      <c r="J38" s="223"/>
      <c r="K38" s="223"/>
      <c r="L38" s="223">
        <f>L29-C38</f>
        <v>4822.5610863898819</v>
      </c>
      <c r="M38" s="211"/>
      <c r="N38" s="202"/>
      <c r="O38" s="202"/>
      <c r="P38" s="202"/>
      <c r="Q38" s="202"/>
    </row>
    <row r="39" spans="1:17" ht="16.5">
      <c r="A39" s="206">
        <f t="shared" ref="A39:A85" si="0">A38+1</f>
        <v>2</v>
      </c>
      <c r="B39" s="221">
        <f t="shared" ref="B39:B85" ca="1" si="1">IF(A39&lt;=$L$32,EDATE(B38,1),"")</f>
        <v>45325</v>
      </c>
      <c r="C39" s="222">
        <f t="shared" ref="C39:C85" ca="1" si="2">IF(B39="","",IF(B39="",0,$N$32-D39))</f>
        <v>179.86391209612276</v>
      </c>
      <c r="D39" s="222">
        <f t="shared" ref="D39:D85" ca="1" si="3">IF(B39="","",L38*$L$30/100/360*30)</f>
        <v>65.908334847328391</v>
      </c>
      <c r="E39" s="222">
        <f t="shared" ref="E39:E85" ca="1" si="4">IF(B39="","",C39+D39)</f>
        <v>245.77224694345114</v>
      </c>
      <c r="G39" s="223"/>
      <c r="H39" s="223"/>
      <c r="I39" s="223"/>
      <c r="J39" s="223"/>
      <c r="K39" s="223"/>
      <c r="L39" s="223">
        <f t="shared" ref="L39:L85" ca="1" si="5">IF(L38=0," ",L38-C39)</f>
        <v>4642.6971742937594</v>
      </c>
      <c r="M39" s="211"/>
      <c r="N39" s="202"/>
      <c r="O39" s="202"/>
      <c r="P39" s="202"/>
      <c r="Q39" s="202"/>
    </row>
    <row r="40" spans="1:17" ht="16.5">
      <c r="A40" s="206">
        <f t="shared" si="0"/>
        <v>3</v>
      </c>
      <c r="B40" s="221">
        <f t="shared" ca="1" si="1"/>
        <v>45354</v>
      </c>
      <c r="C40" s="222">
        <f t="shared" ca="1" si="2"/>
        <v>182.32205222810313</v>
      </c>
      <c r="D40" s="222">
        <f t="shared" ca="1" si="3"/>
        <v>63.45019471534804</v>
      </c>
      <c r="E40" s="222">
        <f t="shared" ca="1" si="4"/>
        <v>245.77224694345117</v>
      </c>
      <c r="G40" s="223"/>
      <c r="H40" s="223"/>
      <c r="I40" s="223"/>
      <c r="J40" s="223"/>
      <c r="K40" s="223"/>
      <c r="L40" s="223">
        <f t="shared" ca="1" si="5"/>
        <v>4460.3751220656559</v>
      </c>
      <c r="M40" s="211"/>
      <c r="N40" s="202"/>
      <c r="O40" s="202"/>
      <c r="P40" s="202"/>
      <c r="Q40" s="202"/>
    </row>
    <row r="41" spans="1:17" ht="16.5">
      <c r="A41" s="206">
        <f t="shared" si="0"/>
        <v>4</v>
      </c>
      <c r="B41" s="221">
        <f t="shared" ca="1" si="1"/>
        <v>45385</v>
      </c>
      <c r="C41" s="222">
        <f t="shared" ca="1" si="2"/>
        <v>184.8137869418872</v>
      </c>
      <c r="D41" s="222">
        <f t="shared" ca="1" si="3"/>
        <v>60.95846000156395</v>
      </c>
      <c r="E41" s="222">
        <f t="shared" ca="1" si="4"/>
        <v>245.77224694345114</v>
      </c>
      <c r="G41" s="223"/>
      <c r="H41" s="223"/>
      <c r="I41" s="223"/>
      <c r="J41" s="223"/>
      <c r="K41" s="223"/>
      <c r="L41" s="223">
        <f t="shared" ca="1" si="5"/>
        <v>4275.5613351237689</v>
      </c>
      <c r="M41" s="211"/>
      <c r="N41" s="202"/>
      <c r="O41" s="202"/>
      <c r="P41" s="202"/>
      <c r="Q41" s="202"/>
    </row>
    <row r="42" spans="1:17" ht="16.5">
      <c r="A42" s="206">
        <f t="shared" si="0"/>
        <v>5</v>
      </c>
      <c r="B42" s="221">
        <f t="shared" ca="1" si="1"/>
        <v>45415</v>
      </c>
      <c r="C42" s="222">
        <f t="shared" ca="1" si="2"/>
        <v>187.33957536342632</v>
      </c>
      <c r="D42" s="222">
        <f t="shared" ca="1" si="3"/>
        <v>58.432671580024838</v>
      </c>
      <c r="E42" s="222">
        <f t="shared" ca="1" si="4"/>
        <v>245.77224694345117</v>
      </c>
      <c r="G42" s="223"/>
      <c r="H42" s="223"/>
      <c r="I42" s="223"/>
      <c r="J42" s="223"/>
      <c r="K42" s="223"/>
      <c r="L42" s="223">
        <f t="shared" ca="1" si="5"/>
        <v>4088.2217597603426</v>
      </c>
      <c r="M42" s="211"/>
      <c r="N42" s="202"/>
      <c r="O42" s="202"/>
      <c r="P42" s="202"/>
      <c r="Q42" s="202"/>
    </row>
    <row r="43" spans="1:17" ht="16.5">
      <c r="A43" s="206">
        <f t="shared" si="0"/>
        <v>6</v>
      </c>
      <c r="B43" s="221">
        <f t="shared" ca="1" si="1"/>
        <v>45446</v>
      </c>
      <c r="C43" s="222">
        <f t="shared" ca="1" si="2"/>
        <v>189.89988289339317</v>
      </c>
      <c r="D43" s="222">
        <f t="shared" ca="1" si="3"/>
        <v>55.87236405005801</v>
      </c>
      <c r="E43" s="222">
        <f t="shared" ca="1" si="4"/>
        <v>245.77224694345119</v>
      </c>
      <c r="G43" s="223"/>
      <c r="H43" s="223"/>
      <c r="I43" s="223"/>
      <c r="J43" s="223"/>
      <c r="K43" s="223"/>
      <c r="L43" s="223">
        <f t="shared" ca="1" si="5"/>
        <v>3898.3218768669494</v>
      </c>
      <c r="M43" s="211"/>
      <c r="N43" s="202"/>
      <c r="O43" s="202"/>
      <c r="P43" s="202"/>
      <c r="Q43" s="202"/>
    </row>
    <row r="44" spans="1:17" ht="16.5">
      <c r="A44" s="206">
        <f t="shared" si="0"/>
        <v>7</v>
      </c>
      <c r="B44" s="221">
        <f t="shared" ca="1" si="1"/>
        <v>45476</v>
      </c>
      <c r="C44" s="222">
        <f t="shared" ca="1" si="2"/>
        <v>192.49518129293619</v>
      </c>
      <c r="D44" s="222">
        <f t="shared" ca="1" si="3"/>
        <v>53.27706565051497</v>
      </c>
      <c r="E44" s="222">
        <f t="shared" ca="1" si="4"/>
        <v>245.77224694345117</v>
      </c>
      <c r="G44" s="223"/>
      <c r="H44" s="223"/>
      <c r="I44" s="223"/>
      <c r="J44" s="223"/>
      <c r="K44" s="223"/>
      <c r="L44" s="223">
        <f t="shared" ca="1" si="5"/>
        <v>3705.8266955740132</v>
      </c>
      <c r="M44" s="211"/>
      <c r="N44" s="202"/>
      <c r="O44" s="202"/>
      <c r="P44" s="202"/>
      <c r="Q44" s="202"/>
    </row>
    <row r="45" spans="1:17" ht="16.5">
      <c r="A45" s="206">
        <f t="shared" si="0"/>
        <v>8</v>
      </c>
      <c r="B45" s="221">
        <f t="shared" ca="1" si="1"/>
        <v>45507</v>
      </c>
      <c r="C45" s="222">
        <f t="shared" ca="1" si="2"/>
        <v>195.12594877060633</v>
      </c>
      <c r="D45" s="222">
        <f t="shared" ca="1" si="3"/>
        <v>50.646298172844844</v>
      </c>
      <c r="E45" s="222">
        <f t="shared" ca="1" si="4"/>
        <v>245.77224694345117</v>
      </c>
      <c r="G45" s="223"/>
      <c r="H45" s="223"/>
      <c r="I45" s="223"/>
      <c r="J45" s="223"/>
      <c r="K45" s="223"/>
      <c r="L45" s="223">
        <f t="shared" ca="1" si="5"/>
        <v>3510.7007468034071</v>
      </c>
      <c r="M45" s="211"/>
      <c r="N45" s="202"/>
      <c r="O45" s="202"/>
      <c r="P45" s="202"/>
      <c r="Q45" s="202"/>
    </row>
    <row r="46" spans="1:17" ht="16.5">
      <c r="A46" s="206">
        <f t="shared" si="0"/>
        <v>9</v>
      </c>
      <c r="B46" s="221">
        <f t="shared" ca="1" si="1"/>
        <v>45538</v>
      </c>
      <c r="C46" s="222">
        <f t="shared" ca="1" si="2"/>
        <v>197.79267007047127</v>
      </c>
      <c r="D46" s="222">
        <f t="shared" ca="1" si="3"/>
        <v>47.979576872979891</v>
      </c>
      <c r="E46" s="222">
        <f t="shared" ca="1" si="4"/>
        <v>245.77224694345117</v>
      </c>
      <c r="G46" s="223"/>
      <c r="H46" s="223"/>
      <c r="I46" s="223"/>
      <c r="J46" s="223"/>
      <c r="K46" s="223"/>
      <c r="L46" s="223">
        <f t="shared" ca="1" si="5"/>
        <v>3312.908076732936</v>
      </c>
      <c r="M46" s="211"/>
      <c r="N46" s="202"/>
      <c r="O46" s="202"/>
      <c r="P46" s="202"/>
      <c r="Q46" s="202"/>
    </row>
    <row r="47" spans="1:17" ht="16.5">
      <c r="A47" s="206">
        <f t="shared" si="0"/>
        <v>10</v>
      </c>
      <c r="B47" s="221">
        <f t="shared" ca="1" si="1"/>
        <v>45568</v>
      </c>
      <c r="C47" s="222">
        <f t="shared" ca="1" si="2"/>
        <v>200.49583656143437</v>
      </c>
      <c r="D47" s="222">
        <f t="shared" ca="1" si="3"/>
        <v>45.276410382016792</v>
      </c>
      <c r="E47" s="222">
        <f t="shared" ca="1" si="4"/>
        <v>245.77224694345117</v>
      </c>
      <c r="G47" s="223"/>
      <c r="H47" s="223"/>
      <c r="I47" s="223"/>
      <c r="J47" s="223"/>
      <c r="K47" s="223"/>
      <c r="L47" s="223">
        <f t="shared" ca="1" si="5"/>
        <v>3112.4122401715017</v>
      </c>
      <c r="M47" s="211"/>
      <c r="N47" s="202"/>
      <c r="O47" s="202"/>
      <c r="P47" s="202"/>
      <c r="Q47" s="202"/>
    </row>
    <row r="48" spans="1:17" ht="16.5">
      <c r="A48" s="206">
        <f t="shared" si="0"/>
        <v>11</v>
      </c>
      <c r="B48" s="221">
        <f t="shared" ca="1" si="1"/>
        <v>45599</v>
      </c>
      <c r="C48" s="222">
        <f t="shared" ca="1" si="2"/>
        <v>203.23594632777397</v>
      </c>
      <c r="D48" s="222">
        <f t="shared" ca="1" si="3"/>
        <v>42.536300615677192</v>
      </c>
      <c r="E48" s="222">
        <f t="shared" ca="1" si="4"/>
        <v>245.77224694345117</v>
      </c>
      <c r="G48" s="223"/>
      <c r="H48" s="223"/>
      <c r="I48" s="223"/>
      <c r="J48" s="223"/>
      <c r="K48" s="223"/>
      <c r="L48" s="223">
        <f t="shared" ca="1" si="5"/>
        <v>2909.1762938437278</v>
      </c>
      <c r="M48" s="211"/>
      <c r="N48" s="202"/>
      <c r="O48" s="202"/>
      <c r="P48" s="202"/>
      <c r="Q48" s="202"/>
    </row>
    <row r="49" spans="1:17" ht="16.5">
      <c r="A49" s="206">
        <f t="shared" si="0"/>
        <v>12</v>
      </c>
      <c r="B49" s="221">
        <f t="shared" ca="1" si="1"/>
        <v>45629</v>
      </c>
      <c r="C49" s="222">
        <f t="shared" ca="1" si="2"/>
        <v>206.01350426092023</v>
      </c>
      <c r="D49" s="222">
        <f t="shared" ca="1" si="3"/>
        <v>39.758742682530944</v>
      </c>
      <c r="E49" s="222">
        <f t="shared" ca="1" si="4"/>
        <v>245.77224694345117</v>
      </c>
      <c r="G49" s="223"/>
      <c r="H49" s="223"/>
      <c r="I49" s="223"/>
      <c r="J49" s="223"/>
      <c r="K49" s="223"/>
      <c r="L49" s="223">
        <f t="shared" ca="1" si="5"/>
        <v>2703.1627895828074</v>
      </c>
      <c r="M49" s="211"/>
      <c r="N49" s="202"/>
      <c r="O49" s="202"/>
      <c r="P49" s="202"/>
      <c r="Q49" s="202"/>
    </row>
    <row r="50" spans="1:17" ht="16.5">
      <c r="A50" s="206">
        <f t="shared" si="0"/>
        <v>13</v>
      </c>
      <c r="B50" s="221">
        <f t="shared" ca="1" si="1"/>
        <v>45660</v>
      </c>
      <c r="C50" s="222">
        <f t="shared" ca="1" si="2"/>
        <v>208.82902215248612</v>
      </c>
      <c r="D50" s="222">
        <f t="shared" ca="1" si="3"/>
        <v>36.943224790965033</v>
      </c>
      <c r="E50" s="222">
        <f t="shared" ca="1" si="4"/>
        <v>245.77224694345114</v>
      </c>
      <c r="G50" s="223"/>
      <c r="H50" s="223"/>
      <c r="I50" s="223"/>
      <c r="J50" s="223"/>
      <c r="K50" s="223"/>
      <c r="L50" s="223">
        <f t="shared" ca="1" si="5"/>
        <v>2494.3337674303211</v>
      </c>
      <c r="M50" s="211"/>
      <c r="N50" s="202"/>
      <c r="O50" s="202"/>
      <c r="P50" s="202"/>
      <c r="Q50" s="202"/>
    </row>
    <row r="51" spans="1:17" ht="16.5">
      <c r="A51" s="206">
        <f t="shared" si="0"/>
        <v>14</v>
      </c>
      <c r="B51" s="221">
        <f t="shared" ca="1" si="1"/>
        <v>45691</v>
      </c>
      <c r="C51" s="222">
        <f t="shared" ca="1" si="2"/>
        <v>211.68301878857011</v>
      </c>
      <c r="D51" s="222">
        <f t="shared" ca="1" si="3"/>
        <v>34.089228154881049</v>
      </c>
      <c r="E51" s="222">
        <f t="shared" ca="1" si="4"/>
        <v>245.77224694345117</v>
      </c>
      <c r="G51" s="223"/>
      <c r="H51" s="223"/>
      <c r="I51" s="223"/>
      <c r="J51" s="223"/>
      <c r="K51" s="223"/>
      <c r="L51" s="223">
        <f t="shared" ca="1" si="5"/>
        <v>2282.6507486417509</v>
      </c>
      <c r="M51" s="211"/>
      <c r="N51" s="202"/>
      <c r="O51" s="202"/>
      <c r="P51" s="202"/>
      <c r="Q51" s="202"/>
    </row>
    <row r="52" spans="1:17" ht="16.5">
      <c r="A52" s="206">
        <f t="shared" si="0"/>
        <v>15</v>
      </c>
      <c r="B52" s="221">
        <f t="shared" ca="1" si="1"/>
        <v>45719</v>
      </c>
      <c r="C52" s="222">
        <f t="shared" ca="1" si="2"/>
        <v>214.57602004534724</v>
      </c>
      <c r="D52" s="222">
        <f t="shared" ca="1" si="3"/>
        <v>31.196226898103927</v>
      </c>
      <c r="E52" s="222">
        <f t="shared" ca="1" si="4"/>
        <v>245.77224694345117</v>
      </c>
      <c r="G52" s="223"/>
      <c r="H52" s="223"/>
      <c r="I52" s="223"/>
      <c r="J52" s="223"/>
      <c r="K52" s="223"/>
      <c r="L52" s="223">
        <f t="shared" ca="1" si="5"/>
        <v>2068.0747285964035</v>
      </c>
      <c r="M52" s="211"/>
      <c r="N52" s="202"/>
      <c r="O52" s="202"/>
      <c r="P52" s="202"/>
      <c r="Q52" s="202"/>
    </row>
    <row r="53" spans="1:17" ht="16.5">
      <c r="A53" s="206">
        <f t="shared" si="0"/>
        <v>16</v>
      </c>
      <c r="B53" s="221">
        <f t="shared" ca="1" si="1"/>
        <v>45750</v>
      </c>
      <c r="C53" s="222">
        <f t="shared" ca="1" si="2"/>
        <v>217.508558985967</v>
      </c>
      <c r="D53" s="222">
        <f t="shared" ca="1" si="3"/>
        <v>28.26368795748418</v>
      </c>
      <c r="E53" s="222">
        <f t="shared" ca="1" si="4"/>
        <v>245.77224694345119</v>
      </c>
      <c r="G53" s="223"/>
      <c r="H53" s="223"/>
      <c r="I53" s="223"/>
      <c r="J53" s="223"/>
      <c r="K53" s="223"/>
      <c r="L53" s="223">
        <f t="shared" ca="1" si="5"/>
        <v>1850.5661696104364</v>
      </c>
      <c r="M53" s="211"/>
      <c r="N53" s="202"/>
      <c r="O53" s="202"/>
      <c r="P53" s="202"/>
      <c r="Q53" s="202"/>
    </row>
    <row r="54" spans="1:17" ht="16.5">
      <c r="A54" s="206">
        <f t="shared" si="0"/>
        <v>17</v>
      </c>
      <c r="B54" s="221">
        <f t="shared" ca="1" si="1"/>
        <v>45780</v>
      </c>
      <c r="C54" s="222">
        <f t="shared" ca="1" si="2"/>
        <v>220.4811759587752</v>
      </c>
      <c r="D54" s="222">
        <f t="shared" ca="1" si="3"/>
        <v>25.291070984675962</v>
      </c>
      <c r="E54" s="222">
        <f t="shared" ca="1" si="4"/>
        <v>245.77224694345117</v>
      </c>
      <c r="G54" s="223"/>
      <c r="H54" s="223"/>
      <c r="I54" s="223"/>
      <c r="J54" s="223"/>
      <c r="K54" s="223"/>
      <c r="L54" s="223">
        <f t="shared" ca="1" si="5"/>
        <v>1630.0849936516613</v>
      </c>
      <c r="M54" s="211"/>
      <c r="N54" s="202"/>
      <c r="O54" s="202"/>
      <c r="P54" s="202"/>
      <c r="Q54" s="202"/>
    </row>
    <row r="55" spans="1:17" ht="16.5">
      <c r="A55" s="206">
        <f t="shared" si="0"/>
        <v>18</v>
      </c>
      <c r="B55" s="221">
        <f t="shared" ca="1" si="1"/>
        <v>45811</v>
      </c>
      <c r="C55" s="222">
        <f t="shared" ca="1" si="2"/>
        <v>223.49441869687845</v>
      </c>
      <c r="D55" s="222">
        <f t="shared" ca="1" si="3"/>
        <v>22.2778282465727</v>
      </c>
      <c r="E55" s="222">
        <f t="shared" ca="1" si="4"/>
        <v>245.77224694345117</v>
      </c>
      <c r="G55" s="223"/>
      <c r="H55" s="223"/>
      <c r="I55" s="223"/>
      <c r="J55" s="223"/>
      <c r="K55" s="223"/>
      <c r="L55" s="223">
        <f t="shared" ca="1" si="5"/>
        <v>1406.5905749547828</v>
      </c>
      <c r="M55" s="211"/>
      <c r="N55" s="202"/>
      <c r="O55" s="202"/>
      <c r="P55" s="202"/>
      <c r="Q55" s="202"/>
    </row>
    <row r="56" spans="1:17" ht="16.5">
      <c r="A56" s="206">
        <f t="shared" si="0"/>
        <v>19</v>
      </c>
      <c r="B56" s="221">
        <f t="shared" ca="1" si="1"/>
        <v>45841</v>
      </c>
      <c r="C56" s="222">
        <f t="shared" ca="1" si="2"/>
        <v>226.54884241906913</v>
      </c>
      <c r="D56" s="222">
        <f t="shared" ca="1" si="3"/>
        <v>19.22340452438203</v>
      </c>
      <c r="E56" s="222">
        <f t="shared" ca="1" si="4"/>
        <v>245.77224694345117</v>
      </c>
      <c r="G56" s="223"/>
      <c r="H56" s="223"/>
      <c r="I56" s="223"/>
      <c r="J56" s="223"/>
      <c r="K56" s="223"/>
      <c r="L56" s="223">
        <f t="shared" ca="1" si="5"/>
        <v>1180.0417325357137</v>
      </c>
      <c r="M56" s="211"/>
      <c r="N56" s="202"/>
      <c r="O56" s="202"/>
      <c r="P56" s="202"/>
      <c r="Q56" s="202"/>
    </row>
    <row r="57" spans="1:17" ht="16.5">
      <c r="A57" s="206">
        <f t="shared" si="0"/>
        <v>20</v>
      </c>
      <c r="B57" s="221">
        <f t="shared" ca="1" si="1"/>
        <v>45872</v>
      </c>
      <c r="C57" s="222">
        <f t="shared" ca="1" si="2"/>
        <v>229.64500993212974</v>
      </c>
      <c r="D57" s="222">
        <f t="shared" ca="1" si="3"/>
        <v>16.127237011321419</v>
      </c>
      <c r="E57" s="222">
        <f t="shared" ca="1" si="4"/>
        <v>245.77224694345117</v>
      </c>
      <c r="G57" s="223"/>
      <c r="H57" s="223"/>
      <c r="I57" s="223"/>
      <c r="J57" s="223"/>
      <c r="K57" s="223"/>
      <c r="L57" s="223">
        <f t="shared" ca="1" si="5"/>
        <v>950.39672260358395</v>
      </c>
      <c r="M57" s="211"/>
      <c r="N57" s="202"/>
      <c r="O57" s="202"/>
      <c r="P57" s="202"/>
      <c r="Q57" s="202"/>
    </row>
    <row r="58" spans="1:17" ht="16.5">
      <c r="A58" s="206">
        <f t="shared" si="0"/>
        <v>21</v>
      </c>
      <c r="B58" s="221">
        <f t="shared" ca="1" si="1"/>
        <v>45903</v>
      </c>
      <c r="C58" s="222">
        <f t="shared" ca="1" si="2"/>
        <v>232.78349173453552</v>
      </c>
      <c r="D58" s="222">
        <f t="shared" ca="1" si="3"/>
        <v>12.988755208915645</v>
      </c>
      <c r="E58" s="222">
        <f t="shared" ca="1" si="4"/>
        <v>245.77224694345117</v>
      </c>
      <c r="G58" s="223"/>
      <c r="H58" s="223"/>
      <c r="I58" s="223"/>
      <c r="J58" s="223"/>
      <c r="K58" s="223"/>
      <c r="L58" s="223">
        <f t="shared" ca="1" si="5"/>
        <v>717.61323086904849</v>
      </c>
      <c r="M58" s="211"/>
      <c r="N58" s="202"/>
      <c r="O58" s="202"/>
      <c r="P58" s="202"/>
      <c r="Q58" s="202"/>
    </row>
    <row r="59" spans="1:17" ht="16.5">
      <c r="A59" s="206">
        <f t="shared" si="0"/>
        <v>22</v>
      </c>
      <c r="B59" s="221">
        <f t="shared" ca="1" si="1"/>
        <v>45933</v>
      </c>
      <c r="C59" s="222">
        <f t="shared" ca="1" si="2"/>
        <v>235.96486612157418</v>
      </c>
      <c r="D59" s="222">
        <f t="shared" ca="1" si="3"/>
        <v>9.8073808218769951</v>
      </c>
      <c r="E59" s="222">
        <f t="shared" ca="1" si="4"/>
        <v>245.77224694345117</v>
      </c>
      <c r="G59" s="223"/>
      <c r="H59" s="223"/>
      <c r="I59" s="223"/>
      <c r="J59" s="223"/>
      <c r="K59" s="223"/>
      <c r="L59" s="223">
        <f t="shared" ca="1" si="5"/>
        <v>481.64836474747432</v>
      </c>
      <c r="M59" s="211"/>
      <c r="N59" s="202"/>
      <c r="O59" s="202"/>
      <c r="P59" s="202"/>
      <c r="Q59" s="202"/>
    </row>
    <row r="60" spans="1:17" ht="16.5">
      <c r="A60" s="206">
        <f t="shared" si="0"/>
        <v>23</v>
      </c>
      <c r="B60" s="221">
        <f t="shared" ca="1" si="1"/>
        <v>45964</v>
      </c>
      <c r="C60" s="222">
        <f t="shared" ca="1" si="2"/>
        <v>239.18971929190235</v>
      </c>
      <c r="D60" s="222">
        <f t="shared" ca="1" si="3"/>
        <v>6.5825276515488156</v>
      </c>
      <c r="E60" s="222">
        <f t="shared" ca="1" si="4"/>
        <v>245.77224694345117</v>
      </c>
      <c r="G60" s="223"/>
      <c r="H60" s="223"/>
      <c r="I60" s="223"/>
      <c r="J60" s="223"/>
      <c r="K60" s="223"/>
      <c r="L60" s="223">
        <f t="shared" ca="1" si="5"/>
        <v>242.45864545557197</v>
      </c>
      <c r="M60" s="211"/>
      <c r="N60" s="202"/>
      <c r="O60" s="202"/>
      <c r="P60" s="202"/>
      <c r="Q60" s="202"/>
    </row>
    <row r="61" spans="1:17" ht="16.5">
      <c r="A61" s="206">
        <f t="shared" si="0"/>
        <v>24</v>
      </c>
      <c r="B61" s="221">
        <f t="shared" ca="1" si="1"/>
        <v>45994</v>
      </c>
      <c r="C61" s="222">
        <f t="shared" ca="1" si="2"/>
        <v>242.45864545555835</v>
      </c>
      <c r="D61" s="222">
        <f t="shared" ca="1" si="3"/>
        <v>3.3136014878928171</v>
      </c>
      <c r="E61" s="222">
        <f t="shared" ca="1" si="4"/>
        <v>245.77224694345117</v>
      </c>
      <c r="G61" s="223"/>
      <c r="H61" s="223"/>
      <c r="I61" s="223"/>
      <c r="J61" s="223"/>
      <c r="K61" s="223"/>
      <c r="L61" s="223">
        <f t="shared" ca="1" si="5"/>
        <v>1.361399881716352E-11</v>
      </c>
      <c r="M61" s="211"/>
      <c r="N61" s="202"/>
      <c r="O61" s="202"/>
      <c r="P61" s="202"/>
      <c r="Q61" s="202"/>
    </row>
    <row r="62" spans="1:17" ht="16.5">
      <c r="A62" s="206">
        <f t="shared" si="0"/>
        <v>25</v>
      </c>
      <c r="B62" s="221" t="str">
        <f t="shared" si="1"/>
        <v/>
      </c>
      <c r="C62" s="222" t="str">
        <f t="shared" si="2"/>
        <v/>
      </c>
      <c r="D62" s="222" t="str">
        <f t="shared" si="3"/>
        <v/>
      </c>
      <c r="E62" s="222" t="str">
        <f t="shared" si="4"/>
        <v/>
      </c>
      <c r="G62" s="223"/>
      <c r="H62" s="223"/>
      <c r="I62" s="223"/>
      <c r="J62" s="223"/>
      <c r="K62" s="223"/>
      <c r="L62" s="223" t="e">
        <f t="shared" ca="1" si="5"/>
        <v>#VALUE!</v>
      </c>
      <c r="M62" s="211"/>
      <c r="N62" s="202"/>
      <c r="O62" s="202"/>
      <c r="P62" s="202"/>
      <c r="Q62" s="202"/>
    </row>
    <row r="63" spans="1:17" ht="16.5">
      <c r="A63" s="206">
        <f t="shared" si="0"/>
        <v>26</v>
      </c>
      <c r="B63" s="221" t="str">
        <f t="shared" si="1"/>
        <v/>
      </c>
      <c r="C63" s="222" t="str">
        <f t="shared" si="2"/>
        <v/>
      </c>
      <c r="D63" s="222" t="str">
        <f t="shared" si="3"/>
        <v/>
      </c>
      <c r="E63" s="222" t="str">
        <f t="shared" si="4"/>
        <v/>
      </c>
      <c r="G63" s="223"/>
      <c r="H63" s="223"/>
      <c r="I63" s="223"/>
      <c r="J63" s="223"/>
      <c r="K63" s="223"/>
      <c r="L63" s="223" t="e">
        <f t="shared" ca="1" si="5"/>
        <v>#VALUE!</v>
      </c>
      <c r="M63" s="211"/>
      <c r="N63" s="202"/>
      <c r="O63" s="202"/>
      <c r="P63" s="202"/>
      <c r="Q63" s="202"/>
    </row>
    <row r="64" spans="1:17" ht="16.5">
      <c r="A64" s="206">
        <f t="shared" si="0"/>
        <v>27</v>
      </c>
      <c r="B64" s="221" t="str">
        <f t="shared" si="1"/>
        <v/>
      </c>
      <c r="C64" s="222" t="str">
        <f t="shared" si="2"/>
        <v/>
      </c>
      <c r="D64" s="222" t="str">
        <f t="shared" si="3"/>
        <v/>
      </c>
      <c r="E64" s="222" t="str">
        <f t="shared" si="4"/>
        <v/>
      </c>
      <c r="G64" s="223"/>
      <c r="H64" s="223"/>
      <c r="I64" s="223"/>
      <c r="J64" s="223"/>
      <c r="K64" s="223"/>
      <c r="L64" s="223" t="e">
        <f t="shared" ca="1" si="5"/>
        <v>#VALUE!</v>
      </c>
      <c r="M64" s="211"/>
      <c r="N64" s="202"/>
      <c r="O64" s="202"/>
      <c r="P64" s="202"/>
      <c r="Q64" s="202"/>
    </row>
    <row r="65" spans="1:17" ht="16.5">
      <c r="A65" s="206">
        <f t="shared" si="0"/>
        <v>28</v>
      </c>
      <c r="B65" s="221" t="str">
        <f t="shared" si="1"/>
        <v/>
      </c>
      <c r="C65" s="222" t="str">
        <f t="shared" si="2"/>
        <v/>
      </c>
      <c r="D65" s="222" t="str">
        <f t="shared" si="3"/>
        <v/>
      </c>
      <c r="E65" s="222" t="str">
        <f t="shared" si="4"/>
        <v/>
      </c>
      <c r="G65" s="223"/>
      <c r="H65" s="223"/>
      <c r="I65" s="223"/>
      <c r="J65" s="223"/>
      <c r="K65" s="223"/>
      <c r="L65" s="223" t="e">
        <f t="shared" ca="1" si="5"/>
        <v>#VALUE!</v>
      </c>
      <c r="M65" s="202"/>
      <c r="N65" s="202"/>
      <c r="O65" s="202"/>
      <c r="P65" s="202"/>
      <c r="Q65" s="202"/>
    </row>
    <row r="66" spans="1:17" ht="16.5">
      <c r="A66" s="206">
        <f t="shared" si="0"/>
        <v>29</v>
      </c>
      <c r="B66" s="221" t="str">
        <f t="shared" si="1"/>
        <v/>
      </c>
      <c r="C66" s="222" t="str">
        <f t="shared" si="2"/>
        <v/>
      </c>
      <c r="D66" s="222" t="str">
        <f t="shared" si="3"/>
        <v/>
      </c>
      <c r="E66" s="222" t="str">
        <f t="shared" si="4"/>
        <v/>
      </c>
      <c r="G66" s="223"/>
      <c r="H66" s="223"/>
      <c r="I66" s="223"/>
      <c r="J66" s="223"/>
      <c r="K66" s="223"/>
      <c r="L66" s="223" t="e">
        <f t="shared" ca="1" si="5"/>
        <v>#VALUE!</v>
      </c>
      <c r="M66" s="202"/>
      <c r="N66" s="202"/>
      <c r="O66" s="202"/>
      <c r="P66" s="202"/>
      <c r="Q66" s="202"/>
    </row>
    <row r="67" spans="1:17" ht="16.5">
      <c r="A67" s="206">
        <f t="shared" si="0"/>
        <v>30</v>
      </c>
      <c r="B67" s="221" t="str">
        <f t="shared" si="1"/>
        <v/>
      </c>
      <c r="C67" s="222" t="str">
        <f t="shared" si="2"/>
        <v/>
      </c>
      <c r="D67" s="222" t="str">
        <f t="shared" si="3"/>
        <v/>
      </c>
      <c r="E67" s="222" t="str">
        <f t="shared" si="4"/>
        <v/>
      </c>
      <c r="G67" s="223"/>
      <c r="H67" s="223"/>
      <c r="I67" s="223"/>
      <c r="J67" s="223"/>
      <c r="K67" s="223"/>
      <c r="L67" s="223" t="e">
        <f t="shared" ca="1" si="5"/>
        <v>#VALUE!</v>
      </c>
      <c r="M67" s="202"/>
      <c r="N67" s="202"/>
      <c r="O67" s="202"/>
      <c r="P67" s="202"/>
      <c r="Q67" s="202"/>
    </row>
    <row r="68" spans="1:17" ht="16.5">
      <c r="A68" s="206">
        <f t="shared" si="0"/>
        <v>31</v>
      </c>
      <c r="B68" s="221" t="str">
        <f t="shared" si="1"/>
        <v/>
      </c>
      <c r="C68" s="222" t="str">
        <f t="shared" si="2"/>
        <v/>
      </c>
      <c r="D68" s="222" t="str">
        <f t="shared" si="3"/>
        <v/>
      </c>
      <c r="E68" s="222" t="str">
        <f t="shared" si="4"/>
        <v/>
      </c>
      <c r="G68" s="223"/>
      <c r="H68" s="223"/>
      <c r="I68" s="223"/>
      <c r="J68" s="223"/>
      <c r="K68" s="223"/>
      <c r="L68" s="223" t="e">
        <f t="shared" ca="1" si="5"/>
        <v>#VALUE!</v>
      </c>
      <c r="M68" s="202"/>
      <c r="N68" s="202"/>
      <c r="O68" s="202"/>
      <c r="P68" s="202"/>
      <c r="Q68" s="202"/>
    </row>
    <row r="69" spans="1:17" ht="16.5">
      <c r="A69" s="206">
        <f t="shared" si="0"/>
        <v>32</v>
      </c>
      <c r="B69" s="221" t="str">
        <f t="shared" si="1"/>
        <v/>
      </c>
      <c r="C69" s="222" t="str">
        <f t="shared" si="2"/>
        <v/>
      </c>
      <c r="D69" s="222" t="str">
        <f t="shared" si="3"/>
        <v/>
      </c>
      <c r="E69" s="222" t="str">
        <f t="shared" si="4"/>
        <v/>
      </c>
      <c r="G69" s="223"/>
      <c r="H69" s="223"/>
      <c r="I69" s="223"/>
      <c r="J69" s="223"/>
      <c r="K69" s="223"/>
      <c r="L69" s="223" t="e">
        <f t="shared" ca="1" si="5"/>
        <v>#VALUE!</v>
      </c>
      <c r="M69" s="202"/>
      <c r="N69" s="202"/>
      <c r="O69" s="202"/>
      <c r="P69" s="202"/>
      <c r="Q69" s="202"/>
    </row>
    <row r="70" spans="1:17" ht="16.5">
      <c r="A70" s="206">
        <f t="shared" si="0"/>
        <v>33</v>
      </c>
      <c r="B70" s="221" t="str">
        <f t="shared" si="1"/>
        <v/>
      </c>
      <c r="C70" s="222" t="str">
        <f t="shared" si="2"/>
        <v/>
      </c>
      <c r="D70" s="222" t="str">
        <f t="shared" si="3"/>
        <v/>
      </c>
      <c r="E70" s="222" t="str">
        <f t="shared" si="4"/>
        <v/>
      </c>
      <c r="G70" s="223"/>
      <c r="H70" s="223"/>
      <c r="I70" s="223"/>
      <c r="J70" s="223"/>
      <c r="K70" s="223"/>
      <c r="L70" s="223" t="e">
        <f t="shared" ca="1" si="5"/>
        <v>#VALUE!</v>
      </c>
      <c r="M70" s="202"/>
      <c r="N70" s="202"/>
      <c r="O70" s="202"/>
      <c r="P70" s="202"/>
      <c r="Q70" s="202"/>
    </row>
    <row r="71" spans="1:17" ht="16.5">
      <c r="A71" s="206">
        <f t="shared" si="0"/>
        <v>34</v>
      </c>
      <c r="B71" s="221" t="str">
        <f t="shared" si="1"/>
        <v/>
      </c>
      <c r="C71" s="222" t="str">
        <f t="shared" si="2"/>
        <v/>
      </c>
      <c r="D71" s="222" t="str">
        <f t="shared" si="3"/>
        <v/>
      </c>
      <c r="E71" s="222" t="str">
        <f t="shared" si="4"/>
        <v/>
      </c>
      <c r="G71" s="223"/>
      <c r="H71" s="223"/>
      <c r="I71" s="223"/>
      <c r="J71" s="223"/>
      <c r="K71" s="223"/>
      <c r="L71" s="223" t="e">
        <f t="shared" ca="1" si="5"/>
        <v>#VALUE!</v>
      </c>
      <c r="M71" s="202"/>
      <c r="N71" s="202"/>
      <c r="O71" s="202"/>
      <c r="P71" s="202"/>
      <c r="Q71" s="202"/>
    </row>
    <row r="72" spans="1:17" ht="16.5">
      <c r="A72" s="206">
        <f t="shared" si="0"/>
        <v>35</v>
      </c>
      <c r="B72" s="221" t="str">
        <f t="shared" si="1"/>
        <v/>
      </c>
      <c r="C72" s="222" t="str">
        <f t="shared" si="2"/>
        <v/>
      </c>
      <c r="D72" s="222" t="str">
        <f t="shared" si="3"/>
        <v/>
      </c>
      <c r="E72" s="222" t="str">
        <f t="shared" si="4"/>
        <v/>
      </c>
      <c r="G72" s="223"/>
      <c r="H72" s="223"/>
      <c r="I72" s="223"/>
      <c r="J72" s="223"/>
      <c r="K72" s="223"/>
      <c r="L72" s="223" t="e">
        <f t="shared" ca="1" si="5"/>
        <v>#VALUE!</v>
      </c>
      <c r="M72" s="202"/>
      <c r="N72" s="202"/>
      <c r="O72" s="202"/>
      <c r="P72" s="202"/>
      <c r="Q72" s="202"/>
    </row>
    <row r="73" spans="1:17" ht="16.5">
      <c r="A73" s="206">
        <f t="shared" si="0"/>
        <v>36</v>
      </c>
      <c r="B73" s="221" t="str">
        <f t="shared" si="1"/>
        <v/>
      </c>
      <c r="C73" s="222" t="str">
        <f t="shared" si="2"/>
        <v/>
      </c>
      <c r="D73" s="222" t="str">
        <f t="shared" si="3"/>
        <v/>
      </c>
      <c r="E73" s="222" t="str">
        <f t="shared" si="4"/>
        <v/>
      </c>
      <c r="G73" s="223"/>
      <c r="H73" s="223"/>
      <c r="I73" s="223"/>
      <c r="J73" s="223"/>
      <c r="K73" s="223"/>
      <c r="L73" s="223" t="e">
        <f t="shared" ca="1" si="5"/>
        <v>#VALUE!</v>
      </c>
      <c r="M73" s="202"/>
      <c r="N73" s="202"/>
      <c r="O73" s="202"/>
      <c r="P73" s="202"/>
      <c r="Q73" s="202"/>
    </row>
    <row r="74" spans="1:17" ht="16.5">
      <c r="A74" s="206">
        <f t="shared" si="0"/>
        <v>37</v>
      </c>
      <c r="B74" s="221" t="str">
        <f t="shared" si="1"/>
        <v/>
      </c>
      <c r="C74" s="222" t="str">
        <f t="shared" si="2"/>
        <v/>
      </c>
      <c r="D74" s="222" t="str">
        <f t="shared" si="3"/>
        <v/>
      </c>
      <c r="E74" s="222" t="str">
        <f t="shared" si="4"/>
        <v/>
      </c>
      <c r="G74" s="223"/>
      <c r="H74" s="223"/>
      <c r="I74" s="223"/>
      <c r="J74" s="223"/>
      <c r="K74" s="223"/>
      <c r="L74" s="223" t="e">
        <f t="shared" ca="1" si="5"/>
        <v>#VALUE!</v>
      </c>
      <c r="M74" s="202"/>
      <c r="N74" s="202"/>
      <c r="O74" s="202"/>
      <c r="P74" s="202"/>
      <c r="Q74" s="202"/>
    </row>
    <row r="75" spans="1:17" ht="16.5">
      <c r="A75" s="206">
        <f t="shared" si="0"/>
        <v>38</v>
      </c>
      <c r="B75" s="221" t="str">
        <f t="shared" si="1"/>
        <v/>
      </c>
      <c r="C75" s="222" t="str">
        <f t="shared" si="2"/>
        <v/>
      </c>
      <c r="D75" s="222" t="str">
        <f t="shared" si="3"/>
        <v/>
      </c>
      <c r="E75" s="222" t="str">
        <f t="shared" si="4"/>
        <v/>
      </c>
      <c r="G75" s="223"/>
      <c r="H75" s="223"/>
      <c r="I75" s="223"/>
      <c r="J75" s="223"/>
      <c r="K75" s="223"/>
      <c r="L75" s="223" t="e">
        <f t="shared" ca="1" si="5"/>
        <v>#VALUE!</v>
      </c>
      <c r="M75" s="202"/>
      <c r="N75" s="202"/>
      <c r="O75" s="202"/>
      <c r="P75" s="202"/>
      <c r="Q75" s="202"/>
    </row>
    <row r="76" spans="1:17" ht="16.5">
      <c r="A76" s="206">
        <f t="shared" si="0"/>
        <v>39</v>
      </c>
      <c r="B76" s="221" t="str">
        <f t="shared" si="1"/>
        <v/>
      </c>
      <c r="C76" s="222" t="str">
        <f t="shared" si="2"/>
        <v/>
      </c>
      <c r="D76" s="222" t="str">
        <f t="shared" si="3"/>
        <v/>
      </c>
      <c r="E76" s="222" t="str">
        <f t="shared" si="4"/>
        <v/>
      </c>
      <c r="G76" s="223"/>
      <c r="H76" s="223"/>
      <c r="I76" s="223"/>
      <c r="J76" s="223"/>
      <c r="K76" s="223"/>
      <c r="L76" s="223" t="e">
        <f t="shared" ca="1" si="5"/>
        <v>#VALUE!</v>
      </c>
      <c r="M76" s="202"/>
      <c r="N76" s="202"/>
      <c r="O76" s="202"/>
      <c r="P76" s="202"/>
      <c r="Q76" s="202"/>
    </row>
    <row r="77" spans="1:17" ht="16.5">
      <c r="A77" s="206">
        <f t="shared" si="0"/>
        <v>40</v>
      </c>
      <c r="B77" s="221" t="str">
        <f t="shared" si="1"/>
        <v/>
      </c>
      <c r="C77" s="222" t="str">
        <f t="shared" si="2"/>
        <v/>
      </c>
      <c r="D77" s="222" t="str">
        <f t="shared" si="3"/>
        <v/>
      </c>
      <c r="E77" s="222" t="str">
        <f t="shared" si="4"/>
        <v/>
      </c>
      <c r="G77" s="223"/>
      <c r="H77" s="223"/>
      <c r="I77" s="223"/>
      <c r="J77" s="223"/>
      <c r="K77" s="223"/>
      <c r="L77" s="223" t="e">
        <f t="shared" ca="1" si="5"/>
        <v>#VALUE!</v>
      </c>
      <c r="M77" s="202"/>
      <c r="N77" s="202"/>
      <c r="O77" s="202"/>
      <c r="P77" s="202"/>
      <c r="Q77" s="202"/>
    </row>
    <row r="78" spans="1:17" ht="16.5">
      <c r="A78" s="206">
        <f t="shared" si="0"/>
        <v>41</v>
      </c>
      <c r="B78" s="221" t="str">
        <f t="shared" si="1"/>
        <v/>
      </c>
      <c r="C78" s="222" t="str">
        <f t="shared" si="2"/>
        <v/>
      </c>
      <c r="D78" s="222" t="str">
        <f t="shared" si="3"/>
        <v/>
      </c>
      <c r="E78" s="222" t="str">
        <f t="shared" si="4"/>
        <v/>
      </c>
      <c r="G78" s="223"/>
      <c r="H78" s="223"/>
      <c r="I78" s="223"/>
      <c r="J78" s="223"/>
      <c r="K78" s="223"/>
      <c r="L78" s="223" t="e">
        <f t="shared" ca="1" si="5"/>
        <v>#VALUE!</v>
      </c>
      <c r="M78" s="202"/>
      <c r="N78" s="202"/>
      <c r="O78" s="202"/>
      <c r="P78" s="202"/>
      <c r="Q78" s="202"/>
    </row>
    <row r="79" spans="1:17" ht="16.5">
      <c r="A79" s="206">
        <f t="shared" si="0"/>
        <v>42</v>
      </c>
      <c r="B79" s="221" t="str">
        <f t="shared" si="1"/>
        <v/>
      </c>
      <c r="C79" s="222" t="str">
        <f t="shared" si="2"/>
        <v/>
      </c>
      <c r="D79" s="222" t="str">
        <f t="shared" si="3"/>
        <v/>
      </c>
      <c r="E79" s="222" t="str">
        <f t="shared" si="4"/>
        <v/>
      </c>
      <c r="G79" s="223"/>
      <c r="H79" s="223"/>
      <c r="I79" s="223"/>
      <c r="J79" s="223"/>
      <c r="K79" s="223"/>
      <c r="L79" s="223" t="e">
        <f t="shared" ca="1" si="5"/>
        <v>#VALUE!</v>
      </c>
      <c r="M79" s="202"/>
      <c r="N79" s="202"/>
      <c r="O79" s="202"/>
      <c r="P79" s="202"/>
      <c r="Q79" s="202"/>
    </row>
    <row r="80" spans="1:17" ht="16.5">
      <c r="A80" s="206">
        <f t="shared" si="0"/>
        <v>43</v>
      </c>
      <c r="B80" s="221" t="str">
        <f t="shared" si="1"/>
        <v/>
      </c>
      <c r="C80" s="222" t="str">
        <f t="shared" si="2"/>
        <v/>
      </c>
      <c r="D80" s="222" t="str">
        <f t="shared" si="3"/>
        <v/>
      </c>
      <c r="E80" s="222" t="str">
        <f t="shared" si="4"/>
        <v/>
      </c>
      <c r="G80" s="223"/>
      <c r="H80" s="223"/>
      <c r="I80" s="223"/>
      <c r="J80" s="223"/>
      <c r="K80" s="223"/>
      <c r="L80" s="223" t="e">
        <f t="shared" ca="1" si="5"/>
        <v>#VALUE!</v>
      </c>
      <c r="M80" s="202"/>
      <c r="N80" s="202"/>
      <c r="O80" s="202"/>
      <c r="P80" s="202"/>
      <c r="Q80" s="202"/>
    </row>
    <row r="81" spans="1:17" ht="16.5">
      <c r="A81" s="206">
        <f t="shared" si="0"/>
        <v>44</v>
      </c>
      <c r="B81" s="221" t="str">
        <f t="shared" si="1"/>
        <v/>
      </c>
      <c r="C81" s="222" t="str">
        <f t="shared" si="2"/>
        <v/>
      </c>
      <c r="D81" s="222" t="str">
        <f t="shared" si="3"/>
        <v/>
      </c>
      <c r="E81" s="222" t="str">
        <f t="shared" si="4"/>
        <v/>
      </c>
      <c r="G81" s="223"/>
      <c r="H81" s="223"/>
      <c r="I81" s="223"/>
      <c r="J81" s="223"/>
      <c r="K81" s="223"/>
      <c r="L81" s="223" t="e">
        <f t="shared" ca="1" si="5"/>
        <v>#VALUE!</v>
      </c>
      <c r="M81" s="202"/>
      <c r="N81" s="202"/>
      <c r="O81" s="202"/>
      <c r="P81" s="202"/>
      <c r="Q81" s="202"/>
    </row>
    <row r="82" spans="1:17" ht="16.5">
      <c r="A82" s="206">
        <f t="shared" si="0"/>
        <v>45</v>
      </c>
      <c r="B82" s="221" t="str">
        <f t="shared" si="1"/>
        <v/>
      </c>
      <c r="C82" s="222" t="str">
        <f t="shared" si="2"/>
        <v/>
      </c>
      <c r="D82" s="222" t="str">
        <f t="shared" si="3"/>
        <v/>
      </c>
      <c r="E82" s="222" t="str">
        <f t="shared" si="4"/>
        <v/>
      </c>
      <c r="G82" s="223"/>
      <c r="H82" s="223"/>
      <c r="I82" s="223"/>
      <c r="J82" s="223"/>
      <c r="K82" s="223"/>
      <c r="L82" s="223" t="e">
        <f t="shared" ca="1" si="5"/>
        <v>#VALUE!</v>
      </c>
      <c r="M82" s="202"/>
      <c r="N82" s="202"/>
      <c r="O82" s="202"/>
      <c r="P82" s="202"/>
      <c r="Q82" s="202"/>
    </row>
    <row r="83" spans="1:17" ht="16.5">
      <c r="A83" s="206">
        <f t="shared" si="0"/>
        <v>46</v>
      </c>
      <c r="B83" s="221" t="str">
        <f t="shared" si="1"/>
        <v/>
      </c>
      <c r="C83" s="222" t="str">
        <f t="shared" si="2"/>
        <v/>
      </c>
      <c r="D83" s="222" t="str">
        <f t="shared" si="3"/>
        <v/>
      </c>
      <c r="E83" s="222" t="str">
        <f t="shared" si="4"/>
        <v/>
      </c>
      <c r="G83" s="223"/>
      <c r="H83" s="223"/>
      <c r="I83" s="223"/>
      <c r="J83" s="223"/>
      <c r="K83" s="223"/>
      <c r="L83" s="223" t="e">
        <f t="shared" ca="1" si="5"/>
        <v>#VALUE!</v>
      </c>
      <c r="M83" s="202"/>
      <c r="N83" s="202"/>
      <c r="O83" s="202"/>
      <c r="P83" s="202"/>
      <c r="Q83" s="202"/>
    </row>
    <row r="84" spans="1:17" ht="16.5">
      <c r="A84" s="206">
        <f t="shared" si="0"/>
        <v>47</v>
      </c>
      <c r="B84" s="221" t="str">
        <f t="shared" si="1"/>
        <v/>
      </c>
      <c r="C84" s="222" t="str">
        <f t="shared" si="2"/>
        <v/>
      </c>
      <c r="D84" s="222" t="str">
        <f t="shared" si="3"/>
        <v/>
      </c>
      <c r="E84" s="222" t="str">
        <f t="shared" si="4"/>
        <v/>
      </c>
      <c r="G84" s="223"/>
      <c r="H84" s="223"/>
      <c r="I84" s="223"/>
      <c r="J84" s="223"/>
      <c r="K84" s="223"/>
      <c r="L84" s="223" t="e">
        <f t="shared" ca="1" si="5"/>
        <v>#VALUE!</v>
      </c>
      <c r="M84" s="202"/>
      <c r="N84" s="202"/>
      <c r="O84" s="202"/>
      <c r="P84" s="202"/>
      <c r="Q84" s="202"/>
    </row>
    <row r="85" spans="1:17" ht="16.5">
      <c r="A85" s="206">
        <f t="shared" si="0"/>
        <v>48</v>
      </c>
      <c r="B85" s="221" t="str">
        <f t="shared" si="1"/>
        <v/>
      </c>
      <c r="C85" s="222" t="str">
        <f t="shared" si="2"/>
        <v/>
      </c>
      <c r="D85" s="222" t="str">
        <f t="shared" si="3"/>
        <v/>
      </c>
      <c r="E85" s="222" t="str">
        <f t="shared" si="4"/>
        <v/>
      </c>
      <c r="G85" s="223"/>
      <c r="H85" s="223"/>
      <c r="I85" s="223"/>
      <c r="J85" s="223"/>
      <c r="K85" s="223"/>
      <c r="L85" s="223" t="e">
        <f t="shared" ca="1" si="5"/>
        <v>#VALUE!</v>
      </c>
      <c r="M85" s="202"/>
      <c r="N85" s="202"/>
      <c r="O85" s="202"/>
      <c r="P85" s="202"/>
      <c r="Q85" s="202"/>
    </row>
    <row r="86" spans="1:17" ht="15.75">
      <c r="A86" s="206"/>
      <c r="B86" s="214" t="s">
        <v>271</v>
      </c>
      <c r="C86" s="224">
        <f ca="1">SUM(C38:C85)</f>
        <v>4999.9999999999864</v>
      </c>
      <c r="D86" s="224">
        <f ca="1">SUM(D38:D85)</f>
        <v>898.53392664284172</v>
      </c>
      <c r="E86" s="224">
        <f ca="1">SUM(E38:E85)</f>
        <v>5898.5339266428273</v>
      </c>
      <c r="M86" s="202"/>
      <c r="N86" s="202"/>
      <c r="O86" s="202"/>
      <c r="P86" s="202"/>
      <c r="Q86" s="202"/>
    </row>
    <row r="87" spans="1:17">
      <c r="A87" s="206"/>
    </row>
  </sheetData>
  <sheetProtection password="C7A8" sheet="1"/>
  <mergeCells count="51">
    <mergeCell ref="C9:D9"/>
    <mergeCell ref="C10:D10"/>
    <mergeCell ref="B12:I12"/>
    <mergeCell ref="B13:I13"/>
    <mergeCell ref="A6:B6"/>
    <mergeCell ref="A7:B7"/>
    <mergeCell ref="A8:B8"/>
    <mergeCell ref="A9:B9"/>
    <mergeCell ref="A10:B10"/>
    <mergeCell ref="A1:B1"/>
    <mergeCell ref="A2:B2"/>
    <mergeCell ref="A3:B3"/>
    <mergeCell ref="A4:B4"/>
    <mergeCell ref="A5:B5"/>
    <mergeCell ref="B14:I14"/>
    <mergeCell ref="B15:I15"/>
    <mergeCell ref="C16:E16"/>
    <mergeCell ref="F16:I16"/>
    <mergeCell ref="C17:E17"/>
    <mergeCell ref="G17:I17"/>
    <mergeCell ref="B18:B19"/>
    <mergeCell ref="C18:E19"/>
    <mergeCell ref="F18:I19"/>
    <mergeCell ref="B20:B21"/>
    <mergeCell ref="C20:E21"/>
    <mergeCell ref="G20:I20"/>
    <mergeCell ref="F21:I21"/>
    <mergeCell ref="B22:B23"/>
    <mergeCell ref="C22:E23"/>
    <mergeCell ref="G22:I22"/>
    <mergeCell ref="F23:I23"/>
    <mergeCell ref="C24:E24"/>
    <mergeCell ref="F24:I24"/>
    <mergeCell ref="C25:E25"/>
    <mergeCell ref="F25:I25"/>
    <mergeCell ref="C26:E26"/>
    <mergeCell ref="F26:I26"/>
    <mergeCell ref="C27:E27"/>
    <mergeCell ref="F27:I27"/>
    <mergeCell ref="C28:E28"/>
    <mergeCell ref="F28:I28"/>
    <mergeCell ref="B34:E34"/>
    <mergeCell ref="F34:G34"/>
    <mergeCell ref="C30:E30"/>
    <mergeCell ref="F30:I30"/>
    <mergeCell ref="C31:E31"/>
    <mergeCell ref="F31:I31"/>
    <mergeCell ref="B33:E33"/>
    <mergeCell ref="F33:G33"/>
    <mergeCell ref="F29:I29"/>
    <mergeCell ref="C29:E29"/>
  </mergeCells>
  <dataValidations count="1">
    <dataValidation type="list" allowBlank="1" showInputMessage="1" showErrorMessage="1" sqref="C7" xr:uid="{00000000-0002-0000-1300-000000000000}">
      <formula1>$M$2:$M$4</formula1>
    </dataValidation>
  </dataValidations>
  <pageMargins left="0.70866141732283472" right="0.70866141732283472" top="0.39370078740157483" bottom="0.74803149606299213" header="0.31496062992125984" footer="0.31496062992125984"/>
  <pageSetup paperSize="9" scale="70" fitToHeight="0" orientation="portrait" r:id="rId1"/>
  <rowBreaks count="1" manualBreakCount="1">
    <brk id="3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EM172"/>
  <sheetViews>
    <sheetView tabSelected="1" topLeftCell="B2" zoomScaleNormal="100" workbookViewId="0">
      <selection activeCell="D9" sqref="D9:F9"/>
    </sheetView>
  </sheetViews>
  <sheetFormatPr defaultRowHeight="12.75"/>
  <cols>
    <col min="1" max="1" width="6.140625" style="21" hidden="1" customWidth="1"/>
    <col min="2" max="2" width="5.7109375" style="21" customWidth="1"/>
    <col min="3" max="3" width="14.5703125" style="21" customWidth="1"/>
    <col min="4" max="4" width="25.5703125" style="21" bestFit="1" customWidth="1"/>
    <col min="5" max="5" width="4.140625" style="21" customWidth="1"/>
    <col min="6" max="6" width="15.140625" style="21" customWidth="1"/>
    <col min="7" max="7" width="20" style="21" customWidth="1"/>
    <col min="8" max="8" width="16.5703125" style="21" hidden="1" customWidth="1"/>
    <col min="9" max="9" width="18.140625" style="21" customWidth="1"/>
    <col min="10" max="10" width="12.28515625" style="21" hidden="1" customWidth="1"/>
    <col min="11" max="11" width="10" style="21" hidden="1" customWidth="1"/>
    <col min="12" max="12" width="0.85546875" style="21" hidden="1" customWidth="1"/>
    <col min="13" max="13" width="12.28515625" style="21" hidden="1" customWidth="1"/>
    <col min="14" max="58" width="15.7109375" style="2" hidden="1" customWidth="1"/>
    <col min="59" max="61" width="15.7109375" style="21" hidden="1" customWidth="1"/>
    <col min="62" max="62" width="20.7109375" style="21" hidden="1" customWidth="1"/>
    <col min="63" max="70" width="9.140625" style="21" customWidth="1"/>
    <col min="71" max="113" width="9.140625" style="20" customWidth="1"/>
    <col min="114" max="143" width="9.140625" style="20"/>
    <col min="144" max="16384" width="9.140625" style="21"/>
  </cols>
  <sheetData>
    <row r="1" spans="2:143" ht="13.5" hidden="1" thickBot="1">
      <c r="B1" s="709" t="str">
        <f>IF(N40=1,"№ кредитного договора:",IF(N40=2,"№ соглашения:"," "))</f>
        <v>№ кредитного договора:</v>
      </c>
      <c r="C1" s="710"/>
      <c r="D1" s="261">
        <v>288450000001</v>
      </c>
      <c r="E1" s="262"/>
      <c r="F1" s="262"/>
      <c r="G1" s="263"/>
      <c r="H1" s="241"/>
      <c r="I1" s="241"/>
      <c r="J1" s="241"/>
      <c r="K1" s="241"/>
      <c r="L1" s="241"/>
      <c r="M1" s="24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41"/>
      <c r="CM1" s="241"/>
      <c r="CN1" s="24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thickBot="1">
      <c r="B2" s="245"/>
      <c r="C2" s="245"/>
      <c r="D2" s="246"/>
      <c r="E2" s="246"/>
      <c r="F2" s="246"/>
      <c r="G2" s="246"/>
      <c r="H2" s="241"/>
      <c r="I2" s="241"/>
      <c r="J2" s="241"/>
      <c r="K2" s="241"/>
      <c r="L2" s="241"/>
      <c r="M2" s="24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41"/>
      <c r="CM2" s="241"/>
      <c r="CN2" s="24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4.25">
      <c r="B3" s="711" t="str">
        <f>IF(N40=1,"Сумма кредита:",IF(N40=2,"Лимит овердрафта:"," "))</f>
        <v>Сумма кредита:</v>
      </c>
      <c r="C3" s="712"/>
      <c r="D3" s="713">
        <v>2432</v>
      </c>
      <c r="E3" s="714"/>
      <c r="F3" s="715"/>
      <c r="G3" s="240" t="s">
        <v>189</v>
      </c>
      <c r="H3" s="241"/>
      <c r="I3" s="241"/>
      <c r="J3" s="241"/>
      <c r="K3" s="241"/>
      <c r="L3" s="241"/>
      <c r="M3" s="24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41"/>
      <c r="CM3" s="241"/>
      <c r="CN3" s="24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701" t="s">
        <v>322</v>
      </c>
      <c r="C4" s="723"/>
      <c r="D4" s="703">
        <v>3</v>
      </c>
      <c r="E4" s="721"/>
      <c r="F4" s="722"/>
      <c r="G4" s="265" t="s">
        <v>323</v>
      </c>
      <c r="H4" s="241"/>
      <c r="I4" s="241"/>
      <c r="J4" s="241"/>
      <c r="K4" s="241"/>
      <c r="L4" s="241"/>
      <c r="M4" s="24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41"/>
      <c r="CM4" s="241"/>
      <c r="CN4" s="24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2.75" customHeight="1">
      <c r="B5" s="701" t="s">
        <v>8</v>
      </c>
      <c r="C5" s="702"/>
      <c r="D5" s="703">
        <v>16.440000000000001</v>
      </c>
      <c r="E5" s="704"/>
      <c r="F5" s="705"/>
      <c r="G5" s="242"/>
      <c r="H5" s="241"/>
      <c r="I5" s="241"/>
      <c r="J5" s="241"/>
      <c r="K5" s="241"/>
      <c r="L5" s="241"/>
      <c r="M5" s="24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41"/>
      <c r="CM5" s="241"/>
      <c r="CN5" s="24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 ht="14.25" hidden="1">
      <c r="B6" s="701" t="s">
        <v>299</v>
      </c>
      <c r="C6" s="702"/>
      <c r="D6" s="703">
        <v>0</v>
      </c>
      <c r="E6" s="704"/>
      <c r="F6" s="705"/>
      <c r="G6" s="242" t="str">
        <f>IF(D6=0," ","бел.руб.")</f>
        <v xml:space="preserve"> </v>
      </c>
      <c r="H6" s="241"/>
      <c r="I6" s="241"/>
      <c r="J6" s="241"/>
      <c r="K6" s="241"/>
      <c r="L6" s="241"/>
      <c r="M6" s="241"/>
      <c r="N6" s="21"/>
      <c r="O6" s="21"/>
      <c r="P6" s="21"/>
      <c r="Q6" s="21">
        <v>6</v>
      </c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41"/>
      <c r="CM6" s="241"/>
      <c r="CN6" s="24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>
      <c r="B7" s="716" t="s">
        <v>181</v>
      </c>
      <c r="C7" s="717"/>
      <c r="D7" s="718" t="s">
        <v>183</v>
      </c>
      <c r="E7" s="719"/>
      <c r="F7" s="719"/>
      <c r="G7" s="720"/>
      <c r="H7" s="241"/>
      <c r="I7" s="241"/>
      <c r="J7" s="241"/>
      <c r="K7" s="241"/>
      <c r="L7" s="241"/>
      <c r="M7" s="24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41"/>
      <c r="CM7" s="241"/>
      <c r="CN7" s="24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5">
      <c r="B8" s="701" t="s">
        <v>13</v>
      </c>
      <c r="C8" s="702"/>
      <c r="D8" s="703">
        <v>48</v>
      </c>
      <c r="E8" s="704"/>
      <c r="F8" s="705"/>
      <c r="G8" s="242" t="str">
        <f>IF(D8=0," ","месяцев")</f>
        <v>месяцев</v>
      </c>
      <c r="H8" s="241"/>
      <c r="I8" s="241"/>
      <c r="J8" s="241"/>
      <c r="K8" s="241"/>
      <c r="L8" s="241"/>
      <c r="M8" s="241"/>
      <c r="N8" s="21"/>
      <c r="O8" s="21"/>
      <c r="P8" s="21">
        <v>6</v>
      </c>
      <c r="Q8" s="264">
        <v>12</v>
      </c>
      <c r="R8" s="21">
        <v>13.81</v>
      </c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41"/>
      <c r="CM8" s="241"/>
      <c r="CN8" s="24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5">
      <c r="B9" s="701" t="s">
        <v>14</v>
      </c>
      <c r="C9" s="702"/>
      <c r="D9" s="706">
        <v>45292</v>
      </c>
      <c r="E9" s="707"/>
      <c r="F9" s="708"/>
      <c r="G9" s="242" t="s">
        <v>15</v>
      </c>
      <c r="H9" s="241"/>
      <c r="I9" s="241"/>
      <c r="J9" s="241"/>
      <c r="K9" s="241"/>
      <c r="L9" s="241"/>
      <c r="M9" s="241"/>
      <c r="N9" s="21"/>
      <c r="O9" s="21"/>
      <c r="P9" s="21"/>
      <c r="Q9" s="264">
        <v>18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41"/>
      <c r="CM9" s="241"/>
      <c r="CN9" s="24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 ht="15">
      <c r="B10" s="701" t="s">
        <v>16</v>
      </c>
      <c r="C10" s="702"/>
      <c r="D10" s="724" t="s">
        <v>325</v>
      </c>
      <c r="E10" s="725"/>
      <c r="F10" s="725"/>
      <c r="G10" s="726"/>
      <c r="H10" s="241"/>
      <c r="I10" s="241"/>
      <c r="J10" s="241"/>
      <c r="K10" s="241"/>
      <c r="L10" s="241"/>
      <c r="M10" s="241"/>
      <c r="N10" s="21"/>
      <c r="O10" s="21"/>
      <c r="P10" s="21"/>
      <c r="Q10" s="264">
        <v>24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41"/>
      <c r="CM10" s="241"/>
      <c r="CN10" s="24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 ht="15.75" thickBot="1">
      <c r="B11" s="243" t="s">
        <v>214</v>
      </c>
      <c r="C11" s="244"/>
      <c r="D11" s="698" t="s">
        <v>283</v>
      </c>
      <c r="E11" s="699"/>
      <c r="F11" s="699"/>
      <c r="G11" s="700"/>
      <c r="H11" s="241"/>
      <c r="I11" s="241"/>
      <c r="J11" s="241"/>
      <c r="K11" s="241"/>
      <c r="L11" s="241"/>
      <c r="M11" s="241"/>
      <c r="N11" s="21"/>
      <c r="O11" s="21"/>
      <c r="P11" s="21"/>
      <c r="Q11" s="264">
        <v>36</v>
      </c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41"/>
      <c r="CM11" s="241"/>
      <c r="CN11" s="24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2" spans="2:143" ht="15">
      <c r="Q12" s="264">
        <v>48</v>
      </c>
    </row>
    <row r="13" spans="2:143" ht="18" hidden="1">
      <c r="B13" s="562" t="s">
        <v>223</v>
      </c>
      <c r="C13" s="562"/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21"/>
      <c r="O13" s="21"/>
      <c r="P13" s="21"/>
      <c r="Q13" s="21"/>
      <c r="R13" s="21"/>
      <c r="S13" s="21"/>
      <c r="T13" s="21"/>
      <c r="U13" s="21"/>
      <c r="V13" s="266" t="s">
        <v>324</v>
      </c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</row>
    <row r="14" spans="2:143" ht="15.75" hidden="1">
      <c r="B14" s="563" t="e">
        <f>#REF!</f>
        <v>#REF!</v>
      </c>
      <c r="C14" s="563"/>
      <c r="D14" s="563"/>
      <c r="E14" s="563"/>
      <c r="F14" s="563"/>
      <c r="G14" s="563"/>
      <c r="H14" s="563"/>
      <c r="I14" s="563"/>
      <c r="J14" s="563"/>
      <c r="K14" s="563"/>
      <c r="L14" s="563"/>
      <c r="M14" s="563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 hidden="1">
      <c r="B15" s="562" t="s">
        <v>224</v>
      </c>
      <c r="C15" s="562"/>
      <c r="D15" s="562"/>
      <c r="E15" s="562"/>
      <c r="F15" s="562"/>
      <c r="G15" s="562"/>
      <c r="H15" s="562"/>
      <c r="I15" s="562"/>
      <c r="J15" s="562"/>
      <c r="K15" s="562"/>
      <c r="L15" s="562"/>
      <c r="M15" s="562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 hidden="1">
      <c r="B16" s="509" t="s">
        <v>225</v>
      </c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43" ht="15.75" hidden="1">
      <c r="B17" s="183" t="s">
        <v>226</v>
      </c>
      <c r="C17" s="511" t="s">
        <v>227</v>
      </c>
      <c r="D17" s="511"/>
      <c r="E17" s="511"/>
      <c r="F17" s="511"/>
      <c r="G17" s="543" t="s">
        <v>228</v>
      </c>
      <c r="H17" s="543"/>
      <c r="I17" s="543"/>
      <c r="J17" s="543"/>
      <c r="K17" s="543"/>
      <c r="L17" s="543"/>
      <c r="M17" s="543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</row>
    <row r="18" spans="2:143" ht="93.75" hidden="1" customHeight="1">
      <c r="B18" s="184" t="s">
        <v>229</v>
      </c>
      <c r="C18" s="506" t="s">
        <v>230</v>
      </c>
      <c r="D18" s="507"/>
      <c r="E18" s="507"/>
      <c r="F18" s="512"/>
      <c r="G18" s="191">
        <f>D3</f>
        <v>2432</v>
      </c>
      <c r="H18" s="192" t="s">
        <v>231</v>
      </c>
      <c r="I18" s="544"/>
      <c r="J18" s="544"/>
      <c r="K18" s="544"/>
      <c r="L18" s="544"/>
      <c r="M18" s="545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</row>
    <row r="19" spans="2:143" ht="15.75" hidden="1" customHeight="1">
      <c r="B19" s="513" t="s">
        <v>232</v>
      </c>
      <c r="C19" s="692" t="s">
        <v>309</v>
      </c>
      <c r="D19" s="693"/>
      <c r="E19" s="693"/>
      <c r="F19" s="694"/>
      <c r="G19" s="193"/>
      <c r="H19" s="190" t="s">
        <v>234</v>
      </c>
      <c r="I19" s="546" t="s">
        <v>304</v>
      </c>
      <c r="J19" s="547"/>
      <c r="K19" s="547"/>
      <c r="L19" s="547"/>
      <c r="M19" s="548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2:143" ht="110.25" hidden="1" customHeight="1">
      <c r="B20" s="514"/>
      <c r="C20" s="695"/>
      <c r="D20" s="696"/>
      <c r="E20" s="696"/>
      <c r="F20" s="697"/>
      <c r="G20" s="549" t="s">
        <v>312</v>
      </c>
      <c r="H20" s="550"/>
      <c r="I20" s="550"/>
      <c r="J20" s="550"/>
      <c r="K20" s="550"/>
      <c r="L20" s="550"/>
      <c r="M20" s="55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2:143" ht="15.75" hidden="1" customHeight="1">
      <c r="B21" s="513" t="s">
        <v>236</v>
      </c>
      <c r="C21" s="515" t="s">
        <v>237</v>
      </c>
      <c r="D21" s="516"/>
      <c r="E21" s="516"/>
      <c r="F21" s="517"/>
      <c r="G21" s="194">
        <f>D8</f>
        <v>48</v>
      </c>
      <c r="H21" s="544" t="s">
        <v>304</v>
      </c>
      <c r="I21" s="544"/>
      <c r="J21" s="544"/>
      <c r="K21" s="544"/>
      <c r="L21" s="544"/>
      <c r="M21" s="545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2:143" ht="112.5" hidden="1" customHeight="1">
      <c r="B22" s="514"/>
      <c r="C22" s="518"/>
      <c r="D22" s="519"/>
      <c r="E22" s="519"/>
      <c r="F22" s="519"/>
      <c r="G22" s="679" t="s">
        <v>314</v>
      </c>
      <c r="H22" s="680"/>
      <c r="I22" s="680"/>
      <c r="J22" s="680"/>
      <c r="K22" s="680"/>
      <c r="L22" s="680"/>
      <c r="M22" s="68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</row>
    <row r="23" spans="2:143" ht="15.75" hidden="1" customHeight="1">
      <c r="B23" s="513" t="s">
        <v>240</v>
      </c>
      <c r="C23" s="664" t="s">
        <v>310</v>
      </c>
      <c r="D23" s="665"/>
      <c r="E23" s="665"/>
      <c r="F23" s="682"/>
      <c r="G23" s="251">
        <f>D5</f>
        <v>16.440000000000001</v>
      </c>
      <c r="H23" s="505" t="s">
        <v>242</v>
      </c>
      <c r="I23" s="505"/>
      <c r="J23" s="505"/>
      <c r="K23" s="505"/>
      <c r="L23" s="505"/>
      <c r="M23" s="505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</row>
    <row r="24" spans="2:143" ht="49.5" hidden="1" customHeight="1">
      <c r="B24" s="663"/>
      <c r="C24" s="666"/>
      <c r="D24" s="667"/>
      <c r="E24" s="667"/>
      <c r="F24" s="683"/>
      <c r="G24" s="687" t="s">
        <v>313</v>
      </c>
      <c r="H24" s="688"/>
      <c r="I24" s="688"/>
      <c r="J24" s="688"/>
      <c r="K24" s="688"/>
      <c r="L24" s="688"/>
      <c r="M24" s="689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</row>
    <row r="25" spans="2:143" ht="78" hidden="1" customHeight="1">
      <c r="B25" s="514"/>
      <c r="C25" s="684"/>
      <c r="D25" s="685"/>
      <c r="E25" s="685"/>
      <c r="F25" s="686"/>
      <c r="G25" s="250">
        <f>G131</f>
        <v>886.94494133333387</v>
      </c>
      <c r="H25" s="252"/>
      <c r="I25" s="690" t="s">
        <v>315</v>
      </c>
      <c r="J25" s="690"/>
      <c r="K25" s="690"/>
      <c r="L25" s="690"/>
      <c r="M25" s="69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</row>
    <row r="26" spans="2:143" ht="65.25" hidden="1" customHeight="1">
      <c r="B26" s="184" t="s">
        <v>244</v>
      </c>
      <c r="C26" s="506" t="s">
        <v>245</v>
      </c>
      <c r="D26" s="507"/>
      <c r="E26" s="507"/>
      <c r="F26" s="508"/>
      <c r="G26" s="676" t="s">
        <v>300</v>
      </c>
      <c r="H26" s="677"/>
      <c r="I26" s="677"/>
      <c r="J26" s="677"/>
      <c r="K26" s="677"/>
      <c r="L26" s="677"/>
      <c r="M26" s="678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</row>
    <row r="27" spans="2:143" ht="96" hidden="1" customHeight="1">
      <c r="B27" s="184" t="s">
        <v>247</v>
      </c>
      <c r="C27" s="506" t="s">
        <v>248</v>
      </c>
      <c r="D27" s="507"/>
      <c r="E27" s="507"/>
      <c r="F27" s="508"/>
      <c r="G27" s="542" t="s">
        <v>305</v>
      </c>
      <c r="H27" s="542"/>
      <c r="I27" s="542"/>
      <c r="J27" s="542"/>
      <c r="K27" s="542"/>
      <c r="L27" s="542"/>
      <c r="M27" s="542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</row>
    <row r="28" spans="2:143" ht="49.5" hidden="1" customHeight="1">
      <c r="B28" s="184" t="s">
        <v>250</v>
      </c>
      <c r="C28" s="506" t="s">
        <v>251</v>
      </c>
      <c r="D28" s="507"/>
      <c r="E28" s="507"/>
      <c r="F28" s="508"/>
      <c r="G28" s="505" t="s">
        <v>301</v>
      </c>
      <c r="H28" s="505"/>
      <c r="I28" s="505"/>
      <c r="J28" s="505"/>
      <c r="K28" s="505"/>
      <c r="L28" s="505"/>
      <c r="M28" s="505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</row>
    <row r="29" spans="2:143" ht="81" hidden="1" customHeight="1">
      <c r="B29" s="184" t="s">
        <v>253</v>
      </c>
      <c r="C29" s="506" t="s">
        <v>254</v>
      </c>
      <c r="D29" s="507"/>
      <c r="E29" s="507"/>
      <c r="F29" s="508"/>
      <c r="G29" s="505" t="str">
        <f>D10</f>
        <v>,</v>
      </c>
      <c r="H29" s="505"/>
      <c r="I29" s="505"/>
      <c r="J29" s="505"/>
      <c r="K29" s="505"/>
      <c r="L29" s="505"/>
      <c r="M29" s="505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</row>
    <row r="30" spans="2:143" ht="31.5" hidden="1" customHeight="1">
      <c r="B30" s="184" t="s">
        <v>255</v>
      </c>
      <c r="C30" s="506" t="s">
        <v>256</v>
      </c>
      <c r="D30" s="507"/>
      <c r="E30" s="507"/>
      <c r="F30" s="508"/>
      <c r="G30" s="505" t="str">
        <f>D11</f>
        <v>Потребительские нужды</v>
      </c>
      <c r="H30" s="505"/>
      <c r="I30" s="505"/>
      <c r="J30" s="505"/>
      <c r="K30" s="505"/>
      <c r="L30" s="505"/>
      <c r="M30" s="505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</row>
    <row r="31" spans="2:143" ht="222" hidden="1" customHeight="1">
      <c r="B31" s="184" t="s">
        <v>258</v>
      </c>
      <c r="C31" s="506" t="s">
        <v>259</v>
      </c>
      <c r="D31" s="507"/>
      <c r="E31" s="507"/>
      <c r="F31" s="508"/>
      <c r="G31" s="675" t="s">
        <v>298</v>
      </c>
      <c r="H31" s="675"/>
      <c r="I31" s="675"/>
      <c r="J31" s="675"/>
      <c r="K31" s="675"/>
      <c r="L31" s="675"/>
      <c r="M31" s="675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</row>
    <row r="32" spans="2:143" ht="27" hidden="1" customHeight="1">
      <c r="B32" s="513" t="s">
        <v>261</v>
      </c>
      <c r="C32" s="664" t="s">
        <v>311</v>
      </c>
      <c r="D32" s="665"/>
      <c r="E32" s="665"/>
      <c r="F32" s="665"/>
      <c r="G32" s="673" t="s">
        <v>321</v>
      </c>
      <c r="H32" s="674"/>
      <c r="I32" s="674"/>
      <c r="J32" s="674"/>
      <c r="K32" s="674"/>
      <c r="L32" s="257"/>
      <c r="M32" s="256">
        <v>0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</row>
    <row r="33" spans="1:143" ht="21" hidden="1" customHeight="1">
      <c r="B33" s="663"/>
      <c r="C33" s="666"/>
      <c r="D33" s="667"/>
      <c r="E33" s="667"/>
      <c r="F33" s="667"/>
      <c r="G33" s="258"/>
      <c r="H33" s="259"/>
      <c r="I33" s="259"/>
      <c r="J33" s="259"/>
      <c r="K33" s="259"/>
      <c r="L33" s="259"/>
      <c r="M33" s="260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</row>
    <row r="34" spans="1:143" ht="22.5" hidden="1" customHeight="1">
      <c r="B34" s="663"/>
      <c r="C34" s="666"/>
      <c r="D34" s="667"/>
      <c r="E34" s="667"/>
      <c r="F34" s="667"/>
      <c r="G34" s="579" t="s">
        <v>320</v>
      </c>
      <c r="H34" s="580"/>
      <c r="I34" s="580"/>
      <c r="J34" s="580"/>
      <c r="K34" s="580"/>
      <c r="L34" s="580"/>
      <c r="M34" s="58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</row>
    <row r="35" spans="1:143" ht="70.5" hidden="1" customHeight="1">
      <c r="B35" s="514"/>
      <c r="C35" s="668"/>
      <c r="D35" s="669"/>
      <c r="E35" s="669"/>
      <c r="F35" s="669"/>
      <c r="G35" s="670" t="s">
        <v>319</v>
      </c>
      <c r="H35" s="671"/>
      <c r="I35" s="671"/>
      <c r="J35" s="671"/>
      <c r="K35" s="671"/>
      <c r="L35" s="671"/>
      <c r="M35" s="672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</row>
    <row r="36" spans="1:143" ht="63.75" hidden="1" customHeight="1">
      <c r="B36" s="184" t="s">
        <v>264</v>
      </c>
      <c r="C36" s="506" t="s">
        <v>265</v>
      </c>
      <c r="D36" s="507"/>
      <c r="E36" s="507"/>
      <c r="F36" s="508"/>
      <c r="G36" s="576" t="s">
        <v>318</v>
      </c>
      <c r="H36" s="576"/>
      <c r="I36" s="576"/>
      <c r="J36" s="576"/>
      <c r="K36" s="576"/>
      <c r="L36" s="576"/>
      <c r="M36" s="576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</row>
    <row r="37" spans="1:143" ht="15.75" hidden="1">
      <c r="B37" s="186"/>
      <c r="C37" s="187"/>
      <c r="D37" s="187"/>
      <c r="E37" s="187"/>
      <c r="F37" s="187"/>
      <c r="G37" s="187"/>
      <c r="H37" s="187"/>
      <c r="I37" s="187"/>
      <c r="J37" s="187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</row>
    <row r="38" spans="1:143" ht="15.75" hidden="1">
      <c r="B38" s="559" t="e">
        <f>#REF!</f>
        <v>#REF!</v>
      </c>
      <c r="C38" s="560"/>
      <c r="D38" s="560"/>
      <c r="E38" s="560"/>
      <c r="F38" s="560"/>
      <c r="G38" s="531"/>
      <c r="H38" s="531"/>
      <c r="I38" s="188">
        <f ca="1">TODAY()</f>
        <v>45294</v>
      </c>
      <c r="J38" s="187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</row>
    <row r="39" spans="1:143" ht="15.75" hidden="1">
      <c r="B39" s="555" t="s">
        <v>267</v>
      </c>
      <c r="C39" s="555"/>
      <c r="D39" s="555"/>
      <c r="E39" s="555"/>
      <c r="F39" s="555"/>
      <c r="G39" s="555" t="s">
        <v>268</v>
      </c>
      <c r="H39" s="555"/>
      <c r="I39" s="187"/>
      <c r="J39" s="187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</row>
    <row r="40" spans="1:143" ht="15.6" hidden="1" customHeight="1">
      <c r="A40" s="247">
        <v>1</v>
      </c>
      <c r="B40" s="2"/>
      <c r="C40" s="2"/>
      <c r="D40" s="2"/>
      <c r="E40" s="2"/>
      <c r="F40" s="2"/>
      <c r="G40"/>
      <c r="H40"/>
      <c r="I40"/>
      <c r="J40" s="248"/>
      <c r="K40" s="248"/>
      <c r="L40" s="248"/>
      <c r="M40" s="248"/>
      <c r="N40" s="127">
        <f>IF(I53=1,1,IF(N53=1,2,IF(O53=1,1,0)))</f>
        <v>1</v>
      </c>
      <c r="O40" s="337" t="s">
        <v>0</v>
      </c>
      <c r="P40" s="337"/>
      <c r="Q40" s="337"/>
      <c r="R40" s="337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</row>
    <row r="41" spans="1:143" ht="25.5" hidden="1" customHeight="1">
      <c r="A41" s="2"/>
      <c r="B41" s="2"/>
      <c r="C41" s="2"/>
      <c r="D41" s="2"/>
      <c r="E41" s="2"/>
      <c r="F41"/>
      <c r="G41"/>
      <c r="H41"/>
      <c r="I41"/>
      <c r="J41" s="660" t="s">
        <v>303</v>
      </c>
      <c r="K41" s="661"/>
      <c r="L41" s="661"/>
      <c r="M41" s="661"/>
      <c r="N41" s="129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</row>
    <row r="42" spans="1:143" ht="19.5" hidden="1" customHeight="1">
      <c r="A42" s="2"/>
      <c r="B42" s="2"/>
      <c r="C42" s="2"/>
      <c r="D42" s="2"/>
      <c r="E42" s="2"/>
      <c r="F42"/>
      <c r="G42"/>
      <c r="H42"/>
      <c r="I42"/>
      <c r="J42" s="661"/>
      <c r="K42" s="661"/>
      <c r="L42" s="661"/>
      <c r="M42" s="661"/>
      <c r="N42" s="129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</row>
    <row r="43" spans="1:143" ht="19.5" hidden="1" customHeight="1">
      <c r="A43" s="2"/>
      <c r="B43" s="656" t="s">
        <v>2</v>
      </c>
      <c r="C43" s="656"/>
      <c r="D43" s="656"/>
      <c r="E43" s="662" t="e">
        <f>#REF!</f>
        <v>#REF!</v>
      </c>
      <c r="F43" s="379"/>
      <c r="G43" s="379"/>
      <c r="H43"/>
      <c r="I43"/>
      <c r="J43" s="248"/>
      <c r="K43" s="248"/>
      <c r="L43" s="248"/>
      <c r="M43" s="248"/>
      <c r="N43" s="129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</row>
    <row r="44" spans="1:143" ht="19.5" hidden="1" customHeight="1">
      <c r="A44" s="2"/>
      <c r="B44" s="656" t="s">
        <v>306</v>
      </c>
      <c r="C44" s="656"/>
      <c r="D44" s="656"/>
      <c r="E44" s="642">
        <f>D9</f>
        <v>45292</v>
      </c>
      <c r="F44" s="643"/>
      <c r="G44" s="643"/>
      <c r="H44"/>
      <c r="I44"/>
      <c r="J44" s="248"/>
      <c r="K44" s="248"/>
      <c r="L44" s="248"/>
      <c r="M44" s="248"/>
      <c r="N44" s="129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</row>
    <row r="45" spans="1:143" ht="5.25" hidden="1" customHeight="1">
      <c r="A45" s="2"/>
      <c r="B45" s="2"/>
      <c r="C45" s="2"/>
      <c r="D45" s="2"/>
      <c r="E45" s="2"/>
      <c r="F45"/>
      <c r="G45"/>
      <c r="H45"/>
      <c r="I45"/>
      <c r="J45" s="248"/>
      <c r="K45" s="248"/>
      <c r="L45" s="248"/>
      <c r="M45" s="248"/>
      <c r="N45" s="129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</row>
    <row r="46" spans="1:143" ht="19.5" hidden="1" customHeight="1">
      <c r="A46" s="2"/>
      <c r="B46" s="657" t="s">
        <v>307</v>
      </c>
      <c r="C46" s="657"/>
      <c r="D46" s="657"/>
      <c r="E46" s="657"/>
      <c r="F46" s="657"/>
      <c r="G46" s="657"/>
      <c r="H46" s="657"/>
      <c r="I46" s="657"/>
      <c r="J46" s="657"/>
      <c r="K46" s="657"/>
      <c r="L46" s="657"/>
      <c r="M46" s="657"/>
      <c r="N46" s="129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</row>
    <row r="47" spans="1:143" ht="29.25" hidden="1" customHeight="1">
      <c r="A47" s="2"/>
      <c r="B47" s="657"/>
      <c r="C47" s="657"/>
      <c r="D47" s="657"/>
      <c r="E47" s="657"/>
      <c r="F47" s="657"/>
      <c r="G47" s="657"/>
      <c r="H47" s="657"/>
      <c r="I47" s="657"/>
      <c r="J47" s="657"/>
      <c r="K47" s="657"/>
      <c r="L47" s="657"/>
      <c r="M47" s="657"/>
      <c r="N47" s="129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</row>
    <row r="48" spans="1:143" ht="9.75" hidden="1" customHeight="1">
      <c r="A48" s="2"/>
      <c r="B48" s="2"/>
      <c r="C48" s="2"/>
      <c r="D48" s="2"/>
      <c r="E48" s="2"/>
      <c r="F48"/>
      <c r="G48"/>
      <c r="H48"/>
      <c r="I48"/>
      <c r="J48" s="248"/>
      <c r="K48" s="248"/>
      <c r="L48" s="248"/>
      <c r="M48" s="248"/>
      <c r="N48" s="129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</row>
    <row r="49" spans="1:143" ht="2.25" hidden="1" customHeight="1">
      <c r="A49" s="2"/>
      <c r="B49" s="2"/>
      <c r="C49" s="2"/>
      <c r="D49" s="2"/>
      <c r="E49" s="2"/>
      <c r="F49"/>
      <c r="G49"/>
      <c r="H49"/>
      <c r="I49"/>
      <c r="J49" s="248"/>
      <c r="K49" s="248"/>
      <c r="L49" s="248"/>
      <c r="M49" s="248"/>
      <c r="N49" s="129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</row>
    <row r="50" spans="1:143" ht="25.5" hidden="1" customHeight="1">
      <c r="A50" s="6" t="str">
        <f>IF(I53=1,"СП - КП",IF(N53=1,"Экспресс",IF(O53=1,"Спецпроцедура"," ")))</f>
        <v>СП - КП</v>
      </c>
      <c r="B50" s="658" t="s">
        <v>302</v>
      </c>
      <c r="C50" s="658"/>
      <c r="D50" s="658"/>
      <c r="E50" s="658"/>
      <c r="F50" s="658"/>
      <c r="G50" s="658"/>
      <c r="H50" s="658"/>
      <c r="I50" s="658"/>
      <c r="J50" s="658"/>
      <c r="K50" s="659"/>
      <c r="L50" s="659"/>
      <c r="M50" s="659"/>
      <c r="N50" s="2">
        <f>IF(N40=0,1,0)</f>
        <v>0</v>
      </c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</row>
    <row r="51" spans="1:143" ht="102" hidden="1" customHeight="1">
      <c r="A51" s="4"/>
      <c r="B51" s="2"/>
      <c r="C51" s="2"/>
      <c r="D51" s="2"/>
      <c r="E51" s="2"/>
      <c r="F51" s="2"/>
      <c r="G51" s="2"/>
      <c r="H51" s="2"/>
      <c r="I51" s="4"/>
      <c r="J51" s="4"/>
      <c r="K51" s="4"/>
      <c r="L51" s="4"/>
      <c r="M51" s="4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</row>
    <row r="52" spans="1:143" ht="15" hidden="1" customHeight="1">
      <c r="A52" s="7"/>
      <c r="H52" s="4"/>
      <c r="I52" s="4" t="s">
        <v>4</v>
      </c>
      <c r="J52" s="4"/>
      <c r="K52" s="4"/>
      <c r="L52" s="4"/>
      <c r="M52" s="4"/>
      <c r="N52" s="2" t="s">
        <v>5</v>
      </c>
      <c r="O52" s="2" t="s">
        <v>6</v>
      </c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</row>
    <row r="53" spans="1:143" ht="15" hidden="1" customHeight="1">
      <c r="A53" s="7"/>
      <c r="H53" s="4"/>
      <c r="I53" s="4">
        <f>IF(D1&gt;288450000000,IF(D1&lt;288499999999,1,IF(D1&gt;288997000000,IF(D1&lt;288997999999,1,0),0)),0)</f>
        <v>1</v>
      </c>
      <c r="J53" s="4"/>
      <c r="K53" s="4"/>
      <c r="L53" s="4"/>
      <c r="M53" s="4"/>
      <c r="N53" s="2">
        <v>1</v>
      </c>
      <c r="O53" s="2">
        <v>0</v>
      </c>
      <c r="P53" s="2">
        <v>0</v>
      </c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</row>
    <row r="54" spans="1:143" ht="6.75" hidden="1" customHeight="1" thickBot="1">
      <c r="A54" s="8"/>
      <c r="H54" s="10"/>
      <c r="I54" s="10"/>
      <c r="J54" s="10"/>
      <c r="K54" s="10"/>
      <c r="L54" s="10"/>
      <c r="M54" s="10"/>
      <c r="P54" s="130"/>
      <c r="AF54" s="2">
        <v>0</v>
      </c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</row>
    <row r="55" spans="1:143" ht="15" hidden="1" customHeight="1" thickBot="1">
      <c r="A55" s="7"/>
      <c r="H55" s="12" t="s">
        <v>7</v>
      </c>
      <c r="I55" s="13">
        <f>G68+H68+A137+D3</f>
        <v>3318.9449413333341</v>
      </c>
      <c r="J55" s="40"/>
      <c r="K55" s="40"/>
      <c r="L55" s="40"/>
      <c r="M55" s="40"/>
      <c r="AE55" s="2">
        <v>6</v>
      </c>
      <c r="AF55" s="2">
        <v>1</v>
      </c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</row>
    <row r="56" spans="1:143" ht="15.75" hidden="1" customHeight="1">
      <c r="A56" s="7"/>
      <c r="H56" s="4"/>
      <c r="I56" s="4"/>
      <c r="J56" s="4"/>
      <c r="K56" s="4"/>
      <c r="L56" s="4"/>
      <c r="M56" s="4"/>
      <c r="N56" s="337" t="s">
        <v>9</v>
      </c>
      <c r="O56" s="337"/>
      <c r="P56" s="337"/>
      <c r="Q56" s="337"/>
      <c r="R56" s="131">
        <f>S56-R57-1</f>
        <v>29</v>
      </c>
      <c r="S56" s="2">
        <f>IF(DAY(D9)=31,31,30)</f>
        <v>30</v>
      </c>
      <c r="AE56" s="2">
        <v>12</v>
      </c>
      <c r="AF56" s="2">
        <v>3</v>
      </c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</row>
    <row r="57" spans="1:143" ht="14.25" hidden="1" customHeight="1">
      <c r="A57" s="7"/>
      <c r="H57" s="4">
        <f>D6*12</f>
        <v>0</v>
      </c>
      <c r="I57" s="4"/>
      <c r="J57" s="4"/>
      <c r="K57" s="4"/>
      <c r="L57" s="4"/>
      <c r="M57" s="4"/>
      <c r="N57" s="337" t="s">
        <v>11</v>
      </c>
      <c r="O57" s="337"/>
      <c r="P57" s="337"/>
      <c r="Q57" s="337"/>
      <c r="R57" s="131">
        <f>DATE(YEAR(0),MONTH(0),DAY(D9)-1)</f>
        <v>0</v>
      </c>
      <c r="AE57" s="2">
        <v>18</v>
      </c>
      <c r="AF57" s="2">
        <v>6</v>
      </c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</row>
    <row r="58" spans="1:143" ht="28.5" hidden="1" customHeight="1">
      <c r="A58" s="16" t="s">
        <v>12</v>
      </c>
      <c r="H58" s="4"/>
      <c r="I58" s="4"/>
      <c r="J58" s="4"/>
      <c r="K58" s="4"/>
      <c r="L58" s="4"/>
      <c r="M58" s="4"/>
      <c r="N58" s="128"/>
      <c r="O58" s="128"/>
      <c r="P58" s="128"/>
      <c r="Q58" s="128"/>
      <c r="R58" s="131"/>
      <c r="AE58" s="2">
        <v>12</v>
      </c>
      <c r="AF58" s="2">
        <v>3</v>
      </c>
    </row>
    <row r="59" spans="1:143" ht="15" hidden="1" customHeight="1">
      <c r="A59" s="17">
        <f>IF(DAY(D9)&lt;=11,D8,D8+1)</f>
        <v>48</v>
      </c>
      <c r="H59" s="4"/>
      <c r="I59" s="4"/>
      <c r="J59" s="4"/>
      <c r="K59" s="4"/>
      <c r="L59" s="4"/>
      <c r="M59" s="4"/>
      <c r="N59" s="2">
        <f>IF(N40=1,IF(G3="USD",0,A59),IF(N40=2,A59," "))</f>
        <v>48</v>
      </c>
      <c r="AE59" s="2">
        <v>24</v>
      </c>
      <c r="AF59" s="2">
        <v>6</v>
      </c>
    </row>
    <row r="60" spans="1:143" ht="15" hidden="1" customHeight="1">
      <c r="A60" s="82"/>
      <c r="H60" s="4"/>
      <c r="I60" s="4"/>
      <c r="J60" s="4"/>
      <c r="K60" s="4"/>
      <c r="L60" s="4"/>
      <c r="M60" s="4"/>
      <c r="AE60" s="2">
        <v>36</v>
      </c>
      <c r="AF60" s="2">
        <v>12</v>
      </c>
    </row>
    <row r="61" spans="1:143" ht="15" hidden="1" customHeight="1">
      <c r="A61" s="7"/>
      <c r="H61" s="10"/>
      <c r="I61" s="10"/>
      <c r="J61" s="10"/>
      <c r="K61" s="10"/>
      <c r="L61" s="10"/>
      <c r="M61" s="10"/>
      <c r="N61" s="132" t="e">
        <f>A59-#REF!</f>
        <v>#REF!</v>
      </c>
      <c r="AE61" s="2">
        <v>48</v>
      </c>
    </row>
    <row r="62" spans="1:143" ht="15.75" hidden="1" customHeight="1">
      <c r="A62" s="4">
        <f>IF(A59&gt;61,1,0)</f>
        <v>0</v>
      </c>
      <c r="H62" s="10"/>
      <c r="I62" s="18"/>
      <c r="J62" s="18"/>
      <c r="K62" s="18"/>
      <c r="L62" s="18"/>
      <c r="M62" s="18"/>
      <c r="AE62" s="2">
        <v>60</v>
      </c>
    </row>
    <row r="63" spans="1:143" ht="15.75" hidden="1" customHeight="1">
      <c r="A63" s="4"/>
      <c r="H63" s="10"/>
      <c r="I63" s="18"/>
      <c r="J63" s="18"/>
      <c r="K63" s="18"/>
      <c r="L63" s="18"/>
      <c r="M63" s="18"/>
    </row>
    <row r="64" spans="1:143" ht="15.75" hidden="1" customHeight="1" thickBot="1">
      <c r="A64" s="4"/>
      <c r="H64" s="4"/>
      <c r="I64" s="4"/>
      <c r="J64" s="4"/>
      <c r="K64" s="4"/>
      <c r="L64" s="4"/>
      <c r="M64" s="4"/>
    </row>
    <row r="65" spans="1:143" ht="12.75" hidden="1" customHeight="1">
      <c r="A65" s="4"/>
      <c r="B65" s="4"/>
      <c r="C65" s="4"/>
      <c r="D65" s="297" t="s">
        <v>79</v>
      </c>
      <c r="E65" s="297"/>
      <c r="F65" s="297"/>
      <c r="G65" s="297"/>
      <c r="H65" s="4"/>
      <c r="I65" s="4"/>
      <c r="J65" s="4"/>
      <c r="K65" s="4"/>
      <c r="L65" s="4"/>
      <c r="M65" s="4"/>
    </row>
    <row r="66" spans="1:143" ht="12.75" hidden="1" customHeight="1">
      <c r="A66" s="4"/>
      <c r="B66" s="4"/>
      <c r="C66" s="4"/>
      <c r="D66" s="272" t="s">
        <v>79</v>
      </c>
      <c r="E66" s="272"/>
      <c r="F66" s="272"/>
      <c r="G66" s="272"/>
      <c r="H66" s="4"/>
      <c r="I66" s="4"/>
      <c r="J66" s="4"/>
      <c r="K66" s="4"/>
      <c r="L66" s="4"/>
      <c r="M66" s="4"/>
    </row>
    <row r="67" spans="1:143" ht="12.75" hidden="1" customHeight="1">
      <c r="A67" s="4"/>
      <c r="B67" s="4"/>
      <c r="C67" s="4"/>
      <c r="D67" s="272" t="s">
        <v>79</v>
      </c>
      <c r="E67" s="272"/>
      <c r="F67" s="272"/>
      <c r="G67" s="272"/>
      <c r="H67" s="4"/>
      <c r="I67" s="4"/>
      <c r="J67" s="4"/>
      <c r="K67" s="4"/>
      <c r="L67" s="4"/>
      <c r="M67" s="4"/>
    </row>
    <row r="68" spans="1:143" ht="38.25" hidden="1" customHeight="1">
      <c r="A68" s="4"/>
      <c r="B68" s="4"/>
      <c r="C68" s="4"/>
      <c r="D68" s="654">
        <f>SUM(D70:F130)</f>
        <v>2431.7999999999988</v>
      </c>
      <c r="E68" s="654"/>
      <c r="F68" s="654"/>
      <c r="G68" s="134">
        <f>SUM(G70:G130)/2</f>
        <v>886.94494133333387</v>
      </c>
      <c r="H68" s="134">
        <v>0</v>
      </c>
      <c r="I68" s="134">
        <f>IF(D8=12,SUM(I70:I83),IF(D8=18,SUM(I70:I87),IF(D8=24,SUM(I70:I93),IF(D8=36,SUM(I70:I105),IF(D8=48,SUM(I70:I117))))))</f>
        <v>3318.7449413333334</v>
      </c>
      <c r="J68" s="134" t="e">
        <f>SUM(J70:J118)</f>
        <v>#REF!</v>
      </c>
      <c r="K68" s="134" t="e">
        <f>SUM(K70:K118)</f>
        <v>#REF!</v>
      </c>
      <c r="L68" s="134"/>
      <c r="M68" s="134" t="e">
        <f>SUM(M70:M118)</f>
        <v>#REF!</v>
      </c>
    </row>
    <row r="69" spans="1:143" ht="51" customHeight="1">
      <c r="A69" s="4" t="e">
        <f>IF(ABS(A59-D8)&gt;(#REF!),1,0)</f>
        <v>#REF!</v>
      </c>
      <c r="B69" s="655" t="s">
        <v>21</v>
      </c>
      <c r="C69" s="655"/>
      <c r="D69" s="651" t="s">
        <v>22</v>
      </c>
      <c r="E69" s="652"/>
      <c r="F69" s="653"/>
      <c r="G69" s="267" t="s">
        <v>23</v>
      </c>
      <c r="H69" s="88" t="s">
        <v>24</v>
      </c>
      <c r="I69" s="89" t="s">
        <v>25</v>
      </c>
      <c r="J69" s="76" t="s">
        <v>22</v>
      </c>
      <c r="K69" s="76" t="s">
        <v>23</v>
      </c>
      <c r="L69" s="76" t="s">
        <v>24</v>
      </c>
      <c r="M69" s="76" t="s">
        <v>25</v>
      </c>
      <c r="O69" s="133" t="s">
        <v>26</v>
      </c>
      <c r="P69" s="133" t="s">
        <v>27</v>
      </c>
      <c r="Q69" s="133" t="s">
        <v>28</v>
      </c>
      <c r="R69" s="133" t="s">
        <v>29</v>
      </c>
      <c r="S69" s="133" t="s">
        <v>30</v>
      </c>
      <c r="T69" s="133">
        <v>2</v>
      </c>
      <c r="U69" s="133"/>
      <c r="V69" s="133" t="s">
        <v>31</v>
      </c>
      <c r="W69" s="133" t="s">
        <v>32</v>
      </c>
      <c r="X69" s="133" t="s">
        <v>142</v>
      </c>
      <c r="Y69" s="133" t="s">
        <v>142</v>
      </c>
      <c r="Z69" s="133"/>
      <c r="AA69" s="133"/>
      <c r="AB69" s="133"/>
      <c r="AC69" s="133" t="s">
        <v>33</v>
      </c>
      <c r="AD69" s="133" t="s">
        <v>186</v>
      </c>
      <c r="AE69" s="133" t="s">
        <v>28</v>
      </c>
      <c r="AF69" s="133" t="s">
        <v>29</v>
      </c>
      <c r="AG69" s="133" t="s">
        <v>143</v>
      </c>
      <c r="AH69" s="133" t="s">
        <v>143</v>
      </c>
      <c r="AI69" s="133"/>
      <c r="AJ69" s="133"/>
      <c r="AK69" s="133" t="s">
        <v>30</v>
      </c>
      <c r="AL69" s="133" t="s">
        <v>31</v>
      </c>
      <c r="AM69" s="133" t="s">
        <v>32</v>
      </c>
    </row>
    <row r="70" spans="1:143" s="24" customFormat="1" ht="15" customHeight="1">
      <c r="A70" s="4">
        <v>1</v>
      </c>
      <c r="B70" s="317">
        <f>IF(O70=0,IF(O69=1,"ИТОГО"," "),DATE(YEAR(D9),MONTH(D9)+1,P70))</f>
        <v>45342</v>
      </c>
      <c r="C70" s="317"/>
      <c r="D70" s="318">
        <f>IF(N70&lt;=$D$4,0,IF(O70=0,0,IF($G$3="USD",ROUND($D$3/($N$59-$D$4),0),IF($G$3="бел. рублей",IF($AY$70&lt;=5,$AW$70,$AW$70)," "))))</f>
        <v>0</v>
      </c>
      <c r="E70" s="318"/>
      <c r="F70" s="318"/>
      <c r="G70" s="87">
        <f>IF(N40=1,Q70,IF(N40=2,R70," "))</f>
        <v>32.207786666666671</v>
      </c>
      <c r="H70" s="87">
        <v>0</v>
      </c>
      <c r="I70" s="87">
        <f>SUM(D70:H70)+A132</f>
        <v>32.207786666666671</v>
      </c>
      <c r="J70" s="87">
        <f>U70</f>
        <v>54.04</v>
      </c>
      <c r="K70" s="87" t="e">
        <f t="shared" ref="K70:K130" si="0">AB70</f>
        <v>#REF!</v>
      </c>
      <c r="L70" s="87">
        <v>0</v>
      </c>
      <c r="M70" s="87" t="e">
        <f>SUM(J70:L70)+A132</f>
        <v>#REF!</v>
      </c>
      <c r="N70" s="2">
        <v>1</v>
      </c>
      <c r="O70" s="2">
        <f>IF(N40=1,IF(N59&gt;0,1,0),IF(N40=2,IF(N59&gt;0,1,0),0))</f>
        <v>1</v>
      </c>
      <c r="P70" s="2">
        <f t="shared" ref="P70:P101" si="1">IF(D$8+1=A$59,IF(N70=A$59,IF(DATE(YEAR(0),MONTH(0),DAY(D$9)-1)&gt;AT70,DATE(YEAR(0),MONTH(0),DAY(D$9)-1),AT70),AT70),IF(N70=A$59,IF(DATE(YEAR(0),MONTH(0),DAY(D$9)-1)&lt;AT70,DATE(YEAR(0),MONTH(0),DAY(D$9)-1),AT70),AT70))</f>
        <v>20</v>
      </c>
      <c r="Q70" s="134">
        <f t="shared" ref="Q70:R101" si="2">V70</f>
        <v>32.207786666666671</v>
      </c>
      <c r="R70" s="134">
        <f t="shared" si="2"/>
        <v>32.207786666666671</v>
      </c>
      <c r="S70" s="134">
        <f>D3</f>
        <v>2432</v>
      </c>
      <c r="T70" s="134" t="e">
        <f>IF(N71&lt;=#REF!,D$3/(D$8-N70),D71)</f>
        <v>#REF!</v>
      </c>
      <c r="U70" s="134">
        <f>AW70</f>
        <v>54.04</v>
      </c>
      <c r="V70" s="134">
        <f>S70*R56*D5/36000</f>
        <v>32.207786666666671</v>
      </c>
      <c r="W70" s="134">
        <f>S70*R56*D5/36000</f>
        <v>32.207786666666671</v>
      </c>
      <c r="X70" s="134">
        <f>IF(D3*R56*D5/36000&lt;&gt;0,IF(VALUE(RIGHT(ROUND(D3*R56*D5/36000,0)))&lt;=5,ROUND(D3*R56*D5/36000,0)-VALUE(RIGHT(ROUND(D3*R56*D5/36000,0))),ROUND(D3*R56*D5/36000,0)+10-VALUE(RIGHT(ROUND(D3*R56*D5/36000,0)))),0)</f>
        <v>30</v>
      </c>
      <c r="Y70" s="134">
        <f>IF(D3*R56*D5/36000&lt;&gt;0,IF(VALUE(RIGHT(ROUND(D3*R56*D5/36000,0)))&lt;=5,ROUND(D3*R56*D5/36000,0)-VALUE(RIGHT(ROUND(D3*R56*D5/36000,0))),ROUND(D3*R56*D5/36000,0)+10-VALUE(RIGHT(ROUND(D3*R56*D5/36000,0)))),0)</f>
        <v>30</v>
      </c>
      <c r="Z70" s="134" t="e">
        <f>IF(N70&lt;=(#REF!+1),D$3,Z69-J69)</f>
        <v>#REF!</v>
      </c>
      <c r="AA70" s="134" t="e">
        <f>Z70*R56*D5/36000</f>
        <v>#REF!</v>
      </c>
      <c r="AB70" s="134" t="e">
        <f t="shared" ref="AB70:AB130" si="3">AA70</f>
        <v>#REF!</v>
      </c>
      <c r="AC70" s="134">
        <f>S70*R56</f>
        <v>70528</v>
      </c>
      <c r="AD70" s="134" t="e">
        <f>Z70*R56</f>
        <v>#REF!</v>
      </c>
      <c r="AE70" s="134">
        <f t="shared" ref="AE70:AF101" si="4">IF(AL70&lt;&gt;0,IF(VALUE(RIGHT(ROUND(AL70,0)))&lt;=5,ROUND(AL70,0)-VALUE(RIGHT(ROUND(AL70,0))),ROUND(AL70,0)+10-VALUE(RIGHT(ROUND(AL70,0)))),0)</f>
        <v>0</v>
      </c>
      <c r="AF70" s="134">
        <f t="shared" si="4"/>
        <v>0</v>
      </c>
      <c r="AG70" s="134">
        <f>AK70*R56*H57/36000</f>
        <v>0</v>
      </c>
      <c r="AH70" s="134">
        <f t="shared" ref="AH70:AH130" si="5">IF(AG70&lt;&gt;0,IF(VALUE(RIGHT(ROUND(AG70,0)))&lt;=5,ROUND(AG70,0)-VALUE(RIGHT(ROUND(AG70,0))),ROUND(AG70,0)+10-VALUE(RIGHT(ROUND(AG70,0)))),0)</f>
        <v>0</v>
      </c>
      <c r="AI70" s="134" t="e">
        <f>Z70*R56*H57/36000</f>
        <v>#REF!</v>
      </c>
      <c r="AJ70" s="134" t="e">
        <f t="shared" ref="AJ70:AJ130" si="6">IF(AI70&lt;&gt;0,IF(VALUE(RIGHT(ROUND(AI70,0)))&lt;=5,ROUND(AI70,0)-VALUE(RIGHT(ROUND(AI70,0))),ROUND(AI70,0)+10-VALUE(RIGHT(ROUND(AI70,0)))),0)</f>
        <v>#REF!</v>
      </c>
      <c r="AK70" s="134">
        <f t="shared" ref="AK70:AK130" si="7">S70</f>
        <v>2432</v>
      </c>
      <c r="AL70" s="134">
        <f>AK70*R56*H57/36000</f>
        <v>0</v>
      </c>
      <c r="AM70" s="134">
        <f>AK70*R56*H57/36000</f>
        <v>0</v>
      </c>
      <c r="AN70" s="132">
        <f>IF(O70=0,0,MONTH(D9)+1)</f>
        <v>2</v>
      </c>
      <c r="AO70" s="132">
        <f t="shared" ref="AO70:AO130" si="8">IF(AN70=13,1,AN70)</f>
        <v>2</v>
      </c>
      <c r="AP70" s="2">
        <f>IF(O70=0,0,YEAR(D9))</f>
        <v>2024</v>
      </c>
      <c r="AQ70" s="2">
        <f t="shared" ref="AQ70:AQ130" si="9">IF(AO70=1,AP70+1,AP70)</f>
        <v>2024</v>
      </c>
      <c r="AR70" s="2">
        <f t="shared" ref="AR70:AR130" si="10">IF((AP70/2012)=1,1,IF((AP70/2016)=1,1,IF((AP70/2020)=1,1,IF((AP70/2024)=1,1,IF((AP70/2028)=1,1,IF((AP70/2032)=1,1,0))))))</f>
        <v>1</v>
      </c>
      <c r="AS70" s="2">
        <f t="shared" ref="AS70:AS130" si="11">IF(AO70=2,IF(AR70=1,29,28),30)</f>
        <v>29</v>
      </c>
      <c r="AT70" s="2">
        <f>IF(C$69=30,AS70,20)</f>
        <v>20</v>
      </c>
      <c r="AU70" s="2"/>
      <c r="AV70" s="2"/>
      <c r="AW70" s="142">
        <f>ROUND(IF(O70=0,0,IF(G3="USD",ROUND(D3/($N$59-$D$4),2),IF(G3="бел. рублей",D3/($N$59-$D$4)," "))),2)</f>
        <v>54.04</v>
      </c>
      <c r="AX70" s="132" t="str">
        <f>RIGHT(AW70)</f>
        <v>4</v>
      </c>
      <c r="AY70" s="2">
        <f>VALUE(AX70)</f>
        <v>4</v>
      </c>
      <c r="AZ70" s="2">
        <f>10-AY70</f>
        <v>6</v>
      </c>
      <c r="BA70" s="2" t="e">
        <f>IF(#REF!=0,0,IF(O70=1,1,0))</f>
        <v>#REF!</v>
      </c>
      <c r="BB70" s="2"/>
      <c r="BC70" s="2"/>
      <c r="BD70" s="2"/>
      <c r="BE70" s="2"/>
      <c r="BF70" s="2"/>
      <c r="BG70" s="21"/>
      <c r="BH70" s="143">
        <f>ROUND((D3-D70*(N59-1)),2)</f>
        <v>2432</v>
      </c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</row>
    <row r="71" spans="1:143" s="24" customFormat="1" ht="15" customHeight="1">
      <c r="A71" s="4">
        <f t="shared" ref="A71:A93" si="12">A70+1</f>
        <v>2</v>
      </c>
      <c r="B71" s="268">
        <f t="shared" ref="B71:B102" si="13">IF(O71=0,IF(O70=1,"ИТОГО"," "),IF(A$59=D$8+1,IF(N71=A$59,IF(MONTH(B70)=2,IF(DAY(D$9)&gt;29,DATE(YEAR(B70),MONTH(B70),AU71),DATE(YEAR(B70),MONTH(B70),P71)),DATE(YEAR(B70),MONTH(B70),P71)),DATE(YEAR(B70),MONTH(B70)+1,P71)),DATE(YEAR(B70),MONTH(B70)+1,P71)))</f>
        <v>45371</v>
      </c>
      <c r="C71" s="268"/>
      <c r="D71" s="318">
        <f>IF(N71&lt;=$D$4,0,IF(O71=0,0,IF($G$3="USD",ROUND($D$3/($N$59-$D$4),0),IF($G$3="бел. рублей",IF($AY$70&lt;=5,$AW$70,$AW$70)," "))))</f>
        <v>0</v>
      </c>
      <c r="E71" s="318"/>
      <c r="F71" s="318"/>
      <c r="G71" s="87">
        <f>IF(O71=0,IF(O70=1,G70," "),IF(N40=1,Q71,IF(N40=2,R71," ")))</f>
        <v>33.318400000000004</v>
      </c>
      <c r="H71" s="87">
        <v>0</v>
      </c>
      <c r="I71" s="87">
        <f t="shared" ref="I71:I130" si="14">IF(SUM(D71:H71)=0," ",SUM(D71:H71))</f>
        <v>33.318400000000004</v>
      </c>
      <c r="J71" s="87" t="e">
        <f>IF(O71=1,IF(O72=1,IF(N71&lt;=#REF!,U71,AX$71),D$3-AX$71*N$61+AX$71),0)</f>
        <v>#REF!</v>
      </c>
      <c r="K71" s="87" t="e">
        <f t="shared" si="0"/>
        <v>#REF!</v>
      </c>
      <c r="L71" s="87">
        <v>0</v>
      </c>
      <c r="M71" s="87" t="e">
        <f t="shared" ref="M71:M130" si="15">IF(SUM(J71:L71)=0," ",SUM(J71:L71))</f>
        <v>#REF!</v>
      </c>
      <c r="N71" s="2">
        <f t="shared" ref="N71:N93" si="16">N70+1</f>
        <v>2</v>
      </c>
      <c r="O71" s="2">
        <f>IF(N40=1,IF(N59&gt;1,1,0),IF(N40=2,IF(N59&gt;1,1,0),0))</f>
        <v>1</v>
      </c>
      <c r="P71" s="2">
        <f t="shared" si="1"/>
        <v>20</v>
      </c>
      <c r="Q71" s="134">
        <f t="shared" si="2"/>
        <v>33.318400000000004</v>
      </c>
      <c r="R71" s="134">
        <f t="shared" si="2"/>
        <v>33.318400000000004</v>
      </c>
      <c r="S71" s="134">
        <f t="shared" ref="S71:S102" si="17">IF(O71=0,0,S70-D70)</f>
        <v>2432</v>
      </c>
      <c r="T71" s="134" t="e">
        <f>IF(N71&lt;=#REF!,D$3/(D$8-N70),D71)</f>
        <v>#REF!</v>
      </c>
      <c r="U71" s="134" t="e">
        <f t="shared" ref="U71:U130" si="18">T71</f>
        <v>#REF!</v>
      </c>
      <c r="V71" s="134">
        <f>IF(O72=1,S70*D5*20/36000+S71*D5*10/36000,IF(O72=0,IF(O71=0,0,S71*D5*R57/36000+S70*D5*20/36000+S71*D5*10/36000)))</f>
        <v>33.318400000000004</v>
      </c>
      <c r="W71" s="134">
        <f>IF(O72=1,S70*D5*20/36000+S71*D5*10/36000,IF(O72=0,IF(O71=0,0,S71*D5*R57/36000+S70*D5*20/36000+S71*D5*10/36000)))</f>
        <v>33.318400000000004</v>
      </c>
      <c r="X71" s="134">
        <f t="shared" ref="X71:X102" si="19">IF(O72=1,$D$3*$D$5*20/36000+$D$3*$D$5*10/36000,IF(O72=0,IF(O71=0,0,$D$3*$D$5*$R$57/36000+$D$3*$D$5*20/36000+$D$3*$D$5*10/36000)))</f>
        <v>33.318400000000004</v>
      </c>
      <c r="Y71" s="134">
        <f t="shared" ref="Y71:Y130" si="20">IF(X71&lt;&gt;0,IF(VALUE(RIGHT(ROUND(X71,0)))&lt;=5,ROUND(X71,0)-VALUE(RIGHT(ROUND(X71,0))),ROUND(X71,0)+10-VALUE(RIGHT(ROUND(X71,0)))),0)</f>
        <v>30</v>
      </c>
      <c r="Z71" s="134" t="e">
        <f>IF(N71&lt;=(#REF!+1),D$3,Z70-J70)</f>
        <v>#REF!</v>
      </c>
      <c r="AA71" s="134" t="e">
        <f>IF(O72=1,Z70*D$5*20/36000+Z71*D$5*10/36000,IF(O72=0,IF(O71=0,0,Z71*D$5*R$57/36000+Z70*D$5*20/36000+Z71*D$5*10/36000)))</f>
        <v>#REF!</v>
      </c>
      <c r="AB71" s="134" t="e">
        <f t="shared" si="3"/>
        <v>#REF!</v>
      </c>
      <c r="AC71" s="134">
        <f>IF(S72=0,S71*R57,(S70*20+S71*10))</f>
        <v>72960</v>
      </c>
      <c r="AD71" s="134" t="e">
        <f t="shared" ref="AD71:AD76" si="21">IF(Z72=0,Z71*R57,(Z70*20+Z71*10))</f>
        <v>#REF!</v>
      </c>
      <c r="AE71" s="134">
        <f t="shared" si="4"/>
        <v>0</v>
      </c>
      <c r="AF71" s="134">
        <f t="shared" si="4"/>
        <v>0</v>
      </c>
      <c r="AG71" s="134">
        <f t="shared" ref="AG71:AG102" si="22">IF(O72=1,D$3*H$57*20/36000+D$3*H$57*10/36000,IF(O72=0,IF(O71=0,0,D$3*H$57*R$57/36000+D$3*H$57*20/36000+D$3*H$57*10/36000)))</f>
        <v>0</v>
      </c>
      <c r="AH71" s="134">
        <f t="shared" si="5"/>
        <v>0</v>
      </c>
      <c r="AI71" s="134" t="e">
        <f t="shared" ref="AI71:AI102" si="23">IF(O72=1,Z70*H$57*20/36000+Z71*H$57*10/36000,IF(O72=0,IF(O71=0,0,Z71*H$57*R$57/36000+Z70*H$57*20/36000+Z71*H$57*10/36000)))</f>
        <v>#REF!</v>
      </c>
      <c r="AJ71" s="134" t="e">
        <f t="shared" si="6"/>
        <v>#REF!</v>
      </c>
      <c r="AK71" s="134">
        <f t="shared" si="7"/>
        <v>2432</v>
      </c>
      <c r="AL71" s="134">
        <f>IF(O72=1,AK70*H57*20/36000+AK71*H57*10/36000,IF(O72=0,IF(O71=0,0,AK71*H57*R57/36000+AK70*H57*20/36000+AK71*H57*10/36000)))</f>
        <v>0</v>
      </c>
      <c r="AM71" s="134">
        <f>IF(O72=1,AK70*H57*20/36000+AK71*H57*10/36000,IF(O72=0,IF(O71=0,0,AK71*H57*R57/36000+AK70*H57*20/36000+AK71*H57*10/36000)))</f>
        <v>0</v>
      </c>
      <c r="AN71" s="132">
        <f t="shared" ref="AN71:AN102" si="24">IF(O71=0,0,MONTH(B70)+1)</f>
        <v>3</v>
      </c>
      <c r="AO71" s="132">
        <f t="shared" si="8"/>
        <v>3</v>
      </c>
      <c r="AP71" s="2">
        <f t="shared" ref="AP71:AP102" si="25">IF(O71=0,0,YEAR(B70))</f>
        <v>2024</v>
      </c>
      <c r="AQ71" s="2">
        <f t="shared" si="9"/>
        <v>2024</v>
      </c>
      <c r="AR71" s="2">
        <f t="shared" si="10"/>
        <v>1</v>
      </c>
      <c r="AS71" s="2">
        <f t="shared" si="11"/>
        <v>30</v>
      </c>
      <c r="AT71" s="2">
        <f t="shared" ref="AT71:AT130" si="26">IF(C$69=30,AS71,20)</f>
        <v>20</v>
      </c>
      <c r="AU71" s="2">
        <f t="shared" ref="AU71:AU130" si="27">AS70</f>
        <v>29</v>
      </c>
      <c r="AV71" s="2"/>
      <c r="AW71" s="142" t="e">
        <f>D$3/(A$59-#REF!)</f>
        <v>#REF!</v>
      </c>
      <c r="AX71" s="144" t="e">
        <f>ROUNDUP(AW71,2)</f>
        <v>#REF!</v>
      </c>
      <c r="AY71" s="2"/>
      <c r="AZ71" s="2"/>
      <c r="BA71" s="2" t="e">
        <f>IF(#REF!=0,0,IF(O71=1,1,0))</f>
        <v>#REF!</v>
      </c>
      <c r="BB71" s="2"/>
      <c r="BC71" s="2"/>
      <c r="BD71" s="2"/>
      <c r="BE71" s="2"/>
      <c r="BF71" s="2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</row>
    <row r="72" spans="1:143" s="24" customFormat="1" ht="15" customHeight="1">
      <c r="A72" s="4">
        <f t="shared" si="12"/>
        <v>3</v>
      </c>
      <c r="B72" s="268">
        <f t="shared" si="13"/>
        <v>45402</v>
      </c>
      <c r="C72" s="268"/>
      <c r="D72" s="318">
        <f>IF(N72&lt;=$D$4,0,IF(O72=0,0,IF($G$3="USD",ROUND($D$3/($N$59-$D$4),0),IF($G$3="бел. рублей",IF($AY$70&lt;=5,$AW$70,$AW$70)," "))))</f>
        <v>0</v>
      </c>
      <c r="E72" s="318"/>
      <c r="F72" s="318"/>
      <c r="G72" s="87">
        <f>IF(O72=0,IF(O71=1,G70+G71," "),IF(N40=1,Q72,IF(N40=2,R72," ")))</f>
        <v>33.318400000000004</v>
      </c>
      <c r="H72" s="87">
        <v>0</v>
      </c>
      <c r="I72" s="87">
        <f t="shared" si="14"/>
        <v>33.318400000000004</v>
      </c>
      <c r="J72" s="87" t="e">
        <f>IF(O72=1,IF(O73=1,IF(N72&lt;=#REF!,U72,AX$71),D$3-AX$71*N$61+AX$71),0)</f>
        <v>#REF!</v>
      </c>
      <c r="K72" s="87" t="e">
        <f t="shared" si="0"/>
        <v>#REF!</v>
      </c>
      <c r="L72" s="87">
        <v>0</v>
      </c>
      <c r="M72" s="87" t="e">
        <f t="shared" si="15"/>
        <v>#REF!</v>
      </c>
      <c r="N72" s="2">
        <f t="shared" si="16"/>
        <v>3</v>
      </c>
      <c r="O72" s="2">
        <f>IF(N40=1,IF(N59&gt;2,1,0),IF(N40=2,IF(N59&gt;2,1,0),0))</f>
        <v>1</v>
      </c>
      <c r="P72" s="2">
        <f t="shared" si="1"/>
        <v>20</v>
      </c>
      <c r="Q72" s="134">
        <f t="shared" si="2"/>
        <v>33.318400000000004</v>
      </c>
      <c r="R72" s="134">
        <f t="shared" si="2"/>
        <v>33.318400000000004</v>
      </c>
      <c r="S72" s="134">
        <f t="shared" si="17"/>
        <v>2432</v>
      </c>
      <c r="T72" s="134" t="e">
        <f>IF(N72&lt;=#REF!,D$3/(D$8-N71),D72)</f>
        <v>#REF!</v>
      </c>
      <c r="U72" s="134" t="e">
        <f t="shared" si="18"/>
        <v>#REF!</v>
      </c>
      <c r="V72" s="134">
        <f>IF(O73=1,S71*D5*20/36000+S72*D5*10/36000,IF(O73=0,IF(O72=0,0,S72*D5*R57/36000+S71*D5*20/36000+S72*D5*10/36000)))</f>
        <v>33.318400000000004</v>
      </c>
      <c r="W72" s="134">
        <f>IF(O73=1,S71*D5*20/36000+S72*D5*10/36000,IF(O73=0,IF(O72=0,0,S72*D5*R57/36000+S71*D5*20/36000+S72*D5*10/36000)))</f>
        <v>33.318400000000004</v>
      </c>
      <c r="X72" s="134">
        <f t="shared" si="19"/>
        <v>33.318400000000004</v>
      </c>
      <c r="Y72" s="134">
        <f t="shared" si="20"/>
        <v>30</v>
      </c>
      <c r="Z72" s="134" t="e">
        <f>IF(N72&lt;=(#REF!+1),D$3,Z71-J71)</f>
        <v>#REF!</v>
      </c>
      <c r="AA72" s="134" t="e">
        <f>IF(O73=1,Z71*D$5*20/36000+Z72*D$5*10/36000,IF(O73=0,IF(O72=0,0,Z72*D$5*R$57/36000+Z71*D$5*20/36000+Z72*D$5*10/36000)))</f>
        <v>#REF!</v>
      </c>
      <c r="AB72" s="134" t="e">
        <f t="shared" si="3"/>
        <v>#REF!</v>
      </c>
      <c r="AC72" s="134">
        <f>IF(S73=0,S72*R57,(S71*20+S72*10))</f>
        <v>72960</v>
      </c>
      <c r="AD72" s="134" t="e">
        <f t="shared" si="21"/>
        <v>#REF!</v>
      </c>
      <c r="AE72" s="134">
        <f t="shared" si="4"/>
        <v>0</v>
      </c>
      <c r="AF72" s="134">
        <f t="shared" si="4"/>
        <v>0</v>
      </c>
      <c r="AG72" s="134">
        <f t="shared" si="22"/>
        <v>0</v>
      </c>
      <c r="AH72" s="134">
        <f t="shared" si="5"/>
        <v>0</v>
      </c>
      <c r="AI72" s="134" t="e">
        <f t="shared" si="23"/>
        <v>#REF!</v>
      </c>
      <c r="AJ72" s="134" t="e">
        <f t="shared" si="6"/>
        <v>#REF!</v>
      </c>
      <c r="AK72" s="134">
        <f t="shared" si="7"/>
        <v>2432</v>
      </c>
      <c r="AL72" s="134">
        <f>IF(O73=1,AK71*H57*20/36000+AK72*H57*10/36000,IF(O73=0,IF(O72=0,0,AK72*H57*R57/36000+AK71*H57*20/36000+AK72*H57*10/36000)))</f>
        <v>0</v>
      </c>
      <c r="AM72" s="134">
        <f>IF(O73=1,AK71*H57*20/36000+AK72*H57*10/36000,IF(O73=0,IF(O72=0,0,AK72*H57*R57/36000+AK71*H57*20/36000+AK72*H57*10/36000)))</f>
        <v>0</v>
      </c>
      <c r="AN72" s="132">
        <f t="shared" si="24"/>
        <v>4</v>
      </c>
      <c r="AO72" s="132">
        <f t="shared" si="8"/>
        <v>4</v>
      </c>
      <c r="AP72" s="2">
        <f t="shared" si="25"/>
        <v>2024</v>
      </c>
      <c r="AQ72" s="2">
        <f t="shared" si="9"/>
        <v>2024</v>
      </c>
      <c r="AR72" s="2">
        <f t="shared" si="10"/>
        <v>1</v>
      </c>
      <c r="AS72" s="2">
        <f t="shared" si="11"/>
        <v>30</v>
      </c>
      <c r="AT72" s="2">
        <f t="shared" si="26"/>
        <v>20</v>
      </c>
      <c r="AU72" s="2">
        <f t="shared" si="27"/>
        <v>30</v>
      </c>
      <c r="AV72" s="2"/>
      <c r="AW72" s="2"/>
      <c r="AX72" s="2"/>
      <c r="AY72" s="2"/>
      <c r="AZ72" s="2"/>
      <c r="BA72" s="2" t="e">
        <f>IF(#REF!=0,0,IF(O72=1,1,0))</f>
        <v>#REF!</v>
      </c>
      <c r="BB72" s="2"/>
      <c r="BC72" s="2"/>
      <c r="BD72" s="2"/>
      <c r="BE72" s="2"/>
      <c r="BF72" s="2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4">
        <f t="shared" si="12"/>
        <v>4</v>
      </c>
      <c r="B73" s="268">
        <f t="shared" si="13"/>
        <v>45432</v>
      </c>
      <c r="C73" s="268"/>
      <c r="D73" s="318">
        <f>IF(N73&lt;=$D$4,0,IF(O73=0,0,IF($G$3="USD",ROUND($D$3/($N$59-$D$4),0),IF($G$3="бел. рублей",IF($AY$70&lt;=5,$AW$70,$AW$70)," "))))</f>
        <v>54.04</v>
      </c>
      <c r="E73" s="318"/>
      <c r="F73" s="318"/>
      <c r="G73" s="87">
        <f>IF(O73=0,IF(O72=1,G70+G71+G72," "),IF(N40=1,Q73,IF(N40=2,R73," ")))</f>
        <v>33.318400000000004</v>
      </c>
      <c r="H73" s="87">
        <v>0</v>
      </c>
      <c r="I73" s="87">
        <f t="shared" si="14"/>
        <v>87.358400000000003</v>
      </c>
      <c r="J73" s="87" t="e">
        <f>IF(O73=1,IF(O74=1,IF(N73&lt;=#REF!,U73,AX$71),D$3-AX$71*N$61+AX$71),0)</f>
        <v>#REF!</v>
      </c>
      <c r="K73" s="87" t="e">
        <f t="shared" si="0"/>
        <v>#REF!</v>
      </c>
      <c r="L73" s="87">
        <v>0</v>
      </c>
      <c r="M73" s="87" t="e">
        <f t="shared" si="15"/>
        <v>#REF!</v>
      </c>
      <c r="N73" s="2">
        <f t="shared" si="16"/>
        <v>4</v>
      </c>
      <c r="O73" s="2">
        <f>IF(N40=1,IF(N59&gt;3,1,0),IF(N40=2,IF(N59&gt;3,1,0),0))</f>
        <v>1</v>
      </c>
      <c r="P73" s="2">
        <f t="shared" si="1"/>
        <v>20</v>
      </c>
      <c r="Q73" s="134">
        <f t="shared" si="2"/>
        <v>33.318400000000004</v>
      </c>
      <c r="R73" s="134">
        <f t="shared" si="2"/>
        <v>33.318400000000004</v>
      </c>
      <c r="S73" s="134">
        <f t="shared" si="17"/>
        <v>2432</v>
      </c>
      <c r="T73" s="134" t="e">
        <f>IF(N73&lt;=#REF!,D$3/(D$8-N72),D73)</f>
        <v>#REF!</v>
      </c>
      <c r="U73" s="134" t="e">
        <f t="shared" si="18"/>
        <v>#REF!</v>
      </c>
      <c r="V73" s="134">
        <f>IF(O74=1,S72*D5*20/36000+S73*D5*10/36000,IF(O74=0,IF(O73=0,0,S73*D5*R57/36000+S72*D5*20/36000+S73*D5*10/36000)))</f>
        <v>33.318400000000004</v>
      </c>
      <c r="W73" s="134">
        <f>IF(O74=1,S72*D5*20/36000+S73*D5*10/36000,IF(O74=0,IF(O73=0,0,S73*D5*R57/36000+S72*D5*20/36000+S73*D5*10/36000)))</f>
        <v>33.318400000000004</v>
      </c>
      <c r="X73" s="134">
        <f t="shared" si="19"/>
        <v>33.318400000000004</v>
      </c>
      <c r="Y73" s="134">
        <f t="shared" si="20"/>
        <v>30</v>
      </c>
      <c r="Z73" s="134" t="e">
        <f>IF(N73&lt;=(#REF!+1),D$3,Z72-J72)</f>
        <v>#REF!</v>
      </c>
      <c r="AA73" s="134" t="e">
        <f>IF(O74=1,Z72*D$5*20/36000+Z73*D$5*10/36000,IF(O74=0,IF(O73=0,0,Z73*D$5*R$57/36000+Z72*D$5*20/36000+Z73*D$5*10/36000)))</f>
        <v>#REF!</v>
      </c>
      <c r="AB73" s="134" t="e">
        <f t="shared" si="3"/>
        <v>#REF!</v>
      </c>
      <c r="AC73" s="134">
        <f>IF(S74=0,S73*R57,(S72*20+S73*10))</f>
        <v>72960</v>
      </c>
      <c r="AD73" s="134" t="e">
        <f t="shared" si="21"/>
        <v>#REF!</v>
      </c>
      <c r="AE73" s="134">
        <f t="shared" si="4"/>
        <v>0</v>
      </c>
      <c r="AF73" s="134">
        <f t="shared" si="4"/>
        <v>0</v>
      </c>
      <c r="AG73" s="134">
        <f t="shared" si="22"/>
        <v>0</v>
      </c>
      <c r="AH73" s="134">
        <f t="shared" si="5"/>
        <v>0</v>
      </c>
      <c r="AI73" s="134" t="e">
        <f t="shared" si="23"/>
        <v>#REF!</v>
      </c>
      <c r="AJ73" s="134" t="e">
        <f t="shared" si="6"/>
        <v>#REF!</v>
      </c>
      <c r="AK73" s="134">
        <f t="shared" si="7"/>
        <v>2432</v>
      </c>
      <c r="AL73" s="134">
        <f>IF(O74=1,AK72*H57*20/36000+AK73*H57*10/36000,IF(O74=0,IF(O73=0,0,AK73*H57*R57/36000+AK72*H57*20/36000+AK73*H57*10/36000)))</f>
        <v>0</v>
      </c>
      <c r="AM73" s="134">
        <f>IF(O74=1,AK72*H57*20/36000+AK73*H57*10/36000,IF(O74=0,IF(O73=0,0,AK73*H57*R57/36000+AK72*H57*20/36000+AK73*H57*10/36000)))</f>
        <v>0</v>
      </c>
      <c r="AN73" s="132">
        <f t="shared" si="24"/>
        <v>5</v>
      </c>
      <c r="AO73" s="132">
        <f t="shared" si="8"/>
        <v>5</v>
      </c>
      <c r="AP73" s="2">
        <f t="shared" si="25"/>
        <v>2024</v>
      </c>
      <c r="AQ73" s="2">
        <f t="shared" si="9"/>
        <v>2024</v>
      </c>
      <c r="AR73" s="2">
        <f t="shared" si="10"/>
        <v>1</v>
      </c>
      <c r="AS73" s="2">
        <f t="shared" si="11"/>
        <v>30</v>
      </c>
      <c r="AT73" s="2">
        <f t="shared" si="26"/>
        <v>20</v>
      </c>
      <c r="AU73" s="2">
        <f t="shared" si="27"/>
        <v>30</v>
      </c>
      <c r="AV73" s="2"/>
      <c r="AW73" s="2"/>
      <c r="AX73" s="2"/>
      <c r="AY73" s="2"/>
      <c r="AZ73" s="2"/>
      <c r="BA73" s="2" t="e">
        <f>IF(#REF!=0,0,IF(O73=1,1,0))</f>
        <v>#REF!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4">
        <f t="shared" si="12"/>
        <v>5</v>
      </c>
      <c r="B74" s="268">
        <f t="shared" si="13"/>
        <v>45463</v>
      </c>
      <c r="C74" s="268"/>
      <c r="D74" s="649">
        <f t="shared" ref="D74:D105" si="28">IF(O74=0,0,IF($G$3="USD",ROUND($D$3/$N$59,0),IF($G$3="бел. рублей",IF($AY$70&lt;=5,$AW$70,$AW$70)," ")))</f>
        <v>54.04</v>
      </c>
      <c r="E74" s="649"/>
      <c r="F74" s="649"/>
      <c r="G74" s="87">
        <f>IF(O74=0,IF(O73=1,G70+G71+G72+G73," "),IF(N40=1,Q74,IF(N40=2,R74," ")))</f>
        <v>33.071617333333336</v>
      </c>
      <c r="H74" s="87">
        <v>0</v>
      </c>
      <c r="I74" s="87">
        <f t="shared" si="14"/>
        <v>87.111617333333328</v>
      </c>
      <c r="J74" s="87" t="e">
        <f>IF(O74=1,IF(O75=1,IF(N74&lt;=#REF!,U74,AX$71),D$3-AX$71*N$61+AX$71),0)</f>
        <v>#REF!</v>
      </c>
      <c r="K74" s="87" t="e">
        <f t="shared" si="0"/>
        <v>#REF!</v>
      </c>
      <c r="L74" s="87">
        <v>0</v>
      </c>
      <c r="M74" s="87" t="e">
        <f t="shared" si="15"/>
        <v>#REF!</v>
      </c>
      <c r="N74" s="2">
        <f t="shared" si="16"/>
        <v>5</v>
      </c>
      <c r="O74" s="2">
        <f>IF(N40=1,IF(N59&gt;4,1,0),IF(N40=2,IF(N59&gt;4,1,0),0))</f>
        <v>1</v>
      </c>
      <c r="P74" s="2">
        <f t="shared" si="1"/>
        <v>20</v>
      </c>
      <c r="Q74" s="134">
        <f t="shared" si="2"/>
        <v>33.071617333333336</v>
      </c>
      <c r="R74" s="134">
        <f t="shared" si="2"/>
        <v>33.071617333333336</v>
      </c>
      <c r="S74" s="134">
        <f t="shared" si="17"/>
        <v>2377.96</v>
      </c>
      <c r="T74" s="134" t="e">
        <f>IF(N74&lt;=#REF!,D$3/(D$8-N73),D74)</f>
        <v>#REF!</v>
      </c>
      <c r="U74" s="134" t="e">
        <f t="shared" si="18"/>
        <v>#REF!</v>
      </c>
      <c r="V74" s="134">
        <f>IF(O75=1,S73*D5*20/36000+S74*D5*10/36000,IF(O75=0,IF(O74=0,0,S74*D5*R57/36000+S73*D5*20/36000+S74*D5*10/36000)))</f>
        <v>33.071617333333336</v>
      </c>
      <c r="W74" s="134">
        <f>IF(O75=1,S73*D5*20/36000+S74*D5*10/36000,IF(O75=0,IF(O74=0,0,S74*D5*R57/36000+S73*D5*20/36000+S74*D5*10/36000)))</f>
        <v>33.071617333333336</v>
      </c>
      <c r="X74" s="134">
        <f t="shared" si="19"/>
        <v>33.318400000000004</v>
      </c>
      <c r="Y74" s="134">
        <f t="shared" si="20"/>
        <v>30</v>
      </c>
      <c r="Z74" s="134" t="e">
        <f>IF(N74&lt;=(#REF!+1),D$3,Z73-J73)</f>
        <v>#REF!</v>
      </c>
      <c r="AA74" s="134" t="e">
        <f>IF(O75=1,Z73*D$5*20/36000+Z74*D$5*10/36000,IF(O75=0,IF(O74=0,0,Z74*D$5*R$57/36000+Z73*D$5*20/36000+Z74*D$5*10/36000)))</f>
        <v>#REF!</v>
      </c>
      <c r="AB74" s="134" t="e">
        <f t="shared" si="3"/>
        <v>#REF!</v>
      </c>
      <c r="AC74" s="134">
        <f>IF(S75=0,S74*R57,(S73*20+S74*10))</f>
        <v>72419.600000000006</v>
      </c>
      <c r="AD74" s="134" t="e">
        <f t="shared" si="21"/>
        <v>#REF!</v>
      </c>
      <c r="AE74" s="134">
        <f t="shared" si="4"/>
        <v>0</v>
      </c>
      <c r="AF74" s="134">
        <f t="shared" si="4"/>
        <v>0</v>
      </c>
      <c r="AG74" s="134">
        <f t="shared" si="22"/>
        <v>0</v>
      </c>
      <c r="AH74" s="134">
        <f t="shared" si="5"/>
        <v>0</v>
      </c>
      <c r="AI74" s="134" t="e">
        <f t="shared" si="23"/>
        <v>#REF!</v>
      </c>
      <c r="AJ74" s="134" t="e">
        <f t="shared" si="6"/>
        <v>#REF!</v>
      </c>
      <c r="AK74" s="134">
        <f t="shared" si="7"/>
        <v>2377.96</v>
      </c>
      <c r="AL74" s="134">
        <f>IF(O75=1,AK73*H57*20/36000+AK74*H57*10/36000,IF(O75=0,IF(O74=0,0,AK74*H57*R57/36000+AK73*H57*20/36000+AK74*H57*10/36000)))</f>
        <v>0</v>
      </c>
      <c r="AM74" s="134">
        <f>IF(O75=1,AK73*H57*20/36000+AK74*H57*10/36000,IF(O75=0,IF(O74=0,0,AK74*H57*R57/36000+AK73*H57*20/36000+AK74*H57*10/36000)))</f>
        <v>0</v>
      </c>
      <c r="AN74" s="132">
        <f t="shared" si="24"/>
        <v>6</v>
      </c>
      <c r="AO74" s="132">
        <f t="shared" si="8"/>
        <v>6</v>
      </c>
      <c r="AP74" s="2">
        <f t="shared" si="25"/>
        <v>2024</v>
      </c>
      <c r="AQ74" s="2">
        <f t="shared" si="9"/>
        <v>2024</v>
      </c>
      <c r="AR74" s="2">
        <f t="shared" si="10"/>
        <v>1</v>
      </c>
      <c r="AS74" s="2">
        <f t="shared" si="11"/>
        <v>30</v>
      </c>
      <c r="AT74" s="2">
        <f t="shared" si="26"/>
        <v>20</v>
      </c>
      <c r="AU74" s="2">
        <f t="shared" si="27"/>
        <v>30</v>
      </c>
      <c r="AV74" s="2"/>
      <c r="AW74" s="2"/>
      <c r="AX74" s="2"/>
      <c r="AY74" s="2"/>
      <c r="AZ74" s="2"/>
      <c r="BA74" s="2" t="e">
        <f>IF(#REF!=0,0,IF(O74=1,1,0))</f>
        <v>#REF!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2"/>
        <v>6</v>
      </c>
      <c r="B75" s="268">
        <f t="shared" si="13"/>
        <v>45493</v>
      </c>
      <c r="C75" s="268"/>
      <c r="D75" s="649">
        <f t="shared" si="28"/>
        <v>54.04</v>
      </c>
      <c r="E75" s="649"/>
      <c r="F75" s="649"/>
      <c r="G75" s="87">
        <f>IF(O75=0,IF(O74=1,G70+G71+G72+G73+G74," "),IF(N40=1,Q75,IF(N40=2,R75," ")))</f>
        <v>32.331269333333339</v>
      </c>
      <c r="H75" s="87">
        <v>0</v>
      </c>
      <c r="I75" s="87">
        <f t="shared" si="14"/>
        <v>86.371269333333345</v>
      </c>
      <c r="J75" s="87" t="e">
        <f>IF(O75=1,IF(O76=1,IF(N75&lt;=#REF!,U75,AX$71),D$3-AX$71*N$61+AX$71),0)</f>
        <v>#REF!</v>
      </c>
      <c r="K75" s="87" t="e">
        <f t="shared" si="0"/>
        <v>#REF!</v>
      </c>
      <c r="L75" s="87">
        <v>0</v>
      </c>
      <c r="M75" s="87" t="e">
        <f t="shared" si="15"/>
        <v>#REF!</v>
      </c>
      <c r="N75" s="2">
        <f t="shared" si="16"/>
        <v>6</v>
      </c>
      <c r="O75" s="2">
        <f>IF(N40=1,IF(N59&gt;5,1,0),IF(N40=2,IF(N59&gt;5,1,0),0))</f>
        <v>1</v>
      </c>
      <c r="P75" s="2">
        <f t="shared" si="1"/>
        <v>20</v>
      </c>
      <c r="Q75" s="134">
        <f t="shared" si="2"/>
        <v>32.331269333333339</v>
      </c>
      <c r="R75" s="134">
        <f t="shared" si="2"/>
        <v>32.331269333333339</v>
      </c>
      <c r="S75" s="134">
        <f t="shared" si="17"/>
        <v>2323.92</v>
      </c>
      <c r="T75" s="134" t="e">
        <f>IF(N75&lt;=#REF!,D$3/(D$8-N74),D75)</f>
        <v>#REF!</v>
      </c>
      <c r="U75" s="134" t="e">
        <f t="shared" si="18"/>
        <v>#REF!</v>
      </c>
      <c r="V75" s="134">
        <f>IF(O76=1,S74*D5*20/36000+S75*D5*10/36000,IF(O76=0,IF(O75=0,0,S75*D5*R57/36000+S74*D5*20/36000+S75*D5*10/36000)))</f>
        <v>32.331269333333339</v>
      </c>
      <c r="W75" s="134">
        <f>IF(O76=1,S74*D5*20/36000+S75*D5*10/36000,IF(O76=0,IF(O75=0,0,S75*D5*R57/36000+S74*D5*20/36000+S75*D5*10/36000)))</f>
        <v>32.331269333333339</v>
      </c>
      <c r="X75" s="134">
        <f t="shared" si="19"/>
        <v>33.318400000000004</v>
      </c>
      <c r="Y75" s="134">
        <f t="shared" si="20"/>
        <v>30</v>
      </c>
      <c r="Z75" s="134" t="e">
        <f>IF(N75&lt;=(#REF!+1),D$3,Z74-J74)</f>
        <v>#REF!</v>
      </c>
      <c r="AA75" s="134" t="e">
        <f>IF(O76=1,Z74*D$5*20/36000+Z75*D$5*10/36000,IF(O76=0,IF(O75=0,0,Z75*D$5*R$57/36000+Z74*D$5*20/36000+Z75*D$5*10/36000)))</f>
        <v>#REF!</v>
      </c>
      <c r="AB75" s="134" t="e">
        <f t="shared" si="3"/>
        <v>#REF!</v>
      </c>
      <c r="AC75" s="134">
        <f>IF(S76=0,S75*R57,(S74*20+S75*10))</f>
        <v>70798.399999999994</v>
      </c>
      <c r="AD75" s="134" t="e">
        <f t="shared" si="21"/>
        <v>#REF!</v>
      </c>
      <c r="AE75" s="134">
        <f t="shared" si="4"/>
        <v>0</v>
      </c>
      <c r="AF75" s="134">
        <f t="shared" si="4"/>
        <v>0</v>
      </c>
      <c r="AG75" s="134">
        <f t="shared" si="22"/>
        <v>0</v>
      </c>
      <c r="AH75" s="134">
        <f t="shared" si="5"/>
        <v>0</v>
      </c>
      <c r="AI75" s="134" t="e">
        <f t="shared" si="23"/>
        <v>#REF!</v>
      </c>
      <c r="AJ75" s="134" t="e">
        <f t="shared" si="6"/>
        <v>#REF!</v>
      </c>
      <c r="AK75" s="134">
        <f t="shared" si="7"/>
        <v>2323.92</v>
      </c>
      <c r="AL75" s="134">
        <f>IF(O76=1,AK74*H57*20/36000+AK75*H57*10/36000,IF(O76=0,IF(O75=0,0,AK75*H57*R57/36000+AK74*H57*20/36000+AK75*H57*10/36000)))</f>
        <v>0</v>
      </c>
      <c r="AM75" s="134">
        <f>IF(O76=1,AK74*H57*20/36000+AK75*H57*10/36000,IF(O76=0,IF(O75=0,0,AK75*H57*R57/36000+AK74*H57*20/36000+AK75*H57*10/36000)))</f>
        <v>0</v>
      </c>
      <c r="AN75" s="132">
        <f t="shared" si="24"/>
        <v>7</v>
      </c>
      <c r="AO75" s="132">
        <f t="shared" si="8"/>
        <v>7</v>
      </c>
      <c r="AP75" s="2">
        <f t="shared" si="25"/>
        <v>2024</v>
      </c>
      <c r="AQ75" s="2">
        <f t="shared" si="9"/>
        <v>2024</v>
      </c>
      <c r="AR75" s="2">
        <f t="shared" si="10"/>
        <v>1</v>
      </c>
      <c r="AS75" s="2">
        <f t="shared" si="11"/>
        <v>30</v>
      </c>
      <c r="AT75" s="2">
        <f t="shared" si="26"/>
        <v>20</v>
      </c>
      <c r="AU75" s="2">
        <f t="shared" si="27"/>
        <v>30</v>
      </c>
      <c r="AV75" s="2"/>
      <c r="AW75" s="2"/>
      <c r="AX75" s="2"/>
      <c r="AY75" s="2"/>
      <c r="AZ75" s="2"/>
      <c r="BA75" s="2" t="e">
        <f>IF(#REF!=0,0,IF(O75=1,1,0))</f>
        <v>#REF!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19">
        <f t="shared" si="12"/>
        <v>7</v>
      </c>
      <c r="B76" s="268">
        <f t="shared" si="13"/>
        <v>45524</v>
      </c>
      <c r="C76" s="268"/>
      <c r="D76" s="649">
        <f t="shared" si="28"/>
        <v>54.04</v>
      </c>
      <c r="E76" s="649"/>
      <c r="F76" s="649"/>
      <c r="G76" s="87">
        <f>IF(O76=0,IF(O75=1,G70+G71+G72+G73+G74+G75," "),IF(N40=1,Q76,IF(N40=2,R76," ")))</f>
        <v>31.590921333333341</v>
      </c>
      <c r="H76" s="87">
        <v>0</v>
      </c>
      <c r="I76" s="87">
        <f t="shared" si="14"/>
        <v>85.630921333333333</v>
      </c>
      <c r="J76" s="87" t="e">
        <f>IF(O76=1,IF(O77=1,IF(N76&lt;=#REF!,U76,AX$71),D$3-AX$71*N$61+AX$71),0)</f>
        <v>#REF!</v>
      </c>
      <c r="K76" s="87" t="e">
        <f t="shared" si="0"/>
        <v>#REF!</v>
      </c>
      <c r="L76" s="87">
        <v>0</v>
      </c>
      <c r="M76" s="87" t="e">
        <f t="shared" si="15"/>
        <v>#REF!</v>
      </c>
      <c r="N76" s="2">
        <f t="shared" si="16"/>
        <v>7</v>
      </c>
      <c r="O76" s="2">
        <f>IF(N40=1,IF(N59&gt;6,1,0),IF(N40=2,IF(N59&gt;6,1,0),0))</f>
        <v>1</v>
      </c>
      <c r="P76" s="2">
        <f t="shared" si="1"/>
        <v>20</v>
      </c>
      <c r="Q76" s="134">
        <f t="shared" si="2"/>
        <v>31.590921333333341</v>
      </c>
      <c r="R76" s="134">
        <f t="shared" si="2"/>
        <v>31.590921333333341</v>
      </c>
      <c r="S76" s="134">
        <f t="shared" si="17"/>
        <v>2269.88</v>
      </c>
      <c r="T76" s="134" t="e">
        <f>IF(N76&lt;=#REF!,D$3/(D$8-N75),D76)</f>
        <v>#REF!</v>
      </c>
      <c r="U76" s="134" t="e">
        <f t="shared" si="18"/>
        <v>#REF!</v>
      </c>
      <c r="V76" s="134">
        <f>IF(O77=1,S75*D$5*20/36000+S76*D$5*10/36000,IF(O77=0,IF(O76=0,0,IF(D$9&gt;20,S75*D$5*20/36000+S76*D$5*(R$57-20)/36000,S76*D$5*R$57/36000))))</f>
        <v>31.590921333333341</v>
      </c>
      <c r="W76" s="134">
        <f>IF(O77=1,S75*D5*20/36000+S76*D5*10/36000,IF(O77=0,IF(O76=0,0,IF(D9&gt;20,S75*D$5*20/36000+S76*D$5*(R$57-20)/36000,S76*D$5*R$57/36000))))</f>
        <v>31.590921333333341</v>
      </c>
      <c r="X76" s="134">
        <f t="shared" si="19"/>
        <v>33.318400000000004</v>
      </c>
      <c r="Y76" s="134">
        <f t="shared" si="20"/>
        <v>30</v>
      </c>
      <c r="Z76" s="134" t="e">
        <f>IF(N76&lt;=(#REF!+1),D$3,Z75-J75)</f>
        <v>#REF!</v>
      </c>
      <c r="AA76" s="134" t="e">
        <f>IF(O77=1,Z75*D$5*20/36000+Z76*D$5*10/36000,IF(O77=0,IF(O76=0,0,IF(D$9&gt;20,Z75*D$5*20/36000+Z76*D$5*(R$57-20)/36000,Z76*D$5*R$57/36000))))</f>
        <v>#REF!</v>
      </c>
      <c r="AB76" s="134" t="e">
        <f t="shared" si="3"/>
        <v>#REF!</v>
      </c>
      <c r="AC76" s="134">
        <f>IF(S77=0,S76*R57,(S75*20+S76*10))</f>
        <v>69177.200000000012</v>
      </c>
      <c r="AD76" s="134" t="e">
        <f t="shared" si="21"/>
        <v>#REF!</v>
      </c>
      <c r="AE76" s="134">
        <f t="shared" si="4"/>
        <v>0</v>
      </c>
      <c r="AF76" s="134">
        <f t="shared" si="4"/>
        <v>0</v>
      </c>
      <c r="AG76" s="134">
        <f t="shared" si="22"/>
        <v>0</v>
      </c>
      <c r="AH76" s="134">
        <f t="shared" si="5"/>
        <v>0</v>
      </c>
      <c r="AI76" s="134" t="e">
        <f t="shared" si="23"/>
        <v>#REF!</v>
      </c>
      <c r="AJ76" s="134" t="e">
        <f t="shared" si="6"/>
        <v>#REF!</v>
      </c>
      <c r="AK76" s="134">
        <f t="shared" si="7"/>
        <v>2269.88</v>
      </c>
      <c r="AL76" s="134">
        <f>IF(O77=1,AK75*H$57*20/36000+AK76*H$57*10/36000,IF(O77=0,IF(O76=0,0,AK76*H$57*R$57/36000)))</f>
        <v>0</v>
      </c>
      <c r="AM76" s="134">
        <f>IF(O77=1,AK75*H$57*20/36000+AK76*H$57*10/36000,IF(O77=0,IF(O76=0,0,AK76*H$57*R$57/36000)))</f>
        <v>0</v>
      </c>
      <c r="AN76" s="132">
        <f t="shared" si="24"/>
        <v>8</v>
      </c>
      <c r="AO76" s="132">
        <f t="shared" si="8"/>
        <v>8</v>
      </c>
      <c r="AP76" s="2">
        <f t="shared" si="25"/>
        <v>2024</v>
      </c>
      <c r="AQ76" s="2">
        <f t="shared" si="9"/>
        <v>2024</v>
      </c>
      <c r="AR76" s="2">
        <f t="shared" si="10"/>
        <v>1</v>
      </c>
      <c r="AS76" s="2">
        <f t="shared" si="11"/>
        <v>30</v>
      </c>
      <c r="AT76" s="2">
        <f t="shared" si="26"/>
        <v>20</v>
      </c>
      <c r="AU76" s="2">
        <f t="shared" si="27"/>
        <v>30</v>
      </c>
      <c r="AV76" s="2"/>
      <c r="AW76" s="2"/>
      <c r="AX76" s="2"/>
      <c r="AY76" s="2"/>
      <c r="AZ76" s="2"/>
      <c r="BA76" s="2" t="e">
        <f>IF(#REF!=0,0,IF(O76=1,1,0))</f>
        <v>#REF!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2"/>
        <v>8</v>
      </c>
      <c r="B77" s="268">
        <f t="shared" si="13"/>
        <v>45555</v>
      </c>
      <c r="C77" s="268"/>
      <c r="D77" s="649">
        <f t="shared" si="28"/>
        <v>54.04</v>
      </c>
      <c r="E77" s="649"/>
      <c r="F77" s="649"/>
      <c r="G77" s="87">
        <f>IF(O77=0,IF(O76=1,G70+G71+G72+G73+G74+G75+G76," "),IF(N40=1,Q77,IF(N40=2,R77," ")))</f>
        <v>30.850573333333337</v>
      </c>
      <c r="H77" s="87">
        <v>0</v>
      </c>
      <c r="I77" s="87">
        <f t="shared" si="14"/>
        <v>84.890573333333336</v>
      </c>
      <c r="J77" s="87" t="e">
        <f>IF(O77=1,IF(O78=1,IF(N77&lt;=#REF!,U77,AX$71),D$3-AX$71*N$61+AX$71),0)</f>
        <v>#REF!</v>
      </c>
      <c r="K77" s="87" t="e">
        <f t="shared" si="0"/>
        <v>#REF!</v>
      </c>
      <c r="L77" s="87">
        <v>0</v>
      </c>
      <c r="M77" s="87" t="e">
        <f t="shared" si="15"/>
        <v>#REF!</v>
      </c>
      <c r="N77" s="2">
        <f t="shared" si="16"/>
        <v>8</v>
      </c>
      <c r="O77" s="2">
        <f>IF(N40=1,IF(N59&gt;7,1,0),IF(N40=2,IF(N59&gt;7,1,0),0))</f>
        <v>1</v>
      </c>
      <c r="P77" s="2">
        <f t="shared" si="1"/>
        <v>20</v>
      </c>
      <c r="Q77" s="134">
        <f t="shared" si="2"/>
        <v>30.850573333333337</v>
      </c>
      <c r="R77" s="134">
        <f t="shared" si="2"/>
        <v>30.850573333333337</v>
      </c>
      <c r="S77" s="134">
        <f t="shared" si="17"/>
        <v>2215.84</v>
      </c>
      <c r="T77" s="134" t="e">
        <f>IF(N77&lt;=#REF!,D$3/(D$8-N76),D77)</f>
        <v>#REF!</v>
      </c>
      <c r="U77" s="134" t="e">
        <f t="shared" si="18"/>
        <v>#REF!</v>
      </c>
      <c r="V77" s="134">
        <f>IF(O78=1,S76*D5*20/36000+S77*D5*10/36000,IF(O78=0,IF(O77=0,0,S77*D5*R57/36000+S76*D5*20/36000+S77*D5*10/36000)))</f>
        <v>30.850573333333337</v>
      </c>
      <c r="W77" s="134">
        <f>IF(O78=1,S76*D5*20/36000+S77*D5*10/36000,IF(O78=0,IF(O77=0,0,S77*D5*R57/36000+S76*D5*20/36000+S77*D5*10/36000)))</f>
        <v>30.850573333333337</v>
      </c>
      <c r="X77" s="134">
        <f t="shared" si="19"/>
        <v>33.318400000000004</v>
      </c>
      <c r="Y77" s="134">
        <f t="shared" si="20"/>
        <v>30</v>
      </c>
      <c r="Z77" s="134" t="e">
        <f>IF(N77&lt;=(#REF!+1),D$3,Z76-J76)</f>
        <v>#REF!</v>
      </c>
      <c r="AA77" s="134" t="e">
        <f>IF(O78=1,Z76*D$5*20/36000+Z77*D$5*10/36000,IF(O78=0,IF(O77=0,0,Z77*D$5*R$57/36000+Z76*D$5*20/36000+Z77*D$5*10/36000)))</f>
        <v>#REF!</v>
      </c>
      <c r="AB77" s="134" t="e">
        <f t="shared" si="3"/>
        <v>#REF!</v>
      </c>
      <c r="AC77" s="134">
        <f>IF(S78=0,S77*R57,(S76*20+S77*10))</f>
        <v>67556</v>
      </c>
      <c r="AD77" s="134" t="e">
        <f>IF(Z78=0,Z77*R64,(Z76*20+Z77*10))</f>
        <v>#REF!</v>
      </c>
      <c r="AE77" s="134">
        <f t="shared" si="4"/>
        <v>0</v>
      </c>
      <c r="AF77" s="134">
        <f t="shared" si="4"/>
        <v>0</v>
      </c>
      <c r="AG77" s="134">
        <f t="shared" si="22"/>
        <v>0</v>
      </c>
      <c r="AH77" s="134">
        <f t="shared" si="5"/>
        <v>0</v>
      </c>
      <c r="AI77" s="134" t="e">
        <f t="shared" si="23"/>
        <v>#REF!</v>
      </c>
      <c r="AJ77" s="134" t="e">
        <f t="shared" si="6"/>
        <v>#REF!</v>
      </c>
      <c r="AK77" s="134">
        <f t="shared" si="7"/>
        <v>2215.84</v>
      </c>
      <c r="AL77" s="134">
        <f>IF(O78=1,AK76*H57*20/36000+AK77*H57*10/36000,IF(O78=0,IF(O77=0,0,AK77*H57*R57/36000+AK76*H57*20/36000+AK77*H57*10/36000)))</f>
        <v>0</v>
      </c>
      <c r="AM77" s="134">
        <f>IF(O78=1,AK76*H57*20/36000+AK77*H57*10/36000,IF(O78=0,IF(O77=0,0,AK77*H57*R57/36000+AK76*H57*20/36000+AK77*H57*10/36000)))</f>
        <v>0</v>
      </c>
      <c r="AN77" s="132">
        <f t="shared" si="24"/>
        <v>9</v>
      </c>
      <c r="AO77" s="132">
        <f t="shared" si="8"/>
        <v>9</v>
      </c>
      <c r="AP77" s="2">
        <f t="shared" si="25"/>
        <v>2024</v>
      </c>
      <c r="AQ77" s="2">
        <f t="shared" si="9"/>
        <v>2024</v>
      </c>
      <c r="AR77" s="2">
        <f t="shared" si="10"/>
        <v>1</v>
      </c>
      <c r="AS77" s="2">
        <f t="shared" si="11"/>
        <v>30</v>
      </c>
      <c r="AT77" s="2">
        <f t="shared" si="26"/>
        <v>20</v>
      </c>
      <c r="AU77" s="2">
        <f t="shared" si="27"/>
        <v>30</v>
      </c>
      <c r="AV77" s="2"/>
      <c r="AW77" s="2"/>
      <c r="AX77" s="2"/>
      <c r="AY77" s="2"/>
      <c r="AZ77" s="2"/>
      <c r="BA77" s="2" t="e">
        <f>IF(#REF!=0,0,IF(O77=1,1,0))</f>
        <v>#REF!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4">
        <f t="shared" si="12"/>
        <v>9</v>
      </c>
      <c r="B78" s="268">
        <f t="shared" si="13"/>
        <v>45585</v>
      </c>
      <c r="C78" s="268"/>
      <c r="D78" s="649">
        <f t="shared" si="28"/>
        <v>54.04</v>
      </c>
      <c r="E78" s="649"/>
      <c r="F78" s="649"/>
      <c r="G78" s="87">
        <f>IF(O78=0,IF(O77=1,G70+G71+G72+G73+G74+G75+G76+G77," "),IF(N40=1,Q78,IF(N40=2,R78," ")))</f>
        <v>30.110225333333339</v>
      </c>
      <c r="H78" s="87">
        <v>0</v>
      </c>
      <c r="I78" s="87">
        <f t="shared" si="14"/>
        <v>84.150225333333339</v>
      </c>
      <c r="J78" s="87" t="e">
        <f>IF(O78=1,IF(O79=1,IF(N78&lt;=#REF!,U78,AX$71),D$3-AX$71*N$61+AX$71),0)</f>
        <v>#REF!</v>
      </c>
      <c r="K78" s="87" t="e">
        <f t="shared" si="0"/>
        <v>#REF!</v>
      </c>
      <c r="L78" s="87">
        <v>0</v>
      </c>
      <c r="M78" s="87" t="e">
        <f t="shared" si="15"/>
        <v>#REF!</v>
      </c>
      <c r="N78" s="2">
        <f t="shared" si="16"/>
        <v>9</v>
      </c>
      <c r="O78" s="2">
        <f>IF(N40=1,IF(N59&gt;8,1,0),IF(N40=2,IF(N59&gt;8,1,0),0))</f>
        <v>1</v>
      </c>
      <c r="P78" s="2">
        <f t="shared" si="1"/>
        <v>20</v>
      </c>
      <c r="Q78" s="134">
        <f t="shared" si="2"/>
        <v>30.110225333333339</v>
      </c>
      <c r="R78" s="134">
        <f t="shared" si="2"/>
        <v>30.110225333333339</v>
      </c>
      <c r="S78" s="134">
        <f t="shared" si="17"/>
        <v>2161.8000000000002</v>
      </c>
      <c r="T78" s="134" t="e">
        <f>IF(N78&lt;=#REF!,D$3/(D$8-N77),D78)</f>
        <v>#REF!</v>
      </c>
      <c r="U78" s="134" t="e">
        <f t="shared" si="18"/>
        <v>#REF!</v>
      </c>
      <c r="V78" s="134">
        <f>IF(O79=1,S77*D5*20/36000+S78*D5*10/36000,IF(O79=0,IF(O78=0,0,S78*D5*R57/36000+S77*D5*20/36000+S78*D5*10/36000)))</f>
        <v>30.110225333333339</v>
      </c>
      <c r="W78" s="134">
        <f>IF(O79=1,S77*D5*20/36000+S78*D5*10/36000,IF(O79=0,IF(O78=0,0,S78*D5*R57/36000+S77*D5*20/36000+S78*D5*10/36000)))</f>
        <v>30.110225333333339</v>
      </c>
      <c r="X78" s="134">
        <f t="shared" si="19"/>
        <v>33.318400000000004</v>
      </c>
      <c r="Y78" s="134">
        <f t="shared" si="20"/>
        <v>30</v>
      </c>
      <c r="Z78" s="134" t="e">
        <f>IF(N78&lt;=(#REF!+1),D$3,Z77-J77)</f>
        <v>#REF!</v>
      </c>
      <c r="AA78" s="134" t="e">
        <f>IF(O79=1,Z77*D$5*20/36000+Z78*D$5*10/36000,IF(O79=0,IF(O78=0,0,Z78*D$5*R$57/36000+Z77*D$5*20/36000+Z78*D$5*10/36000)))</f>
        <v>#REF!</v>
      </c>
      <c r="AB78" s="134" t="e">
        <f t="shared" si="3"/>
        <v>#REF!</v>
      </c>
      <c r="AC78" s="134">
        <f>IF(S79=0,S78*R57,(S77*20+S78*10))</f>
        <v>65934.8</v>
      </c>
      <c r="AD78" s="134" t="e">
        <f>IF(Z79=0,Z78*R65,(Z77*20+Z78*10))</f>
        <v>#REF!</v>
      </c>
      <c r="AE78" s="134">
        <f t="shared" si="4"/>
        <v>0</v>
      </c>
      <c r="AF78" s="134">
        <f t="shared" si="4"/>
        <v>0</v>
      </c>
      <c r="AG78" s="134">
        <f t="shared" si="22"/>
        <v>0</v>
      </c>
      <c r="AH78" s="134">
        <f t="shared" si="5"/>
        <v>0</v>
      </c>
      <c r="AI78" s="134" t="e">
        <f t="shared" si="23"/>
        <v>#REF!</v>
      </c>
      <c r="AJ78" s="134" t="e">
        <f t="shared" si="6"/>
        <v>#REF!</v>
      </c>
      <c r="AK78" s="134">
        <f t="shared" si="7"/>
        <v>2161.8000000000002</v>
      </c>
      <c r="AL78" s="134">
        <f>IF(O79=1,AK77*H57*20/36000+AK78*H57*10/36000,IF(O79=0,IF(O78=0,0,AK78*H57*R57/36000+AK77*H57*20/36000+AK78*H57*10/36000)))</f>
        <v>0</v>
      </c>
      <c r="AM78" s="134">
        <f>IF(O79=1,AK77*H57*20/36000+AK78*H57*10/36000,IF(O79=0,IF(O78=0,0,AK78*H57*R57/36000+AK77*H57*20/36000+AK78*H57*10/36000)))</f>
        <v>0</v>
      </c>
      <c r="AN78" s="132">
        <f t="shared" si="24"/>
        <v>10</v>
      </c>
      <c r="AO78" s="132">
        <f t="shared" si="8"/>
        <v>10</v>
      </c>
      <c r="AP78" s="2">
        <f t="shared" si="25"/>
        <v>2024</v>
      </c>
      <c r="AQ78" s="2">
        <f t="shared" si="9"/>
        <v>2024</v>
      </c>
      <c r="AR78" s="2">
        <f t="shared" si="10"/>
        <v>1</v>
      </c>
      <c r="AS78" s="2">
        <f t="shared" si="11"/>
        <v>30</v>
      </c>
      <c r="AT78" s="2">
        <f t="shared" si="26"/>
        <v>20</v>
      </c>
      <c r="AU78" s="2">
        <f t="shared" si="27"/>
        <v>30</v>
      </c>
      <c r="AV78" s="2"/>
      <c r="AW78" s="2"/>
      <c r="AX78" s="2"/>
      <c r="AY78" s="2"/>
      <c r="AZ78" s="2"/>
      <c r="BA78" s="2" t="e">
        <f>IF(#REF!=0,0,IF(O78=1,1,0))</f>
        <v>#REF!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4">
        <f t="shared" si="12"/>
        <v>10</v>
      </c>
      <c r="B79" s="268">
        <f t="shared" si="13"/>
        <v>45616</v>
      </c>
      <c r="C79" s="268"/>
      <c r="D79" s="649">
        <f t="shared" si="28"/>
        <v>54.04</v>
      </c>
      <c r="E79" s="649"/>
      <c r="F79" s="649"/>
      <c r="G79" s="87">
        <f>IF(O79=0,IF(O78=1,G70+G71+G72+G73+G74+G75+G76+G77+G78," "),IF(N40=1,Q79,IF(N40=2,R79," ")))</f>
        <v>29.369877333333335</v>
      </c>
      <c r="H79" s="87">
        <v>0</v>
      </c>
      <c r="I79" s="87">
        <f t="shared" si="14"/>
        <v>83.409877333333327</v>
      </c>
      <c r="J79" s="87" t="e">
        <f>IF(O79=1,IF(O80=1,IF(N79&lt;=#REF!,U79,AX$71),D$3-AX$71*N$61+AX$71),0)</f>
        <v>#REF!</v>
      </c>
      <c r="K79" s="87" t="e">
        <f t="shared" si="0"/>
        <v>#REF!</v>
      </c>
      <c r="L79" s="87">
        <v>0</v>
      </c>
      <c r="M79" s="87" t="e">
        <f t="shared" si="15"/>
        <v>#REF!</v>
      </c>
      <c r="N79" s="2">
        <f t="shared" si="16"/>
        <v>10</v>
      </c>
      <c r="O79" s="2">
        <f>IF(N40=1,IF(N59&gt;9,1,0),IF(N40=2,IF(N59&gt;9,1,0),0))</f>
        <v>1</v>
      </c>
      <c r="P79" s="2">
        <f t="shared" si="1"/>
        <v>20</v>
      </c>
      <c r="Q79" s="134">
        <f t="shared" si="2"/>
        <v>29.369877333333335</v>
      </c>
      <c r="R79" s="134">
        <f t="shared" si="2"/>
        <v>29.369877333333335</v>
      </c>
      <c r="S79" s="134">
        <f t="shared" si="17"/>
        <v>2107.7600000000002</v>
      </c>
      <c r="T79" s="134" t="e">
        <f>IF(N79&lt;=#REF!,D$3/(D$8-N78),D79)</f>
        <v>#REF!</v>
      </c>
      <c r="U79" s="134" t="e">
        <f t="shared" si="18"/>
        <v>#REF!</v>
      </c>
      <c r="V79" s="134">
        <f>IF(O80=1,S78*D5*20/36000+S79*D5*10/36000,IF(O80=0,IF(O79=0,0,S79*D5*R57/36000+29*D5*20/36000+S79*D5*10/36000)))</f>
        <v>29.369877333333335</v>
      </c>
      <c r="W79" s="134">
        <f>IF(O80=1,S78*D5*20/36000+S79*D5*10/36000,IF(O80=0,IF(O79=0,0,S79*D5*R57/36000+29*D5*20/36000+S79*D5*10/36000)))</f>
        <v>29.369877333333335</v>
      </c>
      <c r="X79" s="134">
        <f t="shared" si="19"/>
        <v>33.318400000000004</v>
      </c>
      <c r="Y79" s="134">
        <f t="shared" si="20"/>
        <v>30</v>
      </c>
      <c r="Z79" s="134" t="e">
        <f>IF(N79&lt;=(#REF!+1),D$3,Z78-J78)</f>
        <v>#REF!</v>
      </c>
      <c r="AA79" s="134" t="e">
        <f>IF(O80=1,Z78*D$5*20/36000+Z79*D$5*10/36000,IF(O80=0,IF(O79=0,0,Z79*D$5*R$57/36000+Z78*D$5*20/36000+Z79*D$5*10/36000)))</f>
        <v>#REF!</v>
      </c>
      <c r="AB79" s="134" t="e">
        <f t="shared" si="3"/>
        <v>#REF!</v>
      </c>
      <c r="AC79" s="134">
        <f>IF(S80=0,S79*R57,(S78*20+S79*10))</f>
        <v>64313.600000000006</v>
      </c>
      <c r="AD79" s="134" t="e">
        <f>IF(Z80=0,Z79*R66,(Z78*20+Z79*10))</f>
        <v>#REF!</v>
      </c>
      <c r="AE79" s="134">
        <f t="shared" si="4"/>
        <v>0</v>
      </c>
      <c r="AF79" s="134">
        <f t="shared" si="4"/>
        <v>0</v>
      </c>
      <c r="AG79" s="134">
        <f t="shared" si="22"/>
        <v>0</v>
      </c>
      <c r="AH79" s="134">
        <f t="shared" si="5"/>
        <v>0</v>
      </c>
      <c r="AI79" s="134" t="e">
        <f t="shared" si="23"/>
        <v>#REF!</v>
      </c>
      <c r="AJ79" s="134" t="e">
        <f t="shared" si="6"/>
        <v>#REF!</v>
      </c>
      <c r="AK79" s="134">
        <f t="shared" si="7"/>
        <v>2107.7600000000002</v>
      </c>
      <c r="AL79" s="134">
        <f>IF(O80=1,AK78*H57*20/36000+AK79*H57*10/36000,IF(O80=0,IF(O79=0,0,AK79*H57*R57/36000+29*H57*20/36000+AK79*H57*10/36000)))</f>
        <v>0</v>
      </c>
      <c r="AM79" s="134">
        <f>IF(O80=1,AK78*H57*20/36000+AK79*H57*10/36000,IF(O80=0,IF(O79=0,0,AK79*H57*R57/36000+29*H57*20/36000+AK79*H57*10/36000)))</f>
        <v>0</v>
      </c>
      <c r="AN79" s="132">
        <f t="shared" si="24"/>
        <v>11</v>
      </c>
      <c r="AO79" s="132">
        <f t="shared" si="8"/>
        <v>11</v>
      </c>
      <c r="AP79" s="2">
        <f t="shared" si="25"/>
        <v>2024</v>
      </c>
      <c r="AQ79" s="2">
        <f t="shared" si="9"/>
        <v>2024</v>
      </c>
      <c r="AR79" s="2">
        <f t="shared" si="10"/>
        <v>1</v>
      </c>
      <c r="AS79" s="2">
        <f t="shared" si="11"/>
        <v>30</v>
      </c>
      <c r="AT79" s="2">
        <f t="shared" si="26"/>
        <v>20</v>
      </c>
      <c r="AU79" s="2">
        <f t="shared" si="27"/>
        <v>30</v>
      </c>
      <c r="AV79" s="2"/>
      <c r="AW79" s="2"/>
      <c r="AX79" s="2"/>
      <c r="AY79" s="2"/>
      <c r="AZ79" s="2"/>
      <c r="BA79" s="2" t="e">
        <f>IF(#REF!=0,0,IF(O79=1,1,0))</f>
        <v>#REF!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4">
        <f t="shared" si="12"/>
        <v>11</v>
      </c>
      <c r="B80" s="268">
        <f t="shared" si="13"/>
        <v>45646</v>
      </c>
      <c r="C80" s="268"/>
      <c r="D80" s="649">
        <f t="shared" si="28"/>
        <v>54.04</v>
      </c>
      <c r="E80" s="649"/>
      <c r="F80" s="649"/>
      <c r="G80" s="87">
        <f>IF(O80=0,IF(O79=1,G70+G71+G72+G73+G74+G75+G76+G77+G78+G79," "),IF(N40=1,Q80,IF(N40=2,R80," ")))</f>
        <v>28.629529333333338</v>
      </c>
      <c r="H80" s="87">
        <v>0</v>
      </c>
      <c r="I80" s="87">
        <f t="shared" si="14"/>
        <v>82.669529333333344</v>
      </c>
      <c r="J80" s="87" t="e">
        <f>IF(O80=1,IF(O81=1,IF(N80&lt;=#REF!,U80,AX$71),D$3-AX$71*N$61+AX$71),0)</f>
        <v>#REF!</v>
      </c>
      <c r="K80" s="87" t="e">
        <f t="shared" si="0"/>
        <v>#REF!</v>
      </c>
      <c r="L80" s="87">
        <v>0</v>
      </c>
      <c r="M80" s="87" t="e">
        <f t="shared" si="15"/>
        <v>#REF!</v>
      </c>
      <c r="N80" s="2">
        <f t="shared" si="16"/>
        <v>11</v>
      </c>
      <c r="O80" s="2">
        <f>IF(N40=1,IF(N59&gt;10,1,0),IF(N40=2,IF(N59&gt;10,1,0),0))</f>
        <v>1</v>
      </c>
      <c r="P80" s="2">
        <f t="shared" si="1"/>
        <v>20</v>
      </c>
      <c r="Q80" s="134">
        <f t="shared" si="2"/>
        <v>28.629529333333338</v>
      </c>
      <c r="R80" s="134">
        <f t="shared" si="2"/>
        <v>28.629529333333338</v>
      </c>
      <c r="S80" s="134">
        <f t="shared" si="17"/>
        <v>2053.7200000000003</v>
      </c>
      <c r="T80" s="134" t="e">
        <f>IF(N80&lt;=#REF!,D$3/(D$8-N79),D80)</f>
        <v>#REF!</v>
      </c>
      <c r="U80" s="134" t="e">
        <f t="shared" si="18"/>
        <v>#REF!</v>
      </c>
      <c r="V80" s="134">
        <f>IF(O81=1,S79*D5*20/36000+S80*D5*10/36000,IF(O81=0,IF(O80=0,0,S80*D5*R57/36000+S79*D5*20/36000+S80*D5*10/36000)))</f>
        <v>28.629529333333338</v>
      </c>
      <c r="W80" s="134">
        <f>IF(O81=1,S79*D5*20/36000+S80*D5*10/36000,IF(O81=0,IF(O80=0,0,S80*D5*R57/36000+S79*D5*20/36000+S80*D5*10/36000)))</f>
        <v>28.629529333333338</v>
      </c>
      <c r="X80" s="134">
        <f t="shared" si="19"/>
        <v>33.318400000000004</v>
      </c>
      <c r="Y80" s="134">
        <f t="shared" si="20"/>
        <v>30</v>
      </c>
      <c r="Z80" s="134" t="e">
        <f>IF(N80&lt;=(#REF!+1),D$3,Z79-J79)</f>
        <v>#REF!</v>
      </c>
      <c r="AA80" s="134" t="e">
        <f>IF(O81=1,Z79*D$5*20/36000+Z80*D$5*10/36000,IF(O81=0,IF(O80=0,0,Z80*D$5*R$57/36000+Z79*D$5*20/36000+Z80*D$5*10/36000)))</f>
        <v>#REF!</v>
      </c>
      <c r="AB80" s="134" t="e">
        <f t="shared" si="3"/>
        <v>#REF!</v>
      </c>
      <c r="AC80" s="134">
        <f>IF(S81=0,S80*R57,(S79*20+S80*10))</f>
        <v>62692.400000000009</v>
      </c>
      <c r="AD80" s="134"/>
      <c r="AE80" s="134">
        <f t="shared" si="4"/>
        <v>0</v>
      </c>
      <c r="AF80" s="134">
        <f t="shared" si="4"/>
        <v>0</v>
      </c>
      <c r="AG80" s="134">
        <f t="shared" si="22"/>
        <v>0</v>
      </c>
      <c r="AH80" s="134">
        <f t="shared" si="5"/>
        <v>0</v>
      </c>
      <c r="AI80" s="134" t="e">
        <f t="shared" si="23"/>
        <v>#REF!</v>
      </c>
      <c r="AJ80" s="134" t="e">
        <f t="shared" si="6"/>
        <v>#REF!</v>
      </c>
      <c r="AK80" s="134">
        <f t="shared" si="7"/>
        <v>2053.7200000000003</v>
      </c>
      <c r="AL80" s="134">
        <f>IF(O81=1,AK79*H57*20/36000+AK80*H57*10/36000,IF(O81=0,IF(O80=0,0,AK80*H57*R57/36000+AK79*H57*20/36000+AK80*H57*10/36000)))</f>
        <v>0</v>
      </c>
      <c r="AM80" s="134">
        <f>IF(O81=1,AK79*H57*20/36000+AK80*H57*10/36000,IF(O81=0,IF(O80=0,0,AK80*H57*R57/36000+AK79*H57*20/36000+AK80*H57*10/36000)))</f>
        <v>0</v>
      </c>
      <c r="AN80" s="132">
        <f t="shared" si="24"/>
        <v>12</v>
      </c>
      <c r="AO80" s="132">
        <f t="shared" si="8"/>
        <v>12</v>
      </c>
      <c r="AP80" s="2">
        <f t="shared" si="25"/>
        <v>2024</v>
      </c>
      <c r="AQ80" s="2">
        <f t="shared" si="9"/>
        <v>2024</v>
      </c>
      <c r="AR80" s="2">
        <f t="shared" si="10"/>
        <v>1</v>
      </c>
      <c r="AS80" s="2">
        <f t="shared" si="11"/>
        <v>30</v>
      </c>
      <c r="AT80" s="2">
        <f t="shared" si="26"/>
        <v>20</v>
      </c>
      <c r="AU80" s="2">
        <f t="shared" si="27"/>
        <v>30</v>
      </c>
      <c r="AV80" s="2"/>
      <c r="AW80" s="2"/>
      <c r="AX80" s="2"/>
      <c r="AY80" s="2"/>
      <c r="AZ80" s="2"/>
      <c r="BA80" s="2" t="e">
        <f>IF(#REF!=0,0,IF(O80=1,1,0))</f>
        <v>#REF!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2"/>
        <v>12</v>
      </c>
      <c r="B81" s="268">
        <f t="shared" ref="B81:B82" si="29">IF(O81=0,IF(O80=1,"ИТОГО"," "),IF(A$59=D$8+1,IF(N81=A$59,IF(MONTH(B80)=2,IF(DAY(D$9)&gt;29,DATE(YEAR(B80),MONTH(B80),AU81),DATE(YEAR(B80),MONTH(B80),P81)),DATE(YEAR(B80),MONTH(B80),P81)),DATE(YEAR(B80),MONTH(B80)+1,P81)),DATE(YEAR(B80),MONTH(B80)+1,P81)))</f>
        <v>45677</v>
      </c>
      <c r="C81" s="268"/>
      <c r="D81" s="649">
        <f t="shared" si="28"/>
        <v>54.04</v>
      </c>
      <c r="E81" s="649"/>
      <c r="F81" s="649"/>
      <c r="G81" s="87">
        <f>IF(O81=0,IF(O80=1,G70+G71+G72+G73+G74+G75+G76+G77+G78+G79+G80," "),IF(N40=1,Q81,IF(N40=2,R81," ")))</f>
        <v>27.88918133333334</v>
      </c>
      <c r="H81" s="87">
        <v>0</v>
      </c>
      <c r="I81" s="87">
        <f t="shared" si="14"/>
        <v>81.929181333333332</v>
      </c>
      <c r="J81" s="87" t="e">
        <f>IF(O81=1,IF(O82=1,IF(N81&lt;=#REF!,U81,AX$71),D$3-AX$71*N$61+AX$71),0)</f>
        <v>#REF!</v>
      </c>
      <c r="K81" s="87" t="e">
        <f t="shared" si="0"/>
        <v>#REF!</v>
      </c>
      <c r="L81" s="87">
        <v>0</v>
      </c>
      <c r="M81" s="87" t="e">
        <f t="shared" si="15"/>
        <v>#REF!</v>
      </c>
      <c r="N81" s="2">
        <f t="shared" si="16"/>
        <v>12</v>
      </c>
      <c r="O81" s="2">
        <f>IF(N40=1,IF(N59&gt;11,1,0),IF(N40=2,IF(N59&gt;11,1,0),0))</f>
        <v>1</v>
      </c>
      <c r="P81" s="2">
        <f t="shared" si="1"/>
        <v>20</v>
      </c>
      <c r="Q81" s="134">
        <f t="shared" si="2"/>
        <v>27.88918133333334</v>
      </c>
      <c r="R81" s="134">
        <f t="shared" si="2"/>
        <v>27.88918133333334</v>
      </c>
      <c r="S81" s="134">
        <f t="shared" si="17"/>
        <v>1999.6800000000003</v>
      </c>
      <c r="T81" s="134" t="e">
        <f>IF(N81&lt;=#REF!,D$3/(D$8-N80),D81)</f>
        <v>#REF!</v>
      </c>
      <c r="U81" s="134" t="e">
        <f t="shared" si="18"/>
        <v>#REF!</v>
      </c>
      <c r="V81" s="134">
        <f>IF(O82=1,S80*D5*20/36000+S81*D5*10/36000,IF(O82=0,IF(O81=0,0,S81*D5*R57/36000+S80*D5*20/36000+S81*D5*10/36000)))</f>
        <v>27.88918133333334</v>
      </c>
      <c r="W81" s="134">
        <f>IF(O82=1,S80*D5*20/36000+S81*D5*10/36000,IF(O82=0,IF(O81=0,0,S81*D5*R57/36000+S80*D5*20/36000+S81*D5*10/36000)))</f>
        <v>27.88918133333334</v>
      </c>
      <c r="X81" s="134">
        <f t="shared" si="19"/>
        <v>33.318400000000004</v>
      </c>
      <c r="Y81" s="134">
        <f t="shared" si="20"/>
        <v>30</v>
      </c>
      <c r="Z81" s="134" t="e">
        <f>IF(N81&lt;=(#REF!+1),D$3,Z80-J80)</f>
        <v>#REF!</v>
      </c>
      <c r="AA81" s="134" t="e">
        <f>IF(O82=1,Z80*D$5*20/36000+Z81*D$5*10/36000,IF(O82=0,IF(O81=0,0,Z81*D$5*R$57/36000+Z80*D$5*20/36000+Z81*D$5*10/36000)))</f>
        <v>#REF!</v>
      </c>
      <c r="AB81" s="134" t="e">
        <f t="shared" si="3"/>
        <v>#REF!</v>
      </c>
      <c r="AC81" s="134">
        <f>IF(S82=0,S81*R57,(S80*20+S81*10))</f>
        <v>61071.200000000012</v>
      </c>
      <c r="AD81" s="134"/>
      <c r="AE81" s="134">
        <f t="shared" si="4"/>
        <v>0</v>
      </c>
      <c r="AF81" s="134">
        <f t="shared" si="4"/>
        <v>0</v>
      </c>
      <c r="AG81" s="134">
        <f t="shared" si="22"/>
        <v>0</v>
      </c>
      <c r="AH81" s="134">
        <f t="shared" si="5"/>
        <v>0</v>
      </c>
      <c r="AI81" s="134" t="e">
        <f t="shared" si="23"/>
        <v>#REF!</v>
      </c>
      <c r="AJ81" s="134" t="e">
        <f t="shared" si="6"/>
        <v>#REF!</v>
      </c>
      <c r="AK81" s="134">
        <f t="shared" si="7"/>
        <v>1999.6800000000003</v>
      </c>
      <c r="AL81" s="134">
        <f>IF(O82=1,AK80*H57*20/36000+AK81*H57*10/36000,IF(O82=0,IF(O81=0,0,AK81*H57*R57/36000+AK80*H57*20/36000+AK81*H57*10/36000)))</f>
        <v>0</v>
      </c>
      <c r="AM81" s="134">
        <f>IF(O82=1,AK80*H57*20/36000+AK81*H57*10/36000,IF(O82=0,IF(O81=0,0,AK81*H57*R57/36000+AK80*H57*20/36000+AK81*H57*10/36000)))</f>
        <v>0</v>
      </c>
      <c r="AN81" s="132">
        <f t="shared" si="24"/>
        <v>13</v>
      </c>
      <c r="AO81" s="132">
        <f t="shared" si="8"/>
        <v>1</v>
      </c>
      <c r="AP81" s="2">
        <f t="shared" si="25"/>
        <v>2024</v>
      </c>
      <c r="AQ81" s="2">
        <f t="shared" si="9"/>
        <v>2025</v>
      </c>
      <c r="AR81" s="2">
        <f t="shared" si="10"/>
        <v>1</v>
      </c>
      <c r="AS81" s="2">
        <f t="shared" si="11"/>
        <v>30</v>
      </c>
      <c r="AT81" s="2">
        <f t="shared" si="26"/>
        <v>20</v>
      </c>
      <c r="AU81" s="2">
        <f t="shared" si="27"/>
        <v>30</v>
      </c>
      <c r="AV81" s="2"/>
      <c r="AW81" s="2"/>
      <c r="AX81" s="2"/>
      <c r="AY81" s="2"/>
      <c r="AZ81" s="2"/>
      <c r="BA81" s="2" t="e">
        <f>IF(#REF!=0,0,IF(O81=1,1,0))</f>
        <v>#REF!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19">
        <f t="shared" si="12"/>
        <v>13</v>
      </c>
      <c r="B82" s="268">
        <f t="shared" si="29"/>
        <v>45708</v>
      </c>
      <c r="C82" s="268"/>
      <c r="D82" s="649">
        <f t="shared" si="28"/>
        <v>54.04</v>
      </c>
      <c r="E82" s="649"/>
      <c r="F82" s="649"/>
      <c r="G82" s="87">
        <f>IF(O82=0,IF(O81=1,G70+G71+G72+G73+G74+G75+G76+G77+G78+G79+G80+G81," "),IF(N40=1,Q82,IF(N40=2,R82," ")))</f>
        <v>27.148833333333343</v>
      </c>
      <c r="H82" s="87">
        <v>0</v>
      </c>
      <c r="I82" s="87">
        <f t="shared" si="14"/>
        <v>81.188833333333349</v>
      </c>
      <c r="J82" s="87" t="e">
        <f>IF(O82=1,IF(O83=1,IF(N82&lt;=#REF!,U82,AX$71),D$3-AX$71*N$61+AX$71),0)</f>
        <v>#REF!</v>
      </c>
      <c r="K82" s="87" t="e">
        <f t="shared" si="0"/>
        <v>#REF!</v>
      </c>
      <c r="L82" s="87">
        <v>0</v>
      </c>
      <c r="M82" s="87" t="e">
        <f t="shared" si="15"/>
        <v>#REF!</v>
      </c>
      <c r="N82" s="2">
        <f t="shared" si="16"/>
        <v>13</v>
      </c>
      <c r="O82" s="2">
        <f>IF(N40=1,IF(N59&gt;12,1,0),IF(N40=2,IF(N59&gt;12,1,0),0))</f>
        <v>1</v>
      </c>
      <c r="P82" s="2">
        <f t="shared" si="1"/>
        <v>20</v>
      </c>
      <c r="Q82" s="134">
        <f t="shared" si="2"/>
        <v>27.148833333333343</v>
      </c>
      <c r="R82" s="134">
        <f t="shared" si="2"/>
        <v>27.148833333333343</v>
      </c>
      <c r="S82" s="134">
        <f t="shared" si="17"/>
        <v>1945.6400000000003</v>
      </c>
      <c r="T82" s="134" t="e">
        <f>IF(N82&lt;=#REF!,D$3/(D$8-N81),D82)</f>
        <v>#REF!</v>
      </c>
      <c r="U82" s="134" t="e">
        <f t="shared" si="18"/>
        <v>#REF!</v>
      </c>
      <c r="V82" s="134">
        <f>IF(O83=1,S81*D$5*20/36000+S82*D$5*10/36000,IF(O83=0,IF(O82=0,0,IF(D9&gt;20,S81*D$5*20/36000+S82*D$5*(R$57-20)/36000,S82*D$5*R$57/36000))))</f>
        <v>27.148833333333343</v>
      </c>
      <c r="W82" s="134">
        <f>IF(O83=1,S81*D$5*20/36000+S82*D$5*10/36000,IF(O83=0,IF(O82=0,0,IF(D9&gt;20,S81*D$5*20/36000+S82*D$5*(R$57-20)/36000,S82*D$5*R$57/36000))))</f>
        <v>27.148833333333343</v>
      </c>
      <c r="X82" s="134">
        <f t="shared" si="19"/>
        <v>33.318400000000004</v>
      </c>
      <c r="Y82" s="134">
        <f t="shared" si="20"/>
        <v>30</v>
      </c>
      <c r="Z82" s="134" t="e">
        <f>IF(N82&lt;=(#REF!+1),D$3,Z81-J81)</f>
        <v>#REF!</v>
      </c>
      <c r="AA82" s="134" t="e">
        <f>IF(O83=1,Z81*D$5*20/36000+Z82*D$5*10/36000,IF(O83=0,IF(O82=0,0,IF(D$9&gt;20,Z81*D$5*20/36000+Z82*D$5*(R$57-20)/36000,Z82*D$5*R$57/36000))))</f>
        <v>#REF!</v>
      </c>
      <c r="AB82" s="134" t="e">
        <f t="shared" si="3"/>
        <v>#REF!</v>
      </c>
      <c r="AC82" s="134">
        <f>IF(S83=0,S82*R57,(S81*20+S82*10))</f>
        <v>59450.000000000007</v>
      </c>
      <c r="AD82" s="134"/>
      <c r="AE82" s="134">
        <f t="shared" si="4"/>
        <v>0</v>
      </c>
      <c r="AF82" s="134">
        <f t="shared" si="4"/>
        <v>0</v>
      </c>
      <c r="AG82" s="134">
        <f t="shared" si="22"/>
        <v>0</v>
      </c>
      <c r="AH82" s="134">
        <f t="shared" si="5"/>
        <v>0</v>
      </c>
      <c r="AI82" s="134" t="e">
        <f t="shared" si="23"/>
        <v>#REF!</v>
      </c>
      <c r="AJ82" s="134" t="e">
        <f t="shared" si="6"/>
        <v>#REF!</v>
      </c>
      <c r="AK82" s="134">
        <f t="shared" si="7"/>
        <v>1945.6400000000003</v>
      </c>
      <c r="AL82" s="134">
        <f>IF(O83=1,AK81*H57*20/36000+AK82*H57*10/36000,IF(O83=0,IF(O82=0,0,AK82*H57*R57/36000)))</f>
        <v>0</v>
      </c>
      <c r="AM82" s="134">
        <f>IF(O83=1,AK81*H57*20/36000+AK82*H57*10/36000,IF(O83=0,IF(O82=0,0,AK82*H57*R57/36000)))</f>
        <v>0</v>
      </c>
      <c r="AN82" s="132">
        <f t="shared" si="24"/>
        <v>2</v>
      </c>
      <c r="AO82" s="132">
        <f t="shared" si="8"/>
        <v>2</v>
      </c>
      <c r="AP82" s="2">
        <f t="shared" si="25"/>
        <v>2025</v>
      </c>
      <c r="AQ82" s="2">
        <f t="shared" si="9"/>
        <v>2025</v>
      </c>
      <c r="AR82" s="2">
        <f t="shared" si="10"/>
        <v>0</v>
      </c>
      <c r="AS82" s="2">
        <f t="shared" si="11"/>
        <v>28</v>
      </c>
      <c r="AT82" s="2">
        <f t="shared" si="26"/>
        <v>20</v>
      </c>
      <c r="AU82" s="2">
        <f t="shared" si="27"/>
        <v>30</v>
      </c>
      <c r="AV82" s="2"/>
      <c r="AW82" s="2"/>
      <c r="AX82" s="2"/>
      <c r="AY82" s="2"/>
      <c r="AZ82" s="2"/>
      <c r="BA82" s="2" t="e">
        <f>IF(#REF!=0,0,IF(O82=1,1,0))</f>
        <v>#REF!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2"/>
        <v>14</v>
      </c>
      <c r="B83" s="650">
        <f t="shared" si="13"/>
        <v>45736</v>
      </c>
      <c r="C83" s="650"/>
      <c r="D83" s="649">
        <f t="shared" si="28"/>
        <v>54.04</v>
      </c>
      <c r="E83" s="649"/>
      <c r="F83" s="649"/>
      <c r="G83" s="254">
        <f>IF(O83=0,IF(O82=1,G70+G71+G72+G73+G74+G75+G76+G77+G78+G79+G80+G81+G82," "),IF(N40=1,Q83,IF(N40=2,R83," ")))</f>
        <v>26.408485333333338</v>
      </c>
      <c r="H83" s="254">
        <v>0</v>
      </c>
      <c r="I83" s="254">
        <f t="shared" si="14"/>
        <v>80.448485333333338</v>
      </c>
      <c r="J83" s="87" t="e">
        <f>IF(O83=1,IF(O84=1,IF(N83&lt;=#REF!,U83,AX$71),D$3-AX$71*N$61+AX$71),0)</f>
        <v>#REF!</v>
      </c>
      <c r="K83" s="87" t="e">
        <f t="shared" si="0"/>
        <v>#REF!</v>
      </c>
      <c r="L83" s="87">
        <v>0</v>
      </c>
      <c r="M83" s="87" t="e">
        <f t="shared" si="15"/>
        <v>#REF!</v>
      </c>
      <c r="N83" s="2">
        <f t="shared" si="16"/>
        <v>14</v>
      </c>
      <c r="O83" s="2">
        <f>IF(N40=1,IF(N59&gt;13,1,0),IF(N40=2,IF(N59&gt;13,1,0),0))</f>
        <v>1</v>
      </c>
      <c r="P83" s="2">
        <f t="shared" si="1"/>
        <v>20</v>
      </c>
      <c r="Q83" s="134">
        <f t="shared" si="2"/>
        <v>26.408485333333338</v>
      </c>
      <c r="R83" s="134">
        <f t="shared" si="2"/>
        <v>26.408485333333338</v>
      </c>
      <c r="S83" s="134">
        <f t="shared" si="17"/>
        <v>1891.6000000000004</v>
      </c>
      <c r="T83" s="134" t="e">
        <f>IF(N83&lt;=#REF!,D$3/(D$8-N82),D83)</f>
        <v>#REF!</v>
      </c>
      <c r="U83" s="134" t="e">
        <f t="shared" si="18"/>
        <v>#REF!</v>
      </c>
      <c r="V83" s="134">
        <f>IF(O84=1,S82*D5*20/36000+S83*D5*10/36000,IF(O84=0,IF(O83=0,0,S83*D5*R57/36000+S82*D5*20/36000+S83*D5*10/36000)))</f>
        <v>26.408485333333338</v>
      </c>
      <c r="W83" s="134">
        <f>IF(O84=1,S82*D5*20/36000+S83*D5*10/36000,IF(O84=0,IF(O83=0,0,S83*D5*R57/36000+S82*D5*20/36000+S83*D5*10/36000)))</f>
        <v>26.408485333333338</v>
      </c>
      <c r="X83" s="134">
        <f t="shared" si="19"/>
        <v>33.318400000000004</v>
      </c>
      <c r="Y83" s="134">
        <f t="shared" si="20"/>
        <v>30</v>
      </c>
      <c r="Z83" s="134" t="e">
        <f>IF(N83&lt;=(#REF!+1),D$3,Z82-J82)</f>
        <v>#REF!</v>
      </c>
      <c r="AA83" s="134" t="e">
        <f>IF(O84=1,Z82*D$5*20/36000+Z83*D$5*10/36000,IF(O84=0,IF(O83=0,0,Z83*D$5*R$57/36000+Z82*D$5*20/36000+Z83*D$5*10/36000)))</f>
        <v>#REF!</v>
      </c>
      <c r="AB83" s="134" t="e">
        <f t="shared" si="3"/>
        <v>#REF!</v>
      </c>
      <c r="AC83" s="134">
        <f>IF(S84=0,S83*R57,(S82*20+S83*10))</f>
        <v>57828.800000000003</v>
      </c>
      <c r="AD83" s="134"/>
      <c r="AE83" s="134">
        <f t="shared" si="4"/>
        <v>0</v>
      </c>
      <c r="AF83" s="134">
        <f t="shared" si="4"/>
        <v>0</v>
      </c>
      <c r="AG83" s="134">
        <f t="shared" si="22"/>
        <v>0</v>
      </c>
      <c r="AH83" s="134">
        <f t="shared" si="5"/>
        <v>0</v>
      </c>
      <c r="AI83" s="134" t="e">
        <f t="shared" si="23"/>
        <v>#REF!</v>
      </c>
      <c r="AJ83" s="134" t="e">
        <f t="shared" si="6"/>
        <v>#REF!</v>
      </c>
      <c r="AK83" s="134">
        <f t="shared" si="7"/>
        <v>1891.6000000000004</v>
      </c>
      <c r="AL83" s="134">
        <f>IF(O84=1,AK82*H57*20/36000+AK83*H57*10/36000,IF(O84=0,IF(O83=0,0,AK83*H57*R57/36000+AK82*H57*20/36000+AK83*H57*10/36000)))</f>
        <v>0</v>
      </c>
      <c r="AM83" s="134">
        <f>IF(O84=1,AK82*H57*20/36000+AK83*H57*10/36000,IF(O84=0,IF(O83=0,0,AK83*H57*R57/36000+AK82*H57*20/36000+AK83*H57*10/36000)))</f>
        <v>0</v>
      </c>
      <c r="AN83" s="132">
        <f t="shared" si="24"/>
        <v>3</v>
      </c>
      <c r="AO83" s="132">
        <f t="shared" si="8"/>
        <v>3</v>
      </c>
      <c r="AP83" s="2">
        <f t="shared" si="25"/>
        <v>2025</v>
      </c>
      <c r="AQ83" s="2">
        <f t="shared" si="9"/>
        <v>2025</v>
      </c>
      <c r="AR83" s="2">
        <f t="shared" si="10"/>
        <v>0</v>
      </c>
      <c r="AS83" s="2">
        <f t="shared" si="11"/>
        <v>30</v>
      </c>
      <c r="AT83" s="2">
        <f t="shared" si="26"/>
        <v>20</v>
      </c>
      <c r="AU83" s="2">
        <f t="shared" si="27"/>
        <v>28</v>
      </c>
      <c r="AV83" s="2"/>
      <c r="AW83" s="2"/>
      <c r="AX83" s="2"/>
      <c r="AY83" s="2"/>
      <c r="AZ83" s="2"/>
      <c r="BA83" s="2" t="e">
        <f>IF(#REF!=0,0,IF(O83=1,1,0))</f>
        <v>#REF!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4">
        <f t="shared" si="12"/>
        <v>15</v>
      </c>
      <c r="B84" s="268">
        <f t="shared" si="13"/>
        <v>45767</v>
      </c>
      <c r="C84" s="268"/>
      <c r="D84" s="649">
        <f t="shared" si="28"/>
        <v>54.04</v>
      </c>
      <c r="E84" s="649"/>
      <c r="F84" s="649"/>
      <c r="G84" s="87">
        <f>IF(O84=0,IF(O83=1,G70+G71+G72+G73+G74+G75+G76+G77+G78+G79+G80+G81+G82+G83," "),IF(N40=1,Q84,IF(N40=2,R84," ")))</f>
        <v>25.668137333333341</v>
      </c>
      <c r="H84" s="87">
        <v>0</v>
      </c>
      <c r="I84" s="87">
        <f t="shared" si="14"/>
        <v>79.70813733333334</v>
      </c>
      <c r="J84" s="87" t="e">
        <f>IF(O84=1,IF(O85=1,IF(N84&lt;=#REF!,U84,AX$71),D$3-AX$71*N$61+AX$71),0)</f>
        <v>#REF!</v>
      </c>
      <c r="K84" s="87" t="e">
        <f t="shared" si="0"/>
        <v>#REF!</v>
      </c>
      <c r="L84" s="87">
        <v>0</v>
      </c>
      <c r="M84" s="87" t="e">
        <f t="shared" si="15"/>
        <v>#REF!</v>
      </c>
      <c r="N84" s="2">
        <f t="shared" si="16"/>
        <v>15</v>
      </c>
      <c r="O84" s="2">
        <f>IF(N40=1,IF(N59&gt;14,1,0),IF(N40=2,IF(N59&gt;14,1,0),0))</f>
        <v>1</v>
      </c>
      <c r="P84" s="2">
        <f t="shared" si="1"/>
        <v>20</v>
      </c>
      <c r="Q84" s="134">
        <f t="shared" si="2"/>
        <v>25.668137333333341</v>
      </c>
      <c r="R84" s="134">
        <f t="shared" si="2"/>
        <v>25.668137333333341</v>
      </c>
      <c r="S84" s="134">
        <f t="shared" si="17"/>
        <v>1837.5600000000004</v>
      </c>
      <c r="T84" s="134" t="e">
        <f>IF(N84&lt;=#REF!,D$3/(D$8-N83),D84)</f>
        <v>#REF!</v>
      </c>
      <c r="U84" s="134" t="e">
        <f t="shared" si="18"/>
        <v>#REF!</v>
      </c>
      <c r="V84" s="134">
        <f>IF(O85=1,S83*D5*20/36000+S84*D5*10/36000,IF(O85=0,IF(O84=0,0,S84*D5*R57/36000+S83*D5*20/36000+S84*D5*10/36000)))</f>
        <v>25.668137333333341</v>
      </c>
      <c r="W84" s="134">
        <f>IF(O85=1,S83*D5*20/36000+S84*D5*10/36000,IF(O85=0,IF(O84=0,0,S84*D5*R57/36000+S83*D5*20/36000+S84*D5*10/36000)))</f>
        <v>25.668137333333341</v>
      </c>
      <c r="X84" s="134">
        <f t="shared" si="19"/>
        <v>33.318400000000004</v>
      </c>
      <c r="Y84" s="134">
        <f t="shared" si="20"/>
        <v>30</v>
      </c>
      <c r="Z84" s="134" t="e">
        <f>IF(N84&lt;=(#REF!+1),D$3,Z83-J83)</f>
        <v>#REF!</v>
      </c>
      <c r="AA84" s="134" t="e">
        <f>IF(O85=1,Z83*D$5*20/36000+Z84*D$5*10/36000,IF(O85=0,IF(O84=0,0,Z84*D$5*R$57/36000+Z83*D$5*20/36000+Z84*D$5*10/36000)))</f>
        <v>#REF!</v>
      </c>
      <c r="AB84" s="134" t="e">
        <f t="shared" si="3"/>
        <v>#REF!</v>
      </c>
      <c r="AC84" s="134">
        <f>IF(S85=0,S84*R57,(S83*20+S84*10))</f>
        <v>56207.600000000013</v>
      </c>
      <c r="AD84" s="134"/>
      <c r="AE84" s="134">
        <f t="shared" si="4"/>
        <v>0</v>
      </c>
      <c r="AF84" s="134">
        <f t="shared" si="4"/>
        <v>0</v>
      </c>
      <c r="AG84" s="134">
        <f t="shared" si="22"/>
        <v>0</v>
      </c>
      <c r="AH84" s="134">
        <f t="shared" si="5"/>
        <v>0</v>
      </c>
      <c r="AI84" s="134" t="e">
        <f t="shared" si="23"/>
        <v>#REF!</v>
      </c>
      <c r="AJ84" s="134" t="e">
        <f t="shared" si="6"/>
        <v>#REF!</v>
      </c>
      <c r="AK84" s="134">
        <f t="shared" si="7"/>
        <v>1837.5600000000004</v>
      </c>
      <c r="AL84" s="134">
        <f>IF(O85=1,AK83*H57*20/36000+AK84*H57*10/36000,IF(O85=0,IF(O84=0,0,AK84*H57*R57/36000+AK83*H57*20/36000+AK84*H57*10/36000)))</f>
        <v>0</v>
      </c>
      <c r="AM84" s="134">
        <f>IF(O85=1,AK83*H57*20/36000+AK84*H57*10/36000,IF(O85=0,IF(O84=0,0,AK84*H57*R57/36000+AK83*H57*20/36000+AK84*H57*10/36000)))</f>
        <v>0</v>
      </c>
      <c r="AN84" s="132">
        <f t="shared" si="24"/>
        <v>4</v>
      </c>
      <c r="AO84" s="132">
        <f t="shared" si="8"/>
        <v>4</v>
      </c>
      <c r="AP84" s="2">
        <f t="shared" si="25"/>
        <v>2025</v>
      </c>
      <c r="AQ84" s="2">
        <f t="shared" si="9"/>
        <v>2025</v>
      </c>
      <c r="AR84" s="2">
        <f t="shared" si="10"/>
        <v>0</v>
      </c>
      <c r="AS84" s="2">
        <f t="shared" si="11"/>
        <v>30</v>
      </c>
      <c r="AT84" s="2">
        <f t="shared" si="26"/>
        <v>20</v>
      </c>
      <c r="AU84" s="2">
        <f t="shared" si="27"/>
        <v>30</v>
      </c>
      <c r="AV84" s="2"/>
      <c r="AW84" s="2"/>
      <c r="AX84" s="2"/>
      <c r="AY84" s="2"/>
      <c r="AZ84" s="2"/>
      <c r="BA84" s="2" t="e">
        <f>IF(#REF!=0,0,IF(O84=1,1,0))</f>
        <v>#REF!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4" customFormat="1" ht="15" customHeight="1">
      <c r="A85" s="4">
        <f t="shared" si="12"/>
        <v>16</v>
      </c>
      <c r="B85" s="268">
        <f t="shared" si="13"/>
        <v>45797</v>
      </c>
      <c r="C85" s="268"/>
      <c r="D85" s="649">
        <f t="shared" si="28"/>
        <v>54.04</v>
      </c>
      <c r="E85" s="649"/>
      <c r="F85" s="649"/>
      <c r="G85" s="87">
        <f>IF(O85=0,IF(O84=1,G70+G71+G72+G73+G74+G75+G76+G77+G78+G79+G80+G81+G82+G83+G84," "),IF(N40=1,Q85,IF(N40=2,R85," ")))</f>
        <v>24.92778933333334</v>
      </c>
      <c r="H85" s="87">
        <v>0</v>
      </c>
      <c r="I85" s="87">
        <f t="shared" si="14"/>
        <v>78.967789333333343</v>
      </c>
      <c r="J85" s="87" t="e">
        <f>IF(O85=1,IF(O86=1,IF(N85&lt;=#REF!,U85,AX$71),D$3-AX$71*N$61+AX$71),0)</f>
        <v>#REF!</v>
      </c>
      <c r="K85" s="87" t="e">
        <f t="shared" si="0"/>
        <v>#REF!</v>
      </c>
      <c r="L85" s="87">
        <v>0</v>
      </c>
      <c r="M85" s="87" t="e">
        <f t="shared" si="15"/>
        <v>#REF!</v>
      </c>
      <c r="N85" s="2">
        <f t="shared" si="16"/>
        <v>16</v>
      </c>
      <c r="O85" s="2">
        <f>IF(N40=1,IF(N59&gt;15,1,0),IF(N40=2,IF(N59&gt;15,1,0),0))</f>
        <v>1</v>
      </c>
      <c r="P85" s="2">
        <f t="shared" si="1"/>
        <v>20</v>
      </c>
      <c r="Q85" s="134">
        <f t="shared" si="2"/>
        <v>24.92778933333334</v>
      </c>
      <c r="R85" s="134">
        <f t="shared" si="2"/>
        <v>24.92778933333334</v>
      </c>
      <c r="S85" s="134">
        <f t="shared" si="17"/>
        <v>1783.5200000000004</v>
      </c>
      <c r="T85" s="134" t="e">
        <f>IF(N85&lt;=#REF!,D$3/(D$8-N84),D85)</f>
        <v>#REF!</v>
      </c>
      <c r="U85" s="134" t="e">
        <f t="shared" si="18"/>
        <v>#REF!</v>
      </c>
      <c r="V85" s="134">
        <f>IF(O86=1,S84*D5*20/36000+S85*D5*10/36000,IF(O86=0,IF(O85=0,0,S85*D5*R57/36000+S84*D5*20/36000+S85*D5*10/36000)))</f>
        <v>24.92778933333334</v>
      </c>
      <c r="W85" s="134">
        <f>IF(O86=1,S84*D5*20/36000+S85*D5*10/36000,IF(O86=0,IF(O85=0,0,S85*D5*R57/36000+S84*D5*20/36000+S85*D5*10/36000)))</f>
        <v>24.92778933333334</v>
      </c>
      <c r="X85" s="134">
        <f t="shared" si="19"/>
        <v>33.318400000000004</v>
      </c>
      <c r="Y85" s="134">
        <f t="shared" si="20"/>
        <v>30</v>
      </c>
      <c r="Z85" s="134" t="e">
        <f>IF(N85&lt;=(#REF!+1),D$3,Z84-J84)</f>
        <v>#REF!</v>
      </c>
      <c r="AA85" s="134" t="e">
        <f>IF(O86=1,Z84*D$5*20/36000+Z85*D$5*10/36000,IF(O86=0,IF(O85=0,0,Z85*D$5*R$57/36000+Z84*D$5*20/36000+Z85*D$5*10/36000)))</f>
        <v>#REF!</v>
      </c>
      <c r="AB85" s="134" t="e">
        <f t="shared" si="3"/>
        <v>#REF!</v>
      </c>
      <c r="AC85" s="134">
        <f>IF(S86=0,S85*R57,(S84*20+S85*10))</f>
        <v>54586.400000000016</v>
      </c>
      <c r="AD85" s="134"/>
      <c r="AE85" s="134">
        <f t="shared" si="4"/>
        <v>0</v>
      </c>
      <c r="AF85" s="134">
        <f t="shared" si="4"/>
        <v>0</v>
      </c>
      <c r="AG85" s="134">
        <f t="shared" si="22"/>
        <v>0</v>
      </c>
      <c r="AH85" s="134">
        <f t="shared" si="5"/>
        <v>0</v>
      </c>
      <c r="AI85" s="134" t="e">
        <f t="shared" si="23"/>
        <v>#REF!</v>
      </c>
      <c r="AJ85" s="134" t="e">
        <f t="shared" si="6"/>
        <v>#REF!</v>
      </c>
      <c r="AK85" s="134">
        <f t="shared" si="7"/>
        <v>1783.5200000000004</v>
      </c>
      <c r="AL85" s="134">
        <f>IF(O86=1,AK84*H57*20/36000+AK85*H57*10/36000,IF(O86=0,IF(O85=0,0,AK85*H57*R57/36000+AK84*H57*20/36000+AK85*H57*10/36000)))</f>
        <v>0</v>
      </c>
      <c r="AM85" s="134">
        <f>IF(O86=1,AK84*H57*20/36000+AK85*H57*10/36000,IF(O86=0,IF(O85=0,0,AK85*H57*R57/36000+AK84*H57*20/36000+AK85*H57*10/36000)))</f>
        <v>0</v>
      </c>
      <c r="AN85" s="132">
        <f t="shared" si="24"/>
        <v>5</v>
      </c>
      <c r="AO85" s="132">
        <f t="shared" si="8"/>
        <v>5</v>
      </c>
      <c r="AP85" s="2">
        <f t="shared" si="25"/>
        <v>2025</v>
      </c>
      <c r="AQ85" s="2">
        <f t="shared" si="9"/>
        <v>2025</v>
      </c>
      <c r="AR85" s="2">
        <f t="shared" si="10"/>
        <v>0</v>
      </c>
      <c r="AS85" s="2">
        <f t="shared" si="11"/>
        <v>30</v>
      </c>
      <c r="AT85" s="2">
        <f t="shared" si="26"/>
        <v>20</v>
      </c>
      <c r="AU85" s="2">
        <f t="shared" si="27"/>
        <v>30</v>
      </c>
      <c r="AV85" s="2"/>
      <c r="AW85" s="2"/>
      <c r="AX85" s="2"/>
      <c r="AY85" s="2"/>
      <c r="AZ85" s="2"/>
      <c r="BA85" s="2" t="e">
        <f>IF(#REF!=0,0,IF(O85=1,1,0))</f>
        <v>#REF!</v>
      </c>
      <c r="BB85" s="2"/>
      <c r="BC85" s="2"/>
      <c r="BD85" s="2"/>
      <c r="BE85" s="2"/>
      <c r="BF85" s="2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</row>
    <row r="86" spans="1:143" s="24" customFormat="1" ht="15" customHeight="1">
      <c r="A86" s="4">
        <f t="shared" si="12"/>
        <v>17</v>
      </c>
      <c r="B86" s="268">
        <f t="shared" si="13"/>
        <v>45828</v>
      </c>
      <c r="C86" s="268"/>
      <c r="D86" s="649">
        <f t="shared" si="28"/>
        <v>54.04</v>
      </c>
      <c r="E86" s="649"/>
      <c r="F86" s="649"/>
      <c r="G86" s="87">
        <f>IF(O86=0,IF(O85=1,G70+G71+G72+G73+G74+G75+G76+G77+G78+G79+G81+G80+G82+G83+G84+G85," "),IF(N40=1,Q86,IF(N40=2,R86," ")))</f>
        <v>24.187441333333339</v>
      </c>
      <c r="H86" s="87">
        <v>0</v>
      </c>
      <c r="I86" s="87">
        <f t="shared" si="14"/>
        <v>78.227441333333331</v>
      </c>
      <c r="J86" s="87" t="e">
        <f>IF(O86=1,IF(O87=1,IF(N86&lt;=#REF!,U86,AX$71),D$3-AX$71*N$61+AX$71),0)</f>
        <v>#REF!</v>
      </c>
      <c r="K86" s="87" t="e">
        <f t="shared" si="0"/>
        <v>#REF!</v>
      </c>
      <c r="L86" s="87">
        <v>0</v>
      </c>
      <c r="M86" s="87" t="e">
        <f t="shared" si="15"/>
        <v>#REF!</v>
      </c>
      <c r="N86" s="2">
        <f t="shared" si="16"/>
        <v>17</v>
      </c>
      <c r="O86" s="2">
        <f>IF(N40=1,IF(N59&gt;16,1,0),IF(N40=2,IF(N59&gt;16,1,0),0))</f>
        <v>1</v>
      </c>
      <c r="P86" s="2">
        <f t="shared" si="1"/>
        <v>20</v>
      </c>
      <c r="Q86" s="134">
        <f t="shared" si="2"/>
        <v>24.187441333333339</v>
      </c>
      <c r="R86" s="134">
        <f t="shared" si="2"/>
        <v>24.187441333333339</v>
      </c>
      <c r="S86" s="134">
        <f t="shared" si="17"/>
        <v>1729.4800000000005</v>
      </c>
      <c r="T86" s="134" t="e">
        <f>IF(N86&lt;=#REF!,D$3/(D$8-N85),D86)</f>
        <v>#REF!</v>
      </c>
      <c r="U86" s="134" t="e">
        <f t="shared" si="18"/>
        <v>#REF!</v>
      </c>
      <c r="V86" s="134">
        <f>IF(O87=1,S85*D5*20/36000+S86*D5*10/36000,IF(O87=0,IF(O86=0,0,S86*D5*R57/36000+S85*D5*20/36000+S86*D5*10/36000)))</f>
        <v>24.187441333333339</v>
      </c>
      <c r="W86" s="134">
        <f>IF(O87=1,S85*D5*20/36000+S86*D5*10/36000,IF(O87=0,IF(O86=0,0,S86*D5*R57/36000+S85*D5*20/36000+S86*D5*10/36000)))</f>
        <v>24.187441333333339</v>
      </c>
      <c r="X86" s="134">
        <f t="shared" si="19"/>
        <v>33.318400000000004</v>
      </c>
      <c r="Y86" s="134">
        <f t="shared" si="20"/>
        <v>30</v>
      </c>
      <c r="Z86" s="134" t="e">
        <f>IF(N86&lt;=(#REF!+1),D$3,Z85-J85)</f>
        <v>#REF!</v>
      </c>
      <c r="AA86" s="134" t="e">
        <f>IF(O87=1,Z85*D$5*20/36000+Z86*D$5*10/36000,IF(O87=0,IF(O86=0,0,Z86*D$5*R$57/36000+Z85*D$5*20/36000+Z86*D$5*10/36000)))</f>
        <v>#REF!</v>
      </c>
      <c r="AB86" s="134" t="e">
        <f t="shared" si="3"/>
        <v>#REF!</v>
      </c>
      <c r="AC86" s="134">
        <f>IF(S87=0,S86*R57,(S85*20+S86*10))</f>
        <v>52965.200000000012</v>
      </c>
      <c r="AD86" s="134"/>
      <c r="AE86" s="134">
        <f t="shared" si="4"/>
        <v>0</v>
      </c>
      <c r="AF86" s="134">
        <f t="shared" si="4"/>
        <v>0</v>
      </c>
      <c r="AG86" s="134">
        <f t="shared" si="22"/>
        <v>0</v>
      </c>
      <c r="AH86" s="134">
        <f t="shared" si="5"/>
        <v>0</v>
      </c>
      <c r="AI86" s="134" t="e">
        <f t="shared" si="23"/>
        <v>#REF!</v>
      </c>
      <c r="AJ86" s="134" t="e">
        <f t="shared" si="6"/>
        <v>#REF!</v>
      </c>
      <c r="AK86" s="134">
        <f t="shared" si="7"/>
        <v>1729.4800000000005</v>
      </c>
      <c r="AL86" s="134">
        <f>IF(O87=1,AK85*H57*20/36000+AK86*H57*10/36000,IF(O87=0,IF(O86=0,0,AK86*H57*R57/36000+AK85*H57*20/36000+AK86*H57*10/36000)))</f>
        <v>0</v>
      </c>
      <c r="AM86" s="134">
        <f>IF(O87=1,AK85*H57*20/36000+AK86*H57*10/36000,IF(O87=0,IF(O86=0,0,AK86*H57*R57/36000+AK85*H57*20/36000+AK86*H57*10/36000)))</f>
        <v>0</v>
      </c>
      <c r="AN86" s="132">
        <f t="shared" si="24"/>
        <v>6</v>
      </c>
      <c r="AO86" s="132">
        <f t="shared" si="8"/>
        <v>6</v>
      </c>
      <c r="AP86" s="2">
        <f t="shared" si="25"/>
        <v>2025</v>
      </c>
      <c r="AQ86" s="2">
        <f t="shared" si="9"/>
        <v>2025</v>
      </c>
      <c r="AR86" s="2">
        <f t="shared" si="10"/>
        <v>0</v>
      </c>
      <c r="AS86" s="2">
        <f t="shared" si="11"/>
        <v>30</v>
      </c>
      <c r="AT86" s="2">
        <f t="shared" si="26"/>
        <v>20</v>
      </c>
      <c r="AU86" s="2">
        <f t="shared" si="27"/>
        <v>30</v>
      </c>
      <c r="AV86" s="2"/>
      <c r="AW86" s="2"/>
      <c r="AX86" s="2"/>
      <c r="AY86" s="2"/>
      <c r="AZ86" s="2"/>
      <c r="BA86" s="2" t="e">
        <f>IF(#REF!=0,0,IF(O86=1,1,0))</f>
        <v>#REF!</v>
      </c>
      <c r="BB86" s="2"/>
      <c r="BC86" s="2"/>
      <c r="BD86" s="2"/>
      <c r="BE86" s="2"/>
      <c r="BF86" s="2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</row>
    <row r="87" spans="1:143" s="24" customFormat="1" ht="15" customHeight="1">
      <c r="A87" s="4">
        <f t="shared" si="12"/>
        <v>18</v>
      </c>
      <c r="B87" s="268">
        <f t="shared" si="13"/>
        <v>45858</v>
      </c>
      <c r="C87" s="268"/>
      <c r="D87" s="649">
        <f t="shared" si="28"/>
        <v>54.04</v>
      </c>
      <c r="E87" s="649"/>
      <c r="F87" s="649"/>
      <c r="G87" s="87">
        <f>IF(O87=0,IF(O86=1,G70+G71+G72+G73+G74+G75+G76+G77+G78+G79+G80+G81+G82+G83+G84+G85+G86," "),IF(N40=1,Q87,IF(N40=2,R87," ")))</f>
        <v>23.447093333333342</v>
      </c>
      <c r="H87" s="87">
        <v>0</v>
      </c>
      <c r="I87" s="87">
        <f t="shared" si="14"/>
        <v>77.487093333333348</v>
      </c>
      <c r="J87" s="87" t="e">
        <f>IF(O87=1,IF(O88=1,IF(N87&lt;=#REF!,U87,AX$71),D$3-AX$71*N$61+AX$71),0)</f>
        <v>#REF!</v>
      </c>
      <c r="K87" s="87" t="e">
        <f t="shared" si="0"/>
        <v>#REF!</v>
      </c>
      <c r="L87" s="87">
        <v>0</v>
      </c>
      <c r="M87" s="87" t="e">
        <f t="shared" si="15"/>
        <v>#REF!</v>
      </c>
      <c r="N87" s="2">
        <f t="shared" si="16"/>
        <v>18</v>
      </c>
      <c r="O87" s="2">
        <f>IF(N40=1,IF(N59&gt;17,1,0),IF(N40=2,IF(N59&gt;17,1,0),0))</f>
        <v>1</v>
      </c>
      <c r="P87" s="2">
        <f t="shared" si="1"/>
        <v>20</v>
      </c>
      <c r="Q87" s="134">
        <f t="shared" si="2"/>
        <v>23.447093333333342</v>
      </c>
      <c r="R87" s="134">
        <f t="shared" si="2"/>
        <v>23.447093333333342</v>
      </c>
      <c r="S87" s="134">
        <f t="shared" si="17"/>
        <v>1675.4400000000005</v>
      </c>
      <c r="T87" s="134" t="e">
        <f>IF(N87&lt;=#REF!,D$3/(D$8-N86),D87)</f>
        <v>#REF!</v>
      </c>
      <c r="U87" s="134" t="e">
        <f t="shared" si="18"/>
        <v>#REF!</v>
      </c>
      <c r="V87" s="134">
        <f>IF(O88=1,S86*D5*20/36000+S87*D5*10/36000,IF(O88=0,IF(O87=0,0,S87*D5*R57/36000+S86*D5*20/36000+S87*D5*10/36000)))</f>
        <v>23.447093333333342</v>
      </c>
      <c r="W87" s="134">
        <f>IF(O88=1,S86*D5*20/36000+S87*D5*10/36000,IF(O88=0,IF(O87=0,0,S87*D5*R57/36000+S86*D5*20/36000+S87*D5*10/36000)))</f>
        <v>23.447093333333342</v>
      </c>
      <c r="X87" s="134">
        <f t="shared" si="19"/>
        <v>33.318400000000004</v>
      </c>
      <c r="Y87" s="134">
        <f t="shared" si="20"/>
        <v>30</v>
      </c>
      <c r="Z87" s="134" t="e">
        <f>IF(N87&lt;=(#REF!+1),D$3,Z86-J86)</f>
        <v>#REF!</v>
      </c>
      <c r="AA87" s="134" t="e">
        <f>IF(O88=1,Z86*D$5*20/36000+Z87*D$5*10/36000,IF(O88=0,IF(O87=0,0,Z87*D$5*R$57/36000+Z86*D$5*20/36000+Z87*D$5*10/36000)))</f>
        <v>#REF!</v>
      </c>
      <c r="AB87" s="134" t="e">
        <f t="shared" si="3"/>
        <v>#REF!</v>
      </c>
      <c r="AC87" s="134">
        <f>IF(S88=0,S87*R57,(S86*20+S87*10))</f>
        <v>51344.000000000015</v>
      </c>
      <c r="AD87" s="134"/>
      <c r="AE87" s="134">
        <f t="shared" si="4"/>
        <v>0</v>
      </c>
      <c r="AF87" s="134">
        <f t="shared" si="4"/>
        <v>0</v>
      </c>
      <c r="AG87" s="134">
        <f t="shared" si="22"/>
        <v>0</v>
      </c>
      <c r="AH87" s="134">
        <f t="shared" si="5"/>
        <v>0</v>
      </c>
      <c r="AI87" s="134" t="e">
        <f t="shared" si="23"/>
        <v>#REF!</v>
      </c>
      <c r="AJ87" s="134" t="e">
        <f t="shared" si="6"/>
        <v>#REF!</v>
      </c>
      <c r="AK87" s="134">
        <f t="shared" si="7"/>
        <v>1675.4400000000005</v>
      </c>
      <c r="AL87" s="134">
        <f>IF(O88=1,AK86*H57*20/36000+AK87*H57*10/36000,IF(O88=0,IF(O87=0,0,AK87*H57*R57/36000+AK86*H57*20/36000+AK87*H57*10/36000)))</f>
        <v>0</v>
      </c>
      <c r="AM87" s="134">
        <f>IF(O88=1,AK86*H57*20/36000+AK87*H57*10/36000,IF(O88=0,IF(O87=0,0,AK87*H57*R57/36000+AK86*H57*20/36000+AK87*H57*10/36000)))</f>
        <v>0</v>
      </c>
      <c r="AN87" s="132">
        <f t="shared" si="24"/>
        <v>7</v>
      </c>
      <c r="AO87" s="132">
        <f t="shared" si="8"/>
        <v>7</v>
      </c>
      <c r="AP87" s="2">
        <f t="shared" si="25"/>
        <v>2025</v>
      </c>
      <c r="AQ87" s="2">
        <f t="shared" si="9"/>
        <v>2025</v>
      </c>
      <c r="AR87" s="2">
        <f t="shared" si="10"/>
        <v>0</v>
      </c>
      <c r="AS87" s="2">
        <f t="shared" si="11"/>
        <v>30</v>
      </c>
      <c r="AT87" s="2">
        <f t="shared" si="26"/>
        <v>20</v>
      </c>
      <c r="AU87" s="2">
        <f t="shared" si="27"/>
        <v>30</v>
      </c>
      <c r="AV87" s="2"/>
      <c r="AW87" s="2"/>
      <c r="AX87" s="2"/>
      <c r="AY87" s="2"/>
      <c r="AZ87" s="2"/>
      <c r="BA87" s="2" t="e">
        <f>IF(#REF!=0,0,IF(O87=1,1,0))</f>
        <v>#REF!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19">
        <f t="shared" si="12"/>
        <v>19</v>
      </c>
      <c r="B88" s="268">
        <f t="shared" si="13"/>
        <v>45889</v>
      </c>
      <c r="C88" s="268"/>
      <c r="D88" s="649">
        <f t="shared" si="28"/>
        <v>54.04</v>
      </c>
      <c r="E88" s="649"/>
      <c r="F88" s="649"/>
      <c r="G88" s="87">
        <f>IF(O88=0,IF(O87=1,G70+G71+G72+G73+G74+G75+G76+G77+G78+G79+G80+G81+G82+G83+G84+G85+G86+G87," "),IF(N40=1,Q88,IF(N40=2,R88," ")))</f>
        <v>22.706745333333341</v>
      </c>
      <c r="H88" s="87">
        <v>0</v>
      </c>
      <c r="I88" s="87">
        <f t="shared" si="14"/>
        <v>76.746745333333337</v>
      </c>
      <c r="J88" s="87" t="e">
        <f>IF(O88=1,IF(O89=1,IF(N88&lt;=#REF!,U88,AX$71),D$3-AX$71*N$61+AX$71),0)</f>
        <v>#REF!</v>
      </c>
      <c r="K88" s="87" t="e">
        <f t="shared" si="0"/>
        <v>#REF!</v>
      </c>
      <c r="L88" s="87">
        <v>0</v>
      </c>
      <c r="M88" s="87" t="e">
        <f t="shared" si="15"/>
        <v>#REF!</v>
      </c>
      <c r="N88" s="2">
        <f t="shared" si="16"/>
        <v>19</v>
      </c>
      <c r="O88" s="2">
        <f>IF(N40=1,IF(N59&gt;18,1,0),IF(N40=2,IF(N59&gt;18,1,0),0))</f>
        <v>1</v>
      </c>
      <c r="P88" s="2">
        <f t="shared" si="1"/>
        <v>20</v>
      </c>
      <c r="Q88" s="134">
        <f t="shared" si="2"/>
        <v>22.706745333333341</v>
      </c>
      <c r="R88" s="134">
        <f t="shared" si="2"/>
        <v>22.706745333333341</v>
      </c>
      <c r="S88" s="134">
        <f t="shared" si="17"/>
        <v>1621.4000000000005</v>
      </c>
      <c r="T88" s="134" t="e">
        <f>IF(N88&lt;=#REF!,D$3/(D$8-N87),D88)</f>
        <v>#REF!</v>
      </c>
      <c r="U88" s="134" t="e">
        <f t="shared" si="18"/>
        <v>#REF!</v>
      </c>
      <c r="V88" s="134">
        <f>IF(O89=1,S87*D$5*20/36000+S88*D$5*10/36000,IF(O89=0,IF(O88=0,0,IF(D9&gt;20,S87*D$5*20/36000+S88*D$5*(R$57-20)/36000,S88*D$5*R$57/36000))))</f>
        <v>22.706745333333341</v>
      </c>
      <c r="W88" s="134">
        <f>IF(O89=1,S87*D$5*20/36000+S88*D$5*10/36000,IF(O89=0,IF(O88=0,0,IF(D9&gt;20,S87*D$5*20/36000+S88*D$5*(R$57-20)/36000,S88*D$5*R$57/36000))))</f>
        <v>22.706745333333341</v>
      </c>
      <c r="X88" s="134">
        <f t="shared" si="19"/>
        <v>33.318400000000004</v>
      </c>
      <c r="Y88" s="134">
        <f t="shared" si="20"/>
        <v>30</v>
      </c>
      <c r="Z88" s="134" t="e">
        <f>IF(N88&lt;=(#REF!+1),D$3,Z87-J87)</f>
        <v>#REF!</v>
      </c>
      <c r="AA88" s="134" t="e">
        <f>IF(O89=1,Z87*D$5*20/36000+Z88*D$5*10/36000,IF(O89=0,IF(O88=0,0,IF(D$9&gt;20,Z87*D$5*20/36000+Z88*D$5*(R$57-20)/36000,Z88*D$5*R$57/36000))))</f>
        <v>#REF!</v>
      </c>
      <c r="AB88" s="134" t="e">
        <f t="shared" si="3"/>
        <v>#REF!</v>
      </c>
      <c r="AC88" s="134">
        <f>IF(S89=0,S88*R57,(S87*20+S88*10))</f>
        <v>49722.800000000017</v>
      </c>
      <c r="AD88" s="134"/>
      <c r="AE88" s="134">
        <f t="shared" si="4"/>
        <v>0</v>
      </c>
      <c r="AF88" s="134">
        <f t="shared" si="4"/>
        <v>0</v>
      </c>
      <c r="AG88" s="134">
        <f t="shared" si="22"/>
        <v>0</v>
      </c>
      <c r="AH88" s="134">
        <f t="shared" si="5"/>
        <v>0</v>
      </c>
      <c r="AI88" s="134" t="e">
        <f t="shared" si="23"/>
        <v>#REF!</v>
      </c>
      <c r="AJ88" s="134" t="e">
        <f t="shared" si="6"/>
        <v>#REF!</v>
      </c>
      <c r="AK88" s="134">
        <f t="shared" si="7"/>
        <v>1621.4000000000005</v>
      </c>
      <c r="AL88" s="134">
        <f>IF(O89=1,AK87*H$57*20/36000+AK88*H$57*10/36000,IF(O89=0,IF(O88=0,0,AK88*H$57*R$57/36000)))</f>
        <v>0</v>
      </c>
      <c r="AM88" s="134">
        <f>IF(O89=1,AK87*H$57*20/36000+AK88*H$57*10/36000,IF(O89=0,IF(O88=0,0,AK88*H$57*R$57/36000)))</f>
        <v>0</v>
      </c>
      <c r="AN88" s="132">
        <f t="shared" si="24"/>
        <v>8</v>
      </c>
      <c r="AO88" s="132">
        <f t="shared" si="8"/>
        <v>8</v>
      </c>
      <c r="AP88" s="2">
        <f t="shared" si="25"/>
        <v>2025</v>
      </c>
      <c r="AQ88" s="2">
        <f t="shared" si="9"/>
        <v>2025</v>
      </c>
      <c r="AR88" s="2">
        <f t="shared" si="10"/>
        <v>0</v>
      </c>
      <c r="AS88" s="2">
        <f t="shared" si="11"/>
        <v>30</v>
      </c>
      <c r="AT88" s="2">
        <f t="shared" si="26"/>
        <v>20</v>
      </c>
      <c r="AU88" s="2">
        <f t="shared" si="27"/>
        <v>30</v>
      </c>
      <c r="AV88" s="2"/>
      <c r="AW88" s="2"/>
      <c r="AX88" s="2"/>
      <c r="AY88" s="2"/>
      <c r="AZ88" s="2"/>
      <c r="BA88" s="2" t="e">
        <f>IF(#REF!=0,0,IF(O88=1,1,0))</f>
        <v>#REF!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f t="shared" si="12"/>
        <v>20</v>
      </c>
      <c r="B89" s="268">
        <f t="shared" si="13"/>
        <v>45920</v>
      </c>
      <c r="C89" s="268"/>
      <c r="D89" s="649">
        <f t="shared" si="28"/>
        <v>54.04</v>
      </c>
      <c r="E89" s="649"/>
      <c r="F89" s="649"/>
      <c r="G89" s="87">
        <f>IF(O89=0,IF(O88=1,G70+G71+G72+G73+G74+G75+G76+G77+G78+G79+G80+G81+G82+G83+G84+G85+G86+G87+G88," "),IF(N40=1,Q89,IF(N40=2,R89," ")))</f>
        <v>21.96639733333334</v>
      </c>
      <c r="H89" s="87">
        <v>0</v>
      </c>
      <c r="I89" s="87">
        <f t="shared" si="14"/>
        <v>76.006397333333339</v>
      </c>
      <c r="J89" s="87" t="e">
        <f>IF(O89=1,IF(O90=1,IF(N89&lt;=#REF!,U89,AX$71),D$3-AX$71*N$61+AX$71),0)</f>
        <v>#REF!</v>
      </c>
      <c r="K89" s="87" t="e">
        <f t="shared" si="0"/>
        <v>#REF!</v>
      </c>
      <c r="L89" s="87">
        <v>0</v>
      </c>
      <c r="M89" s="87" t="e">
        <f t="shared" si="15"/>
        <v>#REF!</v>
      </c>
      <c r="N89" s="2">
        <f t="shared" si="16"/>
        <v>20</v>
      </c>
      <c r="O89" s="2">
        <f>IF(N40=1,IF(N59&gt;19,1,0),IF(N40=2,IF(N59&gt;19,1,0),0))</f>
        <v>1</v>
      </c>
      <c r="P89" s="2">
        <f t="shared" si="1"/>
        <v>20</v>
      </c>
      <c r="Q89" s="134">
        <f t="shared" si="2"/>
        <v>21.96639733333334</v>
      </c>
      <c r="R89" s="134">
        <f t="shared" si="2"/>
        <v>21.96639733333334</v>
      </c>
      <c r="S89" s="134">
        <f t="shared" si="17"/>
        <v>1567.3600000000006</v>
      </c>
      <c r="T89" s="134" t="e">
        <f>IF(N89&lt;=#REF!,D$3/(D$8-N88),D89)</f>
        <v>#REF!</v>
      </c>
      <c r="U89" s="134" t="e">
        <f t="shared" si="18"/>
        <v>#REF!</v>
      </c>
      <c r="V89" s="134">
        <f>IF(O90=1,S88*D5*20/36000+S89*D5*10/36000,IF(O90=0,IF(O89=0,0,S89*D5*R57/36000+S88*D5*20/36000+S89*D5*10/36000)))</f>
        <v>21.96639733333334</v>
      </c>
      <c r="W89" s="134">
        <f>IF(O90=1,S88*D5*20/36000+S89*D5*10/36000,IF(O90=0,IF(O89=0,0,S89*D5*R57/36000+S88*D5*20/36000+S89*D5*10/36000)))</f>
        <v>21.96639733333334</v>
      </c>
      <c r="X89" s="134">
        <f t="shared" si="19"/>
        <v>33.318400000000004</v>
      </c>
      <c r="Y89" s="134">
        <f t="shared" si="20"/>
        <v>30</v>
      </c>
      <c r="Z89" s="134" t="e">
        <f>IF(N89&lt;=(#REF!+1),D$3,Z88-J88)</f>
        <v>#REF!</v>
      </c>
      <c r="AA89" s="134" t="e">
        <f>IF(O90=1,Z88*D$5*20/36000+Z89*D$5*10/36000,IF(O90=0,IF(O89=0,0,Z89*D$5*R$57/36000+Z88*D$5*20/36000+Z89*D$5*10/36000)))</f>
        <v>#REF!</v>
      </c>
      <c r="AB89" s="134" t="e">
        <f t="shared" si="3"/>
        <v>#REF!</v>
      </c>
      <c r="AC89" s="134">
        <f>IF(S90=0,S89*R57,(S88*20+S89*10))</f>
        <v>48101.60000000002</v>
      </c>
      <c r="AD89" s="134"/>
      <c r="AE89" s="134">
        <f t="shared" si="4"/>
        <v>0</v>
      </c>
      <c r="AF89" s="134">
        <f t="shared" si="4"/>
        <v>0</v>
      </c>
      <c r="AG89" s="134">
        <f t="shared" si="22"/>
        <v>0</v>
      </c>
      <c r="AH89" s="134">
        <f t="shared" si="5"/>
        <v>0</v>
      </c>
      <c r="AI89" s="134" t="e">
        <f t="shared" si="23"/>
        <v>#REF!</v>
      </c>
      <c r="AJ89" s="134" t="e">
        <f t="shared" si="6"/>
        <v>#REF!</v>
      </c>
      <c r="AK89" s="134">
        <f t="shared" si="7"/>
        <v>1567.3600000000006</v>
      </c>
      <c r="AL89" s="134">
        <f>IF(O90=1,AK88*H57*20/36000+AK89*H57*10/36000,IF(O90=0,IF(O89=0,0,AK89*H57*R57/36000+AK88*H57*20/36000+AK89*H57*10/36000)))</f>
        <v>0</v>
      </c>
      <c r="AM89" s="134">
        <f>IF(O90=1,AK88*H57*20/36000+AK89*H57*10/36000,IF(O90=0,IF(O89=0,0,AK89*H57*R57/36000+AK88*H57*20/36000+AK89*H57*10/36000)))</f>
        <v>0</v>
      </c>
      <c r="AN89" s="132">
        <f t="shared" si="24"/>
        <v>9</v>
      </c>
      <c r="AO89" s="132">
        <f t="shared" si="8"/>
        <v>9</v>
      </c>
      <c r="AP89" s="2">
        <f t="shared" si="25"/>
        <v>2025</v>
      </c>
      <c r="AQ89" s="2">
        <f t="shared" si="9"/>
        <v>2025</v>
      </c>
      <c r="AR89" s="2">
        <f t="shared" si="10"/>
        <v>0</v>
      </c>
      <c r="AS89" s="2">
        <f t="shared" si="11"/>
        <v>30</v>
      </c>
      <c r="AT89" s="2">
        <f t="shared" si="26"/>
        <v>20</v>
      </c>
      <c r="AU89" s="2">
        <f t="shared" si="27"/>
        <v>30</v>
      </c>
      <c r="AV89" s="2"/>
      <c r="AW89" s="2"/>
      <c r="AX89" s="2"/>
      <c r="AY89" s="2"/>
      <c r="AZ89" s="2"/>
      <c r="BA89" s="2" t="e">
        <f>IF(#REF!=0,0,IF(O89=1,1,0))</f>
        <v>#REF!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4">
        <f t="shared" si="12"/>
        <v>21</v>
      </c>
      <c r="B90" s="268">
        <f t="shared" si="13"/>
        <v>45950</v>
      </c>
      <c r="C90" s="268"/>
      <c r="D90" s="649">
        <f t="shared" si="28"/>
        <v>54.04</v>
      </c>
      <c r="E90" s="649"/>
      <c r="F90" s="649"/>
      <c r="G90" s="87">
        <f>IF(O90=0,IF(O89=1,G70+G71+G72+G73+G74+G75+G76+G77+G78+G79+G80+G81+G82+G83+G84+G85+G86+G87+G88+G89," "),IF(N40=1,Q90,IF(N40=2,R90," ")))</f>
        <v>21.226049333333343</v>
      </c>
      <c r="H90" s="87">
        <v>0</v>
      </c>
      <c r="I90" s="87">
        <f t="shared" si="14"/>
        <v>75.266049333333342</v>
      </c>
      <c r="J90" s="87" t="e">
        <f>IF(O90=1,IF(O91=1,IF(N90&lt;=#REF!,U90,AX$71),D$3-AX$71*N$61+AX$71),0)</f>
        <v>#REF!</v>
      </c>
      <c r="K90" s="87" t="e">
        <f t="shared" si="0"/>
        <v>#REF!</v>
      </c>
      <c r="L90" s="87">
        <v>0</v>
      </c>
      <c r="M90" s="87" t="e">
        <f t="shared" si="15"/>
        <v>#REF!</v>
      </c>
      <c r="N90" s="2">
        <f t="shared" si="16"/>
        <v>21</v>
      </c>
      <c r="O90" s="2">
        <f>IF(N40=1,IF(N59&gt;20,1,0),IF(N40=2,IF(N59&gt;20,1,0),0))</f>
        <v>1</v>
      </c>
      <c r="P90" s="2">
        <f t="shared" si="1"/>
        <v>20</v>
      </c>
      <c r="Q90" s="134">
        <f t="shared" si="2"/>
        <v>21.226049333333343</v>
      </c>
      <c r="R90" s="134">
        <f t="shared" si="2"/>
        <v>21.226049333333343</v>
      </c>
      <c r="S90" s="134">
        <f t="shared" si="17"/>
        <v>1513.3200000000006</v>
      </c>
      <c r="T90" s="134" t="e">
        <f>IF(N90&lt;=#REF!,D$3/(D$8-N89),D90)</f>
        <v>#REF!</v>
      </c>
      <c r="U90" s="134" t="e">
        <f t="shared" si="18"/>
        <v>#REF!</v>
      </c>
      <c r="V90" s="134">
        <f>IF(O91=1,S89*D5*20/36000+S90*D5*10/36000,IF(O91=0,IF(O90=0,0,S90*D5*R57/36000+S89*D5*20/36000+S90*D5*10/36000)))</f>
        <v>21.226049333333343</v>
      </c>
      <c r="W90" s="134">
        <f>IF(O91=1,S89*D5*20/36000+S90*D5*10/36000,IF(O91=0,IF(O90=0,0,S90*D5*R57/36000+S89*D5*20/36000+S90*D5*10/36000)))</f>
        <v>21.226049333333343</v>
      </c>
      <c r="X90" s="134">
        <f t="shared" si="19"/>
        <v>33.318400000000004</v>
      </c>
      <c r="Y90" s="134">
        <f t="shared" si="20"/>
        <v>30</v>
      </c>
      <c r="Z90" s="134" t="e">
        <f>IF(N90&lt;=(#REF!+1),D$3,Z89-J89)</f>
        <v>#REF!</v>
      </c>
      <c r="AA90" s="134" t="e">
        <f>IF(O91=1,Z89*D$5*20/36000+Z90*D$5*10/36000,IF(O91=0,IF(O90=0,0,Z90*D$5*R$57/36000+Z89*D$5*20/36000+Z90*D$5*10/36000)))</f>
        <v>#REF!</v>
      </c>
      <c r="AB90" s="134" t="e">
        <f t="shared" si="3"/>
        <v>#REF!</v>
      </c>
      <c r="AC90" s="134">
        <f>IF(S91=0,S90*R57,(S89*20+S90*10))</f>
        <v>46480.400000000016</v>
      </c>
      <c r="AD90" s="134"/>
      <c r="AE90" s="134">
        <f t="shared" si="4"/>
        <v>0</v>
      </c>
      <c r="AF90" s="134">
        <f t="shared" si="4"/>
        <v>0</v>
      </c>
      <c r="AG90" s="134">
        <f t="shared" si="22"/>
        <v>0</v>
      </c>
      <c r="AH90" s="134">
        <f t="shared" si="5"/>
        <v>0</v>
      </c>
      <c r="AI90" s="134" t="e">
        <f t="shared" si="23"/>
        <v>#REF!</v>
      </c>
      <c r="AJ90" s="134" t="e">
        <f t="shared" si="6"/>
        <v>#REF!</v>
      </c>
      <c r="AK90" s="134">
        <f t="shared" si="7"/>
        <v>1513.3200000000006</v>
      </c>
      <c r="AL90" s="134">
        <f>IF(O91=1,AK89*H57*20/36000+AK90*H57*10/36000,IF(O91=0,IF(O90=0,0,AK90*H57*R57/36000+AK89*H57*20/36000+AK90*H57*10/36000)))</f>
        <v>0</v>
      </c>
      <c r="AM90" s="134">
        <f>IF(O91=1,AK89*H57*20/36000+AK90*H57*10/36000,IF(O91=0,IF(O90=0,0,AK90*H57*R57/36000+AK89*H57*20/36000+AK90*H57*10/36000)))</f>
        <v>0</v>
      </c>
      <c r="AN90" s="132">
        <f t="shared" si="24"/>
        <v>10</v>
      </c>
      <c r="AO90" s="132">
        <f t="shared" si="8"/>
        <v>10</v>
      </c>
      <c r="AP90" s="2">
        <f t="shared" si="25"/>
        <v>2025</v>
      </c>
      <c r="AQ90" s="2">
        <f t="shared" si="9"/>
        <v>2025</v>
      </c>
      <c r="AR90" s="2">
        <f t="shared" si="10"/>
        <v>0</v>
      </c>
      <c r="AS90" s="2">
        <f t="shared" si="11"/>
        <v>30</v>
      </c>
      <c r="AT90" s="2">
        <f t="shared" si="26"/>
        <v>20</v>
      </c>
      <c r="AU90" s="2">
        <f t="shared" si="27"/>
        <v>30</v>
      </c>
      <c r="AV90" s="2"/>
      <c r="AW90" s="2"/>
      <c r="AX90" s="2"/>
      <c r="AY90" s="2"/>
      <c r="AZ90" s="2"/>
      <c r="BA90" s="2" t="e">
        <f>IF(#REF!=0,0,IF(O90=1,1,0))</f>
        <v>#REF!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f t="shared" si="12"/>
        <v>22</v>
      </c>
      <c r="B91" s="268">
        <f t="shared" si="13"/>
        <v>45981</v>
      </c>
      <c r="C91" s="268"/>
      <c r="D91" s="649">
        <f t="shared" si="28"/>
        <v>54.04</v>
      </c>
      <c r="E91" s="649"/>
      <c r="F91" s="649"/>
      <c r="G91" s="87">
        <f>IF(O91=0,IF(O90=1,G70+G71+G72+G73+G74+G75+G76+G77+G78+G79+G80+G81+G82+G83+G84+G85+G86+G87+G88+G89+G90," "),IF(N40=1,Q91,IF(N40=2,R91," ")))</f>
        <v>20.485701333333346</v>
      </c>
      <c r="H91" s="87">
        <v>0</v>
      </c>
      <c r="I91" s="87">
        <f t="shared" si="14"/>
        <v>74.525701333333345</v>
      </c>
      <c r="J91" s="87" t="e">
        <f>IF(O91=1,IF(O92=1,IF(N91&lt;=#REF!,U91,AX$71),D$3-AX$71*N$61+AX$71),0)</f>
        <v>#REF!</v>
      </c>
      <c r="K91" s="87" t="e">
        <f t="shared" si="0"/>
        <v>#REF!</v>
      </c>
      <c r="L91" s="87">
        <v>0</v>
      </c>
      <c r="M91" s="87" t="e">
        <f t="shared" si="15"/>
        <v>#REF!</v>
      </c>
      <c r="N91" s="2">
        <f t="shared" si="16"/>
        <v>22</v>
      </c>
      <c r="O91" s="2">
        <f>IF(N40=1,IF(N59&gt;21,1,0),IF(N40=2,IF(N59&gt;21,1,0),0))</f>
        <v>1</v>
      </c>
      <c r="P91" s="2">
        <f t="shared" si="1"/>
        <v>20</v>
      </c>
      <c r="Q91" s="134">
        <f t="shared" si="2"/>
        <v>20.485701333333346</v>
      </c>
      <c r="R91" s="134">
        <f t="shared" si="2"/>
        <v>20.485701333333346</v>
      </c>
      <c r="S91" s="134">
        <f t="shared" si="17"/>
        <v>1459.2800000000007</v>
      </c>
      <c r="T91" s="134" t="e">
        <f>IF(N91&lt;=#REF!,D$3/(D$8-N90),D91)</f>
        <v>#REF!</v>
      </c>
      <c r="U91" s="134" t="e">
        <f t="shared" si="18"/>
        <v>#REF!</v>
      </c>
      <c r="V91" s="134">
        <f>IF(O92=1,S90*D5*20/36000+S91*D5*10/36000,IF(O92=0,IF(O91=0,0,S91*D5*R57/36000+S90*D5*20/36000+S91*D5*10/36000)))</f>
        <v>20.485701333333346</v>
      </c>
      <c r="W91" s="134">
        <f>IF(O92=1,S90*D5*20/36000+S91*D5*10/36000,IF(O92=0,IF(O91=0,0,S91*D5*R57/36000+S90*D5*20/36000+S91*D5*10/36000)))</f>
        <v>20.485701333333346</v>
      </c>
      <c r="X91" s="134">
        <f t="shared" si="19"/>
        <v>33.318400000000004</v>
      </c>
      <c r="Y91" s="134">
        <f t="shared" si="20"/>
        <v>30</v>
      </c>
      <c r="Z91" s="134" t="e">
        <f>IF(N91&lt;=(#REF!+1),D$3,Z90-J90)</f>
        <v>#REF!</v>
      </c>
      <c r="AA91" s="134" t="e">
        <f>IF(O92=1,Z90*D$5*20/36000+Z91*D$5*10/36000,IF(O92=0,IF(O91=0,0,Z91*D$5*R$57/36000+Z90*D$5*20/36000+Z91*D$5*10/36000)))</f>
        <v>#REF!</v>
      </c>
      <c r="AB91" s="134" t="e">
        <f t="shared" si="3"/>
        <v>#REF!</v>
      </c>
      <c r="AC91" s="134">
        <f>IF(S92=0,S91*R57,(S90*20+S91*10))</f>
        <v>44859.200000000019</v>
      </c>
      <c r="AD91" s="134"/>
      <c r="AE91" s="134">
        <f t="shared" si="4"/>
        <v>0</v>
      </c>
      <c r="AF91" s="134">
        <f t="shared" si="4"/>
        <v>0</v>
      </c>
      <c r="AG91" s="134">
        <f t="shared" si="22"/>
        <v>0</v>
      </c>
      <c r="AH91" s="134">
        <f t="shared" si="5"/>
        <v>0</v>
      </c>
      <c r="AI91" s="134" t="e">
        <f t="shared" si="23"/>
        <v>#REF!</v>
      </c>
      <c r="AJ91" s="134" t="e">
        <f t="shared" si="6"/>
        <v>#REF!</v>
      </c>
      <c r="AK91" s="134">
        <f t="shared" si="7"/>
        <v>1459.2800000000007</v>
      </c>
      <c r="AL91" s="134">
        <f>IF(O92=1,AK90*H57*20/36000+AK91*H57*10/36000,IF(O92=0,IF(O91=0,0,AK91*H57*R57/36000+AK90*H57*20/36000+AK91*H57*10/36000)))</f>
        <v>0</v>
      </c>
      <c r="AM91" s="134">
        <f>IF(O92=1,AK90*H57*20/36000+AK91*H57*10/36000,IF(O92=0,IF(O91=0,0,AK91*H57*R57/36000+AK90*H57*20/36000+AK91*H57*10/36000)))</f>
        <v>0</v>
      </c>
      <c r="AN91" s="132">
        <f t="shared" si="24"/>
        <v>11</v>
      </c>
      <c r="AO91" s="132">
        <f t="shared" si="8"/>
        <v>11</v>
      </c>
      <c r="AP91" s="2">
        <f t="shared" si="25"/>
        <v>2025</v>
      </c>
      <c r="AQ91" s="2">
        <f t="shared" si="9"/>
        <v>2025</v>
      </c>
      <c r="AR91" s="2">
        <f t="shared" si="10"/>
        <v>0</v>
      </c>
      <c r="AS91" s="2">
        <f t="shared" si="11"/>
        <v>30</v>
      </c>
      <c r="AT91" s="2">
        <f t="shared" si="26"/>
        <v>20</v>
      </c>
      <c r="AU91" s="2">
        <f t="shared" si="27"/>
        <v>30</v>
      </c>
      <c r="AV91" s="2"/>
      <c r="AW91" s="2"/>
      <c r="AX91" s="2"/>
      <c r="AY91" s="2"/>
      <c r="AZ91" s="2"/>
      <c r="BA91" s="2" t="e">
        <f>IF(#REF!=0,0,IF(O91=1,1,0))</f>
        <v>#REF!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f t="shared" si="12"/>
        <v>23</v>
      </c>
      <c r="B92" s="268">
        <f t="shared" si="13"/>
        <v>46011</v>
      </c>
      <c r="C92" s="268"/>
      <c r="D92" s="649">
        <f t="shared" si="28"/>
        <v>54.04</v>
      </c>
      <c r="E92" s="649"/>
      <c r="F92" s="649"/>
      <c r="G92" s="87">
        <f>IF(O92=0,IF(O91=1,G70+G71+G72+G73+G74+G75+G76+G77+G78+G79+G80+G81+G82+G83+G84+G85+G86+G87+G88+G89+G90+G91," "),IF(N40=1,Q92,IF(N40=2,R92," ")))</f>
        <v>19.745353333333341</v>
      </c>
      <c r="H92" s="87">
        <v>0</v>
      </c>
      <c r="I92" s="87">
        <f t="shared" si="14"/>
        <v>73.785353333333347</v>
      </c>
      <c r="J92" s="87" t="e">
        <f>IF(O92=1,IF(O93=1,IF(N92&lt;=#REF!,U92,AX$71),D$3-AX$71*N$61+AX$71),0)</f>
        <v>#REF!</v>
      </c>
      <c r="K92" s="87" t="e">
        <f t="shared" si="0"/>
        <v>#REF!</v>
      </c>
      <c r="L92" s="87">
        <v>0</v>
      </c>
      <c r="M92" s="87" t="e">
        <f t="shared" si="15"/>
        <v>#REF!</v>
      </c>
      <c r="N92" s="2">
        <f t="shared" si="16"/>
        <v>23</v>
      </c>
      <c r="O92" s="2">
        <f>IF(N40=1,IF(N59&gt;22,1,0),IF(N40=2,IF(N59&gt;22,1,0),0))</f>
        <v>1</v>
      </c>
      <c r="P92" s="2">
        <f t="shared" si="1"/>
        <v>20</v>
      </c>
      <c r="Q92" s="134">
        <f t="shared" si="2"/>
        <v>19.745353333333341</v>
      </c>
      <c r="R92" s="134">
        <f t="shared" si="2"/>
        <v>19.745353333333341</v>
      </c>
      <c r="S92" s="134">
        <f t="shared" si="17"/>
        <v>1405.2400000000007</v>
      </c>
      <c r="T92" s="134" t="e">
        <f>IF(N92&lt;=#REF!,D$3/(D$8-N91),D92)</f>
        <v>#REF!</v>
      </c>
      <c r="U92" s="134" t="e">
        <f t="shared" si="18"/>
        <v>#REF!</v>
      </c>
      <c r="V92" s="134">
        <f>IF(O93=1,S91*D5*20/36000+S92*D5*10/36000,IF(O93=0,IF(O92=0,0,S92*D5*R57/36000+S91*D5*20/36000+S92*D5*10/36000)))</f>
        <v>19.745353333333341</v>
      </c>
      <c r="W92" s="134">
        <f>IF(O93=1,S91*D5*20/36000+S92*D5*10/36000,IF(O93=0,IF(O92=0,0,S92*D5*R57/36000+S91*D5*20/36000+S92*D5*10/36000)))</f>
        <v>19.745353333333341</v>
      </c>
      <c r="X92" s="134">
        <f t="shared" si="19"/>
        <v>33.318400000000004</v>
      </c>
      <c r="Y92" s="134">
        <f t="shared" si="20"/>
        <v>30</v>
      </c>
      <c r="Z92" s="134" t="e">
        <f>IF(N92&lt;=(#REF!+1),D$3,Z91-J91)</f>
        <v>#REF!</v>
      </c>
      <c r="AA92" s="134" t="e">
        <f>IF(O93=1,Z91*D$5*20/36000+Z92*D$5*10/36000,IF(O93=0,IF(O92=0,0,Z92*D$5*R$57/36000+Z91*D$5*20/36000+Z92*D$5*10/36000)))</f>
        <v>#REF!</v>
      </c>
      <c r="AB92" s="134" t="e">
        <f t="shared" si="3"/>
        <v>#REF!</v>
      </c>
      <c r="AC92" s="134">
        <f>IF(S93=0,S92*R57,(S91*20+S92*10))</f>
        <v>43238.000000000022</v>
      </c>
      <c r="AD92" s="134"/>
      <c r="AE92" s="134">
        <f t="shared" si="4"/>
        <v>0</v>
      </c>
      <c r="AF92" s="134">
        <f t="shared" si="4"/>
        <v>0</v>
      </c>
      <c r="AG92" s="134">
        <f t="shared" si="22"/>
        <v>0</v>
      </c>
      <c r="AH92" s="134">
        <f t="shared" si="5"/>
        <v>0</v>
      </c>
      <c r="AI92" s="134" t="e">
        <f t="shared" si="23"/>
        <v>#REF!</v>
      </c>
      <c r="AJ92" s="134" t="e">
        <f t="shared" si="6"/>
        <v>#REF!</v>
      </c>
      <c r="AK92" s="134">
        <f t="shared" si="7"/>
        <v>1405.2400000000007</v>
      </c>
      <c r="AL92" s="134">
        <f>IF(O93=1,AK91*H57*20/36000+AK92*H57*10/36000,IF(O93=0,IF(O92=0,0,AK92*H57*R57/36000+AK91*H57*20/36000+AK92*H57*10/36000)))</f>
        <v>0</v>
      </c>
      <c r="AM92" s="134">
        <f>IF(O93=1,AK91*H57*20/36000+AK92*H57*10/36000,IF(O93=0,IF(O92=0,0,AK92*H57*R57/36000+AK91*H57*20/36000+AK92*H57*10/36000)))</f>
        <v>0</v>
      </c>
      <c r="AN92" s="132">
        <f t="shared" si="24"/>
        <v>12</v>
      </c>
      <c r="AO92" s="132">
        <f t="shared" si="8"/>
        <v>12</v>
      </c>
      <c r="AP92" s="2">
        <f t="shared" si="25"/>
        <v>2025</v>
      </c>
      <c r="AQ92" s="2">
        <f t="shared" si="9"/>
        <v>2025</v>
      </c>
      <c r="AR92" s="2">
        <f t="shared" si="10"/>
        <v>0</v>
      </c>
      <c r="AS92" s="2">
        <f t="shared" si="11"/>
        <v>30</v>
      </c>
      <c r="AT92" s="2">
        <f t="shared" si="26"/>
        <v>20</v>
      </c>
      <c r="AU92" s="2">
        <f t="shared" si="27"/>
        <v>30</v>
      </c>
      <c r="AV92" s="2"/>
      <c r="AW92" s="2"/>
      <c r="AX92" s="2"/>
      <c r="AY92" s="2"/>
      <c r="AZ92" s="2"/>
      <c r="BA92" s="2" t="e">
        <f>IF(#REF!=0,0,IF(O92=1,1,0))</f>
        <v>#REF!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f t="shared" si="12"/>
        <v>24</v>
      </c>
      <c r="B93" s="268">
        <f t="shared" si="13"/>
        <v>46042</v>
      </c>
      <c r="C93" s="268"/>
      <c r="D93" s="649">
        <f t="shared" si="28"/>
        <v>54.04</v>
      </c>
      <c r="E93" s="649"/>
      <c r="F93" s="649"/>
      <c r="G93" s="87">
        <f>IF(O93=0,IF(O92=1,SUM(G$70:G92)," "),IF(N$40=1,Q93,IF(N$40=2,R93," ")))</f>
        <v>19.005005333333347</v>
      </c>
      <c r="H93" s="87">
        <v>0</v>
      </c>
      <c r="I93" s="87">
        <f t="shared" si="14"/>
        <v>73.04500533333335</v>
      </c>
      <c r="J93" s="87" t="e">
        <f>IF(O93=1,IF(O94=1,IF(N93&lt;=#REF!,U93,AX$71),D$3-AX$71*N$61+AX$71),0)</f>
        <v>#REF!</v>
      </c>
      <c r="K93" s="87" t="e">
        <f t="shared" si="0"/>
        <v>#REF!</v>
      </c>
      <c r="L93" s="87">
        <v>0</v>
      </c>
      <c r="M93" s="87" t="e">
        <f t="shared" si="15"/>
        <v>#REF!</v>
      </c>
      <c r="N93" s="2">
        <f t="shared" si="16"/>
        <v>24</v>
      </c>
      <c r="O93" s="2">
        <f t="shared" ref="O93:O130" si="30">IF(N$40=1,IF(N$59&gt;N92,1,0),IF(N$40=2,IF(N$59&gt;N92,1,0),0))</f>
        <v>1</v>
      </c>
      <c r="P93" s="2">
        <f t="shared" si="1"/>
        <v>20</v>
      </c>
      <c r="Q93" s="134">
        <f t="shared" si="2"/>
        <v>19.005005333333347</v>
      </c>
      <c r="R93" s="134">
        <f t="shared" si="2"/>
        <v>19.005005333333347</v>
      </c>
      <c r="S93" s="134">
        <f t="shared" si="17"/>
        <v>1351.2000000000007</v>
      </c>
      <c r="T93" s="134" t="e">
        <f>IF(N93&lt;=#REF!,D$3/(D$8-N92),D93)</f>
        <v>#REF!</v>
      </c>
      <c r="U93" s="134" t="e">
        <f t="shared" si="18"/>
        <v>#REF!</v>
      </c>
      <c r="V93" s="134">
        <f>IF(O94=1,S92*D$5*20/36000+S93*D$5*10/36000,IF(O94=0,IF(O93=0,0,S93*D$5*R$57/36000+S92*D$5*20/36000+S93*D$5*10/36000)))</f>
        <v>19.005005333333347</v>
      </c>
      <c r="W93" s="134">
        <f>IF(O94=1,S92*D$5*20/36000+S93*D$5*10/36000,IF(O94=0,IF(O93=0,0,S93*D$5*R$57/36000+S92*D$5*20/36000+S93*D$5*10/36000)))</f>
        <v>19.005005333333347</v>
      </c>
      <c r="X93" s="134">
        <f t="shared" si="19"/>
        <v>33.318400000000004</v>
      </c>
      <c r="Y93" s="134">
        <f t="shared" si="20"/>
        <v>30</v>
      </c>
      <c r="Z93" s="134" t="e">
        <f>IF(N93&lt;=(#REF!+1),D$3,Z92-J92)</f>
        <v>#REF!</v>
      </c>
      <c r="AA93" s="134" t="e">
        <f>IF(O94=1,Z92*D$5*20/36000+Z93*D$5*10/36000,IF(O94=0,IF(O93=0,0,Z93*D$5*R$57/36000+Z92*D$5*20/36000+Z93*D$5*10/36000)))</f>
        <v>#REF!</v>
      </c>
      <c r="AB93" s="134" t="e">
        <f t="shared" si="3"/>
        <v>#REF!</v>
      </c>
      <c r="AC93" s="134">
        <f t="shared" ref="AC93:AC129" si="31">IF(S94=0,S93*R$57,(S92*20+S93*10))</f>
        <v>41616.800000000017</v>
      </c>
      <c r="AD93" s="134"/>
      <c r="AE93" s="134">
        <f t="shared" si="4"/>
        <v>0</v>
      </c>
      <c r="AF93" s="134">
        <f t="shared" si="4"/>
        <v>0</v>
      </c>
      <c r="AG93" s="134">
        <f t="shared" si="22"/>
        <v>0</v>
      </c>
      <c r="AH93" s="134">
        <f t="shared" si="5"/>
        <v>0</v>
      </c>
      <c r="AI93" s="134" t="e">
        <f t="shared" si="23"/>
        <v>#REF!</v>
      </c>
      <c r="AJ93" s="134" t="e">
        <f t="shared" si="6"/>
        <v>#REF!</v>
      </c>
      <c r="AK93" s="134">
        <f t="shared" si="7"/>
        <v>1351.2000000000007</v>
      </c>
      <c r="AL93" s="134">
        <f>IF(O94=1,AK92*H$57*20/36000+AK93*H$57*10/36000,IF(O94=0,IF(O93=0,0,AK93*H$57*R$57/36000+AK92*H$57*20/36000+AK93*H$57*10/36000)))</f>
        <v>0</v>
      </c>
      <c r="AM93" s="134">
        <f>IF(O94=1,AK92*H$57*20/36000+AK93*H$57*10/36000,IF(O94=0,IF(O93=0,0,AK93*H$57*R$57/36000+AK92*H$57*20/36000+AK93*H$57*10/36000)))</f>
        <v>0</v>
      </c>
      <c r="AN93" s="132">
        <f t="shared" si="24"/>
        <v>13</v>
      </c>
      <c r="AO93" s="132">
        <f t="shared" si="8"/>
        <v>1</v>
      </c>
      <c r="AP93" s="2">
        <f t="shared" si="25"/>
        <v>2025</v>
      </c>
      <c r="AQ93" s="2">
        <f t="shared" si="9"/>
        <v>2026</v>
      </c>
      <c r="AR93" s="2">
        <f t="shared" si="10"/>
        <v>0</v>
      </c>
      <c r="AS93" s="2">
        <f t="shared" si="11"/>
        <v>30</v>
      </c>
      <c r="AT93" s="2">
        <f t="shared" si="26"/>
        <v>20</v>
      </c>
      <c r="AU93" s="2">
        <f t="shared" si="27"/>
        <v>30</v>
      </c>
      <c r="AV93" s="2"/>
      <c r="AW93" s="2"/>
      <c r="AX93" s="2"/>
      <c r="AY93" s="2"/>
      <c r="AZ93" s="2"/>
      <c r="BA93" s="2" t="e">
        <f>IF(#REF!=0,0,IF(O93=1,1,0))</f>
        <v>#REF!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5" customFormat="1" ht="15" customHeight="1">
      <c r="A94" s="4">
        <v>25</v>
      </c>
      <c r="B94" s="268">
        <f t="shared" ref="B94" si="32">IF(O94=0,IF(O93=1,"ИТОГО"," "),IF(A$59=D$8+1,IF(N94=A$59,IF(MONTH(B93)=2,IF(DAY(D$9)&gt;29,DATE(YEAR(B93),MONTH(B93),AU94),DATE(YEAR(B93),MONTH(B93),P94)),DATE(YEAR(B93),MONTH(B93),P94)),DATE(YEAR(B93),MONTH(B93)+1,P94)),DATE(YEAR(B93),MONTH(B93)+1,P94)))</f>
        <v>46073</v>
      </c>
      <c r="C94" s="268"/>
      <c r="D94" s="318">
        <f t="shared" si="28"/>
        <v>54.04</v>
      </c>
      <c r="E94" s="318"/>
      <c r="F94" s="318"/>
      <c r="G94" s="87">
        <f>IF(O94=0,IF(O93=1,SUM(G$70:G93)," "),IF(N$40=1,Q94,IF(N$40=2,R94," ")))</f>
        <v>18.264657333333346</v>
      </c>
      <c r="H94" s="87">
        <v>0</v>
      </c>
      <c r="I94" s="87">
        <f t="shared" si="14"/>
        <v>72.304657333333353</v>
      </c>
      <c r="J94" s="87" t="e">
        <f>IF(O94=1,IF(O95=1,IF(N94&lt;=#REF!,U94,AX$71),D$3-AX$71*N$61+AX$71),0)</f>
        <v>#REF!</v>
      </c>
      <c r="K94" s="87" t="e">
        <f t="shared" si="0"/>
        <v>#REF!</v>
      </c>
      <c r="L94" s="87">
        <v>0</v>
      </c>
      <c r="M94" s="87" t="e">
        <f t="shared" si="15"/>
        <v>#REF!</v>
      </c>
      <c r="N94" s="2">
        <v>25</v>
      </c>
      <c r="O94" s="2">
        <f t="shared" si="30"/>
        <v>1</v>
      </c>
      <c r="P94" s="2">
        <f t="shared" si="1"/>
        <v>20</v>
      </c>
      <c r="Q94" s="134">
        <f t="shared" si="2"/>
        <v>18.264657333333346</v>
      </c>
      <c r="R94" s="134">
        <f t="shared" si="2"/>
        <v>18.264657333333346</v>
      </c>
      <c r="S94" s="134">
        <f t="shared" si="17"/>
        <v>1297.1600000000008</v>
      </c>
      <c r="T94" s="134" t="e">
        <f>IF(N94&lt;=#REF!,D$3/(D$8-N93),D94)</f>
        <v>#REF!</v>
      </c>
      <c r="U94" s="134" t="e">
        <f t="shared" si="18"/>
        <v>#REF!</v>
      </c>
      <c r="V94" s="134">
        <f>IF(O95=1,S93*D$5*20/36000+S94*D$5*10/36000,IF(O95=0,IF(O94=0,0,IF(D$9&gt;20,S93*D$5*20/36000+S94*D$5*(R$57-20)/36000,S94*D$5*R$57/36000))))</f>
        <v>18.264657333333346</v>
      </c>
      <c r="W94" s="134">
        <f>IF(O95=1,S93*D$5*20/36000+S94*D$5*10/36000,IF(O95=0,IF(O94=0,0,IF(D$9&gt;20,S93*D$5*20/36000+S94*D$5*(R$57-20)/36000,S94*D$5*R$57/36000))))</f>
        <v>18.264657333333346</v>
      </c>
      <c r="X94" s="134">
        <f t="shared" si="19"/>
        <v>33.318400000000004</v>
      </c>
      <c r="Y94" s="134">
        <f t="shared" si="20"/>
        <v>30</v>
      </c>
      <c r="Z94" s="134" t="e">
        <f>IF(N94&lt;=(#REF!+1),D$3,Z93-J93)</f>
        <v>#REF!</v>
      </c>
      <c r="AA94" s="134" t="e">
        <f>IF(O95=1,Z93*D$5*20/36000+Z94*D$5*10/36000,IF(O95=0,IF(O94=0,0,IF(D$9&gt;20,Z93*D$5*20/36000+Z94*D$5*(R$57-20)/36000,Z94*D$5*R$57/36000))))</f>
        <v>#REF!</v>
      </c>
      <c r="AB94" s="134" t="e">
        <f t="shared" si="3"/>
        <v>#REF!</v>
      </c>
      <c r="AC94" s="134">
        <f t="shared" si="31"/>
        <v>39995.60000000002</v>
      </c>
      <c r="AD94" s="134"/>
      <c r="AE94" s="134">
        <f t="shared" si="4"/>
        <v>0</v>
      </c>
      <c r="AF94" s="134">
        <f t="shared" si="4"/>
        <v>0</v>
      </c>
      <c r="AG94" s="134">
        <f t="shared" si="22"/>
        <v>0</v>
      </c>
      <c r="AH94" s="134">
        <f t="shared" si="5"/>
        <v>0</v>
      </c>
      <c r="AI94" s="134" t="e">
        <f t="shared" si="23"/>
        <v>#REF!</v>
      </c>
      <c r="AJ94" s="134" t="e">
        <f t="shared" si="6"/>
        <v>#REF!</v>
      </c>
      <c r="AK94" s="134">
        <f t="shared" si="7"/>
        <v>1297.1600000000008</v>
      </c>
      <c r="AL94" s="134">
        <f>IF(O95=1,AK93*H$57*20/36000+AK94*H$57*10/36000,IF(O95=0,IF(O94=0,0,AK94*H$57*R$57/36000)))</f>
        <v>0</v>
      </c>
      <c r="AM94" s="134">
        <f>IF(O95=1,AK93*H$57*20/36000+AK94*H$57*10/36000,IF(O95=0,IF(O94=0,0,AK94*H$57*R$57/36000)))</f>
        <v>0</v>
      </c>
      <c r="AN94" s="132">
        <f t="shared" si="24"/>
        <v>2</v>
      </c>
      <c r="AO94" s="132">
        <f t="shared" si="8"/>
        <v>2</v>
      </c>
      <c r="AP94" s="2">
        <f t="shared" si="25"/>
        <v>2026</v>
      </c>
      <c r="AQ94" s="2">
        <f t="shared" si="9"/>
        <v>2026</v>
      </c>
      <c r="AR94" s="2">
        <f t="shared" si="10"/>
        <v>0</v>
      </c>
      <c r="AS94" s="2">
        <f t="shared" si="11"/>
        <v>28</v>
      </c>
      <c r="AT94" s="2">
        <f t="shared" si="26"/>
        <v>20</v>
      </c>
      <c r="AU94" s="2">
        <f t="shared" si="27"/>
        <v>30</v>
      </c>
      <c r="AV94" s="2"/>
      <c r="AW94" s="2"/>
      <c r="AX94" s="2"/>
      <c r="AY94" s="2"/>
      <c r="AZ94" s="2"/>
      <c r="BA94" s="2" t="e">
        <f>IF(#REF!=0,0,IF(O94=1,1,0))</f>
        <v>#REF!</v>
      </c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</row>
    <row r="95" spans="1:143" s="24" customFormat="1" ht="15" customHeight="1">
      <c r="A95" s="4">
        <v>26</v>
      </c>
      <c r="B95" s="650">
        <f t="shared" si="13"/>
        <v>46101</v>
      </c>
      <c r="C95" s="650"/>
      <c r="D95" s="318">
        <f t="shared" si="28"/>
        <v>54.04</v>
      </c>
      <c r="E95" s="318"/>
      <c r="F95" s="318"/>
      <c r="G95" s="254">
        <f>IF(O95=0,IF(O94=1,SUM(G$70:G94)," "),IF(N$40=1,Q95,IF(N$40=2,R95," ")))</f>
        <v>17.524309333333346</v>
      </c>
      <c r="H95" s="254">
        <v>0</v>
      </c>
      <c r="I95" s="254">
        <f t="shared" si="14"/>
        <v>71.564309333333341</v>
      </c>
      <c r="J95" s="87" t="e">
        <f>IF(O95=1,IF(O96=1,IF(N95&lt;=#REF!,U95,AX$71),D$3-AX$71*N$61+AX$71),0)</f>
        <v>#REF!</v>
      </c>
      <c r="K95" s="87" t="e">
        <f t="shared" si="0"/>
        <v>#REF!</v>
      </c>
      <c r="L95" s="87">
        <v>0</v>
      </c>
      <c r="M95" s="87" t="e">
        <f t="shared" si="15"/>
        <v>#REF!</v>
      </c>
      <c r="N95" s="2">
        <v>26</v>
      </c>
      <c r="O95" s="2">
        <f t="shared" si="30"/>
        <v>1</v>
      </c>
      <c r="P95" s="2">
        <f t="shared" si="1"/>
        <v>20</v>
      </c>
      <c r="Q95" s="134">
        <f t="shared" si="2"/>
        <v>17.524309333333346</v>
      </c>
      <c r="R95" s="134">
        <f t="shared" si="2"/>
        <v>17.524309333333346</v>
      </c>
      <c r="S95" s="134">
        <f t="shared" si="17"/>
        <v>1243.1200000000008</v>
      </c>
      <c r="T95" s="134" t="e">
        <f>IF(N95&lt;=#REF!,D$3/(D$8-N94),D95)</f>
        <v>#REF!</v>
      </c>
      <c r="U95" s="134" t="e">
        <f t="shared" si="18"/>
        <v>#REF!</v>
      </c>
      <c r="V95" s="134">
        <f t="shared" ref="V95:V105" si="33">IF(O96=1,S94*D$5*20/36000+S95*D$5*10/36000,IF(O96=0,IF(O95=0,0,S95*D$5*R$57/36000+S94*D$5*20/36000+S95*D$5*10/36000)))</f>
        <v>17.524309333333346</v>
      </c>
      <c r="W95" s="134">
        <f t="shared" ref="W95:W105" si="34">IF(O96=1,S94*D$5*20/36000+S95*D$5*10/36000,IF(O96=0,IF(O95=0,0,S95*D$5*R$57/36000+S94*D$5*20/36000+S95*D$5*10/36000)))</f>
        <v>17.524309333333346</v>
      </c>
      <c r="X95" s="134">
        <f t="shared" si="19"/>
        <v>33.318400000000004</v>
      </c>
      <c r="Y95" s="134">
        <f t="shared" si="20"/>
        <v>30</v>
      </c>
      <c r="Z95" s="134" t="e">
        <f>IF(N95&lt;=(#REF!+1),D$3,Z94-J94)</f>
        <v>#REF!</v>
      </c>
      <c r="AA95" s="134" t="e">
        <f t="shared" ref="AA95:AA105" si="35">IF(O96=1,Z94*D$5*20/36000+Z95*D$5*10/36000,IF(O96=0,IF(O95=0,0,Z95*D$5*R$57/36000+Z94*D$5*20/36000+Z95*D$5*10/36000)))</f>
        <v>#REF!</v>
      </c>
      <c r="AB95" s="134" t="e">
        <f t="shared" si="3"/>
        <v>#REF!</v>
      </c>
      <c r="AC95" s="134">
        <f t="shared" si="31"/>
        <v>38374.400000000023</v>
      </c>
      <c r="AD95" s="134"/>
      <c r="AE95" s="134">
        <f t="shared" si="4"/>
        <v>0</v>
      </c>
      <c r="AF95" s="134">
        <f t="shared" si="4"/>
        <v>0</v>
      </c>
      <c r="AG95" s="134">
        <f t="shared" si="22"/>
        <v>0</v>
      </c>
      <c r="AH95" s="134">
        <f t="shared" si="5"/>
        <v>0</v>
      </c>
      <c r="AI95" s="134" t="e">
        <f t="shared" si="23"/>
        <v>#REF!</v>
      </c>
      <c r="AJ95" s="134" t="e">
        <f t="shared" si="6"/>
        <v>#REF!</v>
      </c>
      <c r="AK95" s="134">
        <f t="shared" si="7"/>
        <v>1243.1200000000008</v>
      </c>
      <c r="AL95" s="134">
        <f t="shared" ref="AL95:AL105" si="36">IF(O96=1,AK94*H$57*20/36000+AK95*H$57*10/36000,IF(O96=0,IF(O95=0,0,AK95*H$57*R$57/36000+AK94*H$57*20/36000+AK95*H$57*10/36000)))</f>
        <v>0</v>
      </c>
      <c r="AM95" s="134">
        <f t="shared" ref="AM95:AM105" si="37">IF(O96=1,AK94*H$57*20/36000+AK95*H$57*10/36000,IF(O96=0,IF(O95=0,0,AK95*H$57*R$57/36000+AK94*H$57*20/36000+AK95*H$57*10/36000)))</f>
        <v>0</v>
      </c>
      <c r="AN95" s="132">
        <f t="shared" si="24"/>
        <v>3</v>
      </c>
      <c r="AO95" s="132">
        <f t="shared" si="8"/>
        <v>3</v>
      </c>
      <c r="AP95" s="2">
        <f t="shared" si="25"/>
        <v>2026</v>
      </c>
      <c r="AQ95" s="2">
        <f t="shared" si="9"/>
        <v>2026</v>
      </c>
      <c r="AR95" s="2">
        <f t="shared" si="10"/>
        <v>0</v>
      </c>
      <c r="AS95" s="2">
        <f t="shared" si="11"/>
        <v>30</v>
      </c>
      <c r="AT95" s="2">
        <f t="shared" si="26"/>
        <v>20</v>
      </c>
      <c r="AU95" s="2">
        <f t="shared" si="27"/>
        <v>28</v>
      </c>
      <c r="AV95" s="2"/>
      <c r="AW95" s="2"/>
      <c r="AX95" s="2"/>
      <c r="AY95" s="2"/>
      <c r="AZ95" s="2"/>
      <c r="BA95" s="2" t="e">
        <f>IF(#REF!=0,0,IF(O95=1,1,0))</f>
        <v>#REF!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4" customFormat="1" ht="15" customHeight="1">
      <c r="A96" s="4">
        <v>27</v>
      </c>
      <c r="B96" s="268">
        <f t="shared" si="13"/>
        <v>46132</v>
      </c>
      <c r="C96" s="268"/>
      <c r="D96" s="318">
        <f t="shared" si="28"/>
        <v>54.04</v>
      </c>
      <c r="E96" s="318"/>
      <c r="F96" s="318"/>
      <c r="G96" s="87">
        <f>IF(O96=0,IF(O95=1,SUM(G$70:G95)," "),IF(N$40=1,Q96,IF(N$40=2,R96," ")))</f>
        <v>16.783961333333345</v>
      </c>
      <c r="H96" s="87">
        <v>0</v>
      </c>
      <c r="I96" s="87">
        <f t="shared" si="14"/>
        <v>70.823961333333344</v>
      </c>
      <c r="J96" s="87" t="e">
        <f>IF(O96=1,IF(O97=1,IF(N96&lt;=#REF!,U96,AX$71),D$3-AX$71*N$61+AX$71),0)</f>
        <v>#REF!</v>
      </c>
      <c r="K96" s="87" t="e">
        <f t="shared" si="0"/>
        <v>#REF!</v>
      </c>
      <c r="L96" s="87">
        <v>0</v>
      </c>
      <c r="M96" s="87" t="e">
        <f t="shared" si="15"/>
        <v>#REF!</v>
      </c>
      <c r="N96" s="2">
        <v>27</v>
      </c>
      <c r="O96" s="2">
        <f t="shared" si="30"/>
        <v>1</v>
      </c>
      <c r="P96" s="2">
        <f t="shared" si="1"/>
        <v>20</v>
      </c>
      <c r="Q96" s="134">
        <f t="shared" si="2"/>
        <v>16.783961333333345</v>
      </c>
      <c r="R96" s="134">
        <f t="shared" si="2"/>
        <v>16.783961333333345</v>
      </c>
      <c r="S96" s="134">
        <f t="shared" si="17"/>
        <v>1189.0800000000008</v>
      </c>
      <c r="T96" s="134" t="e">
        <f>IF(N96&lt;=#REF!,D$3/(D$8-N95),D96)</f>
        <v>#REF!</v>
      </c>
      <c r="U96" s="134" t="e">
        <f t="shared" si="18"/>
        <v>#REF!</v>
      </c>
      <c r="V96" s="134">
        <f t="shared" si="33"/>
        <v>16.783961333333345</v>
      </c>
      <c r="W96" s="134">
        <f t="shared" si="34"/>
        <v>16.783961333333345</v>
      </c>
      <c r="X96" s="134">
        <f t="shared" si="19"/>
        <v>33.318400000000004</v>
      </c>
      <c r="Y96" s="134">
        <f t="shared" si="20"/>
        <v>30</v>
      </c>
      <c r="Z96" s="134" t="e">
        <f>IF(N96&lt;=(#REF!+1),D$3,Z95-J95)</f>
        <v>#REF!</v>
      </c>
      <c r="AA96" s="134" t="e">
        <f t="shared" si="35"/>
        <v>#REF!</v>
      </c>
      <c r="AB96" s="134" t="e">
        <f t="shared" si="3"/>
        <v>#REF!</v>
      </c>
      <c r="AC96" s="134">
        <f t="shared" si="31"/>
        <v>36753.200000000026</v>
      </c>
      <c r="AD96" s="134"/>
      <c r="AE96" s="134">
        <f t="shared" si="4"/>
        <v>0</v>
      </c>
      <c r="AF96" s="134">
        <f t="shared" si="4"/>
        <v>0</v>
      </c>
      <c r="AG96" s="134">
        <f t="shared" si="22"/>
        <v>0</v>
      </c>
      <c r="AH96" s="134">
        <f t="shared" si="5"/>
        <v>0</v>
      </c>
      <c r="AI96" s="134" t="e">
        <f t="shared" si="23"/>
        <v>#REF!</v>
      </c>
      <c r="AJ96" s="134" t="e">
        <f t="shared" si="6"/>
        <v>#REF!</v>
      </c>
      <c r="AK96" s="134">
        <f t="shared" si="7"/>
        <v>1189.0800000000008</v>
      </c>
      <c r="AL96" s="134">
        <f t="shared" si="36"/>
        <v>0</v>
      </c>
      <c r="AM96" s="134">
        <f t="shared" si="37"/>
        <v>0</v>
      </c>
      <c r="AN96" s="132">
        <f t="shared" si="24"/>
        <v>4</v>
      </c>
      <c r="AO96" s="132">
        <f t="shared" si="8"/>
        <v>4</v>
      </c>
      <c r="AP96" s="2">
        <f t="shared" si="25"/>
        <v>2026</v>
      </c>
      <c r="AQ96" s="2">
        <f t="shared" si="9"/>
        <v>2026</v>
      </c>
      <c r="AR96" s="2">
        <f t="shared" si="10"/>
        <v>0</v>
      </c>
      <c r="AS96" s="2">
        <f t="shared" si="11"/>
        <v>30</v>
      </c>
      <c r="AT96" s="2">
        <f t="shared" si="26"/>
        <v>20</v>
      </c>
      <c r="AU96" s="2">
        <f t="shared" si="27"/>
        <v>30</v>
      </c>
      <c r="AV96" s="2"/>
      <c r="AW96" s="2"/>
      <c r="AX96" s="2"/>
      <c r="AY96" s="2"/>
      <c r="AZ96" s="2"/>
      <c r="BA96" s="2" t="e">
        <f>IF(#REF!=0,0,IF(O96=1,1,0))</f>
        <v>#REF!</v>
      </c>
      <c r="BB96" s="2"/>
      <c r="BC96" s="2"/>
      <c r="BD96" s="2"/>
      <c r="BE96" s="2"/>
      <c r="BF96" s="2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</row>
    <row r="97" spans="1:143" s="24" customFormat="1" ht="15" customHeight="1">
      <c r="A97" s="4">
        <v>28</v>
      </c>
      <c r="B97" s="268">
        <f t="shared" si="13"/>
        <v>46162</v>
      </c>
      <c r="C97" s="268"/>
      <c r="D97" s="318">
        <f t="shared" si="28"/>
        <v>54.04</v>
      </c>
      <c r="E97" s="318"/>
      <c r="F97" s="318"/>
      <c r="G97" s="87">
        <f>IF(O97=0,IF(O96=1,SUM(G$70:G96)," "),IF(N$40=1,Q97,IF(N$40=2,R97," ")))</f>
        <v>16.043613333333347</v>
      </c>
      <c r="H97" s="87">
        <v>0</v>
      </c>
      <c r="I97" s="87">
        <f t="shared" si="14"/>
        <v>70.083613333333346</v>
      </c>
      <c r="J97" s="87" t="e">
        <f>IF(O97=1,IF(O98=1,IF(N97&lt;=#REF!,U97,AX$71),D$3-AX$71*N$61+AX$71),0)</f>
        <v>#REF!</v>
      </c>
      <c r="K97" s="87" t="e">
        <f t="shared" si="0"/>
        <v>#REF!</v>
      </c>
      <c r="L97" s="87">
        <v>0</v>
      </c>
      <c r="M97" s="87" t="e">
        <f t="shared" si="15"/>
        <v>#REF!</v>
      </c>
      <c r="N97" s="2">
        <v>28</v>
      </c>
      <c r="O97" s="2">
        <f t="shared" si="30"/>
        <v>1</v>
      </c>
      <c r="P97" s="2">
        <f t="shared" si="1"/>
        <v>20</v>
      </c>
      <c r="Q97" s="134">
        <f t="shared" si="2"/>
        <v>16.043613333333347</v>
      </c>
      <c r="R97" s="134">
        <f t="shared" si="2"/>
        <v>16.043613333333347</v>
      </c>
      <c r="S97" s="134">
        <f t="shared" si="17"/>
        <v>1135.0400000000009</v>
      </c>
      <c r="T97" s="134" t="e">
        <f>IF(N97&lt;=#REF!,D$3/(D$8-N96),D97)</f>
        <v>#REF!</v>
      </c>
      <c r="U97" s="134" t="e">
        <f t="shared" si="18"/>
        <v>#REF!</v>
      </c>
      <c r="V97" s="134">
        <f t="shared" si="33"/>
        <v>16.043613333333347</v>
      </c>
      <c r="W97" s="134">
        <f t="shared" si="34"/>
        <v>16.043613333333347</v>
      </c>
      <c r="X97" s="134">
        <f t="shared" si="19"/>
        <v>33.318400000000004</v>
      </c>
      <c r="Y97" s="134">
        <f t="shared" si="20"/>
        <v>30</v>
      </c>
      <c r="Z97" s="134" t="e">
        <f>IF(N97&lt;=(#REF!+1),D$3,Z96-J96)</f>
        <v>#REF!</v>
      </c>
      <c r="AA97" s="134" t="e">
        <f t="shared" si="35"/>
        <v>#REF!</v>
      </c>
      <c r="AB97" s="134" t="e">
        <f t="shared" si="3"/>
        <v>#REF!</v>
      </c>
      <c r="AC97" s="134">
        <f t="shared" si="31"/>
        <v>35132.000000000029</v>
      </c>
      <c r="AD97" s="134"/>
      <c r="AE97" s="134">
        <f t="shared" si="4"/>
        <v>0</v>
      </c>
      <c r="AF97" s="134">
        <f t="shared" si="4"/>
        <v>0</v>
      </c>
      <c r="AG97" s="134">
        <f t="shared" si="22"/>
        <v>0</v>
      </c>
      <c r="AH97" s="134">
        <f t="shared" si="5"/>
        <v>0</v>
      </c>
      <c r="AI97" s="134" t="e">
        <f t="shared" si="23"/>
        <v>#REF!</v>
      </c>
      <c r="AJ97" s="134" t="e">
        <f t="shared" si="6"/>
        <v>#REF!</v>
      </c>
      <c r="AK97" s="134">
        <f t="shared" si="7"/>
        <v>1135.0400000000009</v>
      </c>
      <c r="AL97" s="134">
        <f t="shared" si="36"/>
        <v>0</v>
      </c>
      <c r="AM97" s="134">
        <f t="shared" si="37"/>
        <v>0</v>
      </c>
      <c r="AN97" s="132">
        <f t="shared" si="24"/>
        <v>5</v>
      </c>
      <c r="AO97" s="132">
        <f t="shared" si="8"/>
        <v>5</v>
      </c>
      <c r="AP97" s="2">
        <f t="shared" si="25"/>
        <v>2026</v>
      </c>
      <c r="AQ97" s="2">
        <f t="shared" si="9"/>
        <v>2026</v>
      </c>
      <c r="AR97" s="2">
        <f t="shared" si="10"/>
        <v>0</v>
      </c>
      <c r="AS97" s="2">
        <f t="shared" si="11"/>
        <v>30</v>
      </c>
      <c r="AT97" s="2">
        <f t="shared" si="26"/>
        <v>20</v>
      </c>
      <c r="AU97" s="2">
        <f t="shared" si="27"/>
        <v>30</v>
      </c>
      <c r="AV97" s="2"/>
      <c r="AW97" s="2"/>
      <c r="AX97" s="2"/>
      <c r="AY97" s="2"/>
      <c r="AZ97" s="2"/>
      <c r="BA97" s="2" t="e">
        <f>IF(#REF!=0,0,IF(O97=1,1,0))</f>
        <v>#REF!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29</v>
      </c>
      <c r="B98" s="268">
        <f t="shared" si="13"/>
        <v>46193</v>
      </c>
      <c r="C98" s="268"/>
      <c r="D98" s="318">
        <f t="shared" si="28"/>
        <v>54.04</v>
      </c>
      <c r="E98" s="318"/>
      <c r="F98" s="318"/>
      <c r="G98" s="87">
        <f>IF(O98=0,IF(O97=1,SUM(G$70:G97)," "),IF(N$40=1,Q98,IF(N$40=2,R98," ")))</f>
        <v>15.303265333333346</v>
      </c>
      <c r="H98" s="87">
        <v>0</v>
      </c>
      <c r="I98" s="87">
        <f t="shared" si="14"/>
        <v>69.343265333333349</v>
      </c>
      <c r="J98" s="87" t="e">
        <f>IF(O98=1,IF(O99=1,IF(N98&lt;=#REF!,U98,AX$71),D$3-AX$71*N$61+AX$71),0)</f>
        <v>#REF!</v>
      </c>
      <c r="K98" s="87" t="e">
        <f t="shared" si="0"/>
        <v>#REF!</v>
      </c>
      <c r="L98" s="87">
        <v>0</v>
      </c>
      <c r="M98" s="87" t="e">
        <f t="shared" si="15"/>
        <v>#REF!</v>
      </c>
      <c r="N98" s="2">
        <v>29</v>
      </c>
      <c r="O98" s="2">
        <f t="shared" si="30"/>
        <v>1</v>
      </c>
      <c r="P98" s="2">
        <f t="shared" si="1"/>
        <v>20</v>
      </c>
      <c r="Q98" s="134">
        <f t="shared" si="2"/>
        <v>15.303265333333346</v>
      </c>
      <c r="R98" s="134">
        <f t="shared" si="2"/>
        <v>15.303265333333346</v>
      </c>
      <c r="S98" s="134">
        <f t="shared" si="17"/>
        <v>1081.0000000000009</v>
      </c>
      <c r="T98" s="134" t="e">
        <f>IF(N98&lt;=#REF!,D$3/(D$8-N97),D98)</f>
        <v>#REF!</v>
      </c>
      <c r="U98" s="134" t="e">
        <f t="shared" si="18"/>
        <v>#REF!</v>
      </c>
      <c r="V98" s="134">
        <f t="shared" si="33"/>
        <v>15.303265333333346</v>
      </c>
      <c r="W98" s="134">
        <f t="shared" si="34"/>
        <v>15.303265333333346</v>
      </c>
      <c r="X98" s="134">
        <f t="shared" si="19"/>
        <v>33.318400000000004</v>
      </c>
      <c r="Y98" s="134">
        <f t="shared" si="20"/>
        <v>30</v>
      </c>
      <c r="Z98" s="134" t="e">
        <f>IF(N98&lt;=(#REF!+1),D$3,Z97-J97)</f>
        <v>#REF!</v>
      </c>
      <c r="AA98" s="134" t="e">
        <f t="shared" si="35"/>
        <v>#REF!</v>
      </c>
      <c r="AB98" s="134" t="e">
        <f t="shared" si="3"/>
        <v>#REF!</v>
      </c>
      <c r="AC98" s="134">
        <f t="shared" si="31"/>
        <v>33510.800000000025</v>
      </c>
      <c r="AD98" s="134"/>
      <c r="AE98" s="134">
        <f t="shared" si="4"/>
        <v>0</v>
      </c>
      <c r="AF98" s="134">
        <f t="shared" si="4"/>
        <v>0</v>
      </c>
      <c r="AG98" s="134">
        <f t="shared" si="22"/>
        <v>0</v>
      </c>
      <c r="AH98" s="134">
        <f t="shared" si="5"/>
        <v>0</v>
      </c>
      <c r="AI98" s="134" t="e">
        <f t="shared" si="23"/>
        <v>#REF!</v>
      </c>
      <c r="AJ98" s="134" t="e">
        <f t="shared" si="6"/>
        <v>#REF!</v>
      </c>
      <c r="AK98" s="134">
        <f t="shared" si="7"/>
        <v>1081.0000000000009</v>
      </c>
      <c r="AL98" s="134">
        <f t="shared" si="36"/>
        <v>0</v>
      </c>
      <c r="AM98" s="134">
        <f t="shared" si="37"/>
        <v>0</v>
      </c>
      <c r="AN98" s="132">
        <f t="shared" si="24"/>
        <v>6</v>
      </c>
      <c r="AO98" s="132">
        <f t="shared" si="8"/>
        <v>6</v>
      </c>
      <c r="AP98" s="2">
        <f t="shared" si="25"/>
        <v>2026</v>
      </c>
      <c r="AQ98" s="2">
        <f t="shared" si="9"/>
        <v>2026</v>
      </c>
      <c r="AR98" s="2">
        <f t="shared" si="10"/>
        <v>0</v>
      </c>
      <c r="AS98" s="2">
        <f t="shared" si="11"/>
        <v>30</v>
      </c>
      <c r="AT98" s="2">
        <f t="shared" si="26"/>
        <v>20</v>
      </c>
      <c r="AU98" s="2">
        <f t="shared" si="27"/>
        <v>30</v>
      </c>
      <c r="AV98" s="2"/>
      <c r="AW98" s="2"/>
      <c r="AX98" s="2"/>
      <c r="AY98" s="2"/>
      <c r="AZ98" s="2"/>
      <c r="BA98" s="2" t="e">
        <f>IF(#REF!=0,0,IF(O98=1,1,0))</f>
        <v>#REF!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30</v>
      </c>
      <c r="B99" s="268">
        <f t="shared" si="13"/>
        <v>46223</v>
      </c>
      <c r="C99" s="268"/>
      <c r="D99" s="318">
        <f t="shared" si="28"/>
        <v>54.04</v>
      </c>
      <c r="E99" s="318"/>
      <c r="F99" s="318"/>
      <c r="G99" s="87">
        <f>IF(O99=0,IF(O98=1,SUM(G$70:G98)," "),IF(N$40=1,Q99,IF(N$40=2,R99," ")))</f>
        <v>14.562917333333347</v>
      </c>
      <c r="H99" s="87">
        <v>0</v>
      </c>
      <c r="I99" s="87">
        <f t="shared" si="14"/>
        <v>68.602917333333352</v>
      </c>
      <c r="J99" s="87" t="e">
        <f>IF(O99=1,IF(O100=1,IF(N99&lt;=#REF!,U99,AX$71),D$3-AX$71*N$61+AX$71),0)</f>
        <v>#REF!</v>
      </c>
      <c r="K99" s="87" t="e">
        <f t="shared" si="0"/>
        <v>#REF!</v>
      </c>
      <c r="L99" s="87">
        <v>0</v>
      </c>
      <c r="M99" s="87" t="e">
        <f t="shared" si="15"/>
        <v>#REF!</v>
      </c>
      <c r="N99" s="2">
        <v>30</v>
      </c>
      <c r="O99" s="2">
        <f t="shared" si="30"/>
        <v>1</v>
      </c>
      <c r="P99" s="2">
        <f t="shared" si="1"/>
        <v>20</v>
      </c>
      <c r="Q99" s="134">
        <f t="shared" si="2"/>
        <v>14.562917333333347</v>
      </c>
      <c r="R99" s="134">
        <f t="shared" si="2"/>
        <v>14.562917333333347</v>
      </c>
      <c r="S99" s="134">
        <f t="shared" si="17"/>
        <v>1026.9600000000009</v>
      </c>
      <c r="T99" s="134" t="e">
        <f>IF(N99&lt;=#REF!,D$3/(D$8-N98),D99)</f>
        <v>#REF!</v>
      </c>
      <c r="U99" s="134" t="e">
        <f t="shared" si="18"/>
        <v>#REF!</v>
      </c>
      <c r="V99" s="134">
        <f t="shared" si="33"/>
        <v>14.562917333333347</v>
      </c>
      <c r="W99" s="134">
        <f t="shared" si="34"/>
        <v>14.562917333333347</v>
      </c>
      <c r="X99" s="134">
        <f t="shared" si="19"/>
        <v>33.318400000000004</v>
      </c>
      <c r="Y99" s="134">
        <f t="shared" si="20"/>
        <v>30</v>
      </c>
      <c r="Z99" s="134" t="e">
        <f>IF(N99&lt;=(#REF!+1),D$3,Z98-J98)</f>
        <v>#REF!</v>
      </c>
      <c r="AA99" s="134" t="e">
        <f t="shared" si="35"/>
        <v>#REF!</v>
      </c>
      <c r="AB99" s="134" t="e">
        <f t="shared" si="3"/>
        <v>#REF!</v>
      </c>
      <c r="AC99" s="134">
        <f t="shared" si="31"/>
        <v>31889.600000000028</v>
      </c>
      <c r="AD99" s="134"/>
      <c r="AE99" s="134">
        <f t="shared" si="4"/>
        <v>0</v>
      </c>
      <c r="AF99" s="134">
        <f t="shared" si="4"/>
        <v>0</v>
      </c>
      <c r="AG99" s="134">
        <f t="shared" si="22"/>
        <v>0</v>
      </c>
      <c r="AH99" s="134">
        <f t="shared" si="5"/>
        <v>0</v>
      </c>
      <c r="AI99" s="134" t="e">
        <f t="shared" si="23"/>
        <v>#REF!</v>
      </c>
      <c r="AJ99" s="134" t="e">
        <f t="shared" si="6"/>
        <v>#REF!</v>
      </c>
      <c r="AK99" s="134">
        <f t="shared" si="7"/>
        <v>1026.9600000000009</v>
      </c>
      <c r="AL99" s="134">
        <f t="shared" si="36"/>
        <v>0</v>
      </c>
      <c r="AM99" s="134">
        <f t="shared" si="37"/>
        <v>0</v>
      </c>
      <c r="AN99" s="132">
        <f t="shared" si="24"/>
        <v>7</v>
      </c>
      <c r="AO99" s="132">
        <f t="shared" si="8"/>
        <v>7</v>
      </c>
      <c r="AP99" s="2">
        <f t="shared" si="25"/>
        <v>2026</v>
      </c>
      <c r="AQ99" s="2">
        <f t="shared" si="9"/>
        <v>2026</v>
      </c>
      <c r="AR99" s="2">
        <f t="shared" si="10"/>
        <v>0</v>
      </c>
      <c r="AS99" s="2">
        <f t="shared" si="11"/>
        <v>30</v>
      </c>
      <c r="AT99" s="2">
        <f t="shared" si="26"/>
        <v>20</v>
      </c>
      <c r="AU99" s="2">
        <f t="shared" si="27"/>
        <v>30</v>
      </c>
      <c r="AV99" s="2"/>
      <c r="AW99" s="2"/>
      <c r="AX99" s="2"/>
      <c r="AY99" s="2"/>
      <c r="AZ99" s="2"/>
      <c r="BA99" s="2" t="e">
        <f>IF(#REF!=0,0,IF(O99=1,1,0))</f>
        <v>#REF!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31</v>
      </c>
      <c r="B100" s="268">
        <f t="shared" si="13"/>
        <v>46254</v>
      </c>
      <c r="C100" s="268"/>
      <c r="D100" s="318">
        <f t="shared" si="28"/>
        <v>54.04</v>
      </c>
      <c r="E100" s="318"/>
      <c r="F100" s="318"/>
      <c r="G100" s="87">
        <f>IF(O100=0,IF(O99=1,SUM(G$70:G99)," "),IF(N$40=1,Q100,IF(N$40=2,R100," ")))</f>
        <v>13.822569333333348</v>
      </c>
      <c r="H100" s="87">
        <v>0</v>
      </c>
      <c r="I100" s="87">
        <f t="shared" si="14"/>
        <v>67.86256933333334</v>
      </c>
      <c r="J100" s="87" t="e">
        <f>IF(O100=1,IF(O101=1,IF(N100&lt;=#REF!,U100,AX$71),D$3-AX$71*N$61+AX$71),0)</f>
        <v>#REF!</v>
      </c>
      <c r="K100" s="87" t="e">
        <f t="shared" si="0"/>
        <v>#REF!</v>
      </c>
      <c r="L100" s="87">
        <v>0</v>
      </c>
      <c r="M100" s="87" t="e">
        <f t="shared" si="15"/>
        <v>#REF!</v>
      </c>
      <c r="N100" s="2">
        <v>31</v>
      </c>
      <c r="O100" s="2">
        <f t="shared" si="30"/>
        <v>1</v>
      </c>
      <c r="P100" s="2">
        <f t="shared" si="1"/>
        <v>20</v>
      </c>
      <c r="Q100" s="134">
        <f t="shared" si="2"/>
        <v>13.822569333333348</v>
      </c>
      <c r="R100" s="134">
        <f t="shared" si="2"/>
        <v>13.822569333333348</v>
      </c>
      <c r="S100" s="134">
        <f t="shared" si="17"/>
        <v>972.92000000000098</v>
      </c>
      <c r="T100" s="134" t="e">
        <f>IF(N100&lt;=#REF!,D$3/(D$8-N99),D100)</f>
        <v>#REF!</v>
      </c>
      <c r="U100" s="134" t="e">
        <f t="shared" si="18"/>
        <v>#REF!</v>
      </c>
      <c r="V100" s="134">
        <f t="shared" si="33"/>
        <v>13.822569333333348</v>
      </c>
      <c r="W100" s="134">
        <f t="shared" si="34"/>
        <v>13.822569333333348</v>
      </c>
      <c r="X100" s="134">
        <f t="shared" si="19"/>
        <v>33.318400000000004</v>
      </c>
      <c r="Y100" s="134">
        <f t="shared" si="20"/>
        <v>30</v>
      </c>
      <c r="Z100" s="134" t="e">
        <f>IF(N100&lt;=(#REF!+1),D$3,Z99-J99)</f>
        <v>#REF!</v>
      </c>
      <c r="AA100" s="134" t="e">
        <f t="shared" si="35"/>
        <v>#REF!</v>
      </c>
      <c r="AB100" s="134" t="e">
        <f t="shared" si="3"/>
        <v>#REF!</v>
      </c>
      <c r="AC100" s="134">
        <f t="shared" si="31"/>
        <v>30268.400000000031</v>
      </c>
      <c r="AD100" s="134"/>
      <c r="AE100" s="134">
        <f t="shared" si="4"/>
        <v>0</v>
      </c>
      <c r="AF100" s="134">
        <f t="shared" si="4"/>
        <v>0</v>
      </c>
      <c r="AG100" s="134">
        <f t="shared" si="22"/>
        <v>0</v>
      </c>
      <c r="AH100" s="134">
        <f t="shared" si="5"/>
        <v>0</v>
      </c>
      <c r="AI100" s="134" t="e">
        <f t="shared" si="23"/>
        <v>#REF!</v>
      </c>
      <c r="AJ100" s="134" t="e">
        <f t="shared" si="6"/>
        <v>#REF!</v>
      </c>
      <c r="AK100" s="134">
        <f t="shared" si="7"/>
        <v>972.92000000000098</v>
      </c>
      <c r="AL100" s="134">
        <f t="shared" si="36"/>
        <v>0</v>
      </c>
      <c r="AM100" s="134">
        <f t="shared" si="37"/>
        <v>0</v>
      </c>
      <c r="AN100" s="132">
        <f t="shared" si="24"/>
        <v>8</v>
      </c>
      <c r="AO100" s="132">
        <f t="shared" si="8"/>
        <v>8</v>
      </c>
      <c r="AP100" s="2">
        <f t="shared" si="25"/>
        <v>2026</v>
      </c>
      <c r="AQ100" s="2">
        <f t="shared" si="9"/>
        <v>2026</v>
      </c>
      <c r="AR100" s="2">
        <f t="shared" si="10"/>
        <v>0</v>
      </c>
      <c r="AS100" s="2">
        <f t="shared" si="11"/>
        <v>30</v>
      </c>
      <c r="AT100" s="2">
        <f t="shared" si="26"/>
        <v>20</v>
      </c>
      <c r="AU100" s="2">
        <f t="shared" si="27"/>
        <v>30</v>
      </c>
      <c r="AV100" s="2"/>
      <c r="AW100" s="2"/>
      <c r="AX100" s="2"/>
      <c r="AY100" s="2"/>
      <c r="AZ100" s="2"/>
      <c r="BA100" s="2" t="e">
        <f>IF(#REF!=0,0,IF(O100=1,1,0))</f>
        <v>#REF!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32</v>
      </c>
      <c r="B101" s="268">
        <f t="shared" si="13"/>
        <v>46285</v>
      </c>
      <c r="C101" s="268"/>
      <c r="D101" s="318">
        <f t="shared" si="28"/>
        <v>54.04</v>
      </c>
      <c r="E101" s="318"/>
      <c r="F101" s="318"/>
      <c r="G101" s="87">
        <f>IF(O101=0,IF(O100=1,SUM(G$70:G100)," "),IF(N$40=1,Q101,IF(N$40=2,R101," ")))</f>
        <v>13.082221333333347</v>
      </c>
      <c r="H101" s="87">
        <v>0</v>
      </c>
      <c r="I101" s="87">
        <f t="shared" si="14"/>
        <v>67.122221333333343</v>
      </c>
      <c r="J101" s="87" t="e">
        <f>IF(O101=1,IF(O102=1,IF(N101&lt;=#REF!,U101,AX$71),D$3-AX$71*N$61+AX$71),0)</f>
        <v>#REF!</v>
      </c>
      <c r="K101" s="87" t="e">
        <f t="shared" si="0"/>
        <v>#REF!</v>
      </c>
      <c r="L101" s="87">
        <v>0</v>
      </c>
      <c r="M101" s="87" t="e">
        <f t="shared" si="15"/>
        <v>#REF!</v>
      </c>
      <c r="N101" s="2">
        <v>32</v>
      </c>
      <c r="O101" s="2">
        <f t="shared" si="30"/>
        <v>1</v>
      </c>
      <c r="P101" s="2">
        <f t="shared" si="1"/>
        <v>20</v>
      </c>
      <c r="Q101" s="134">
        <f t="shared" si="2"/>
        <v>13.082221333333347</v>
      </c>
      <c r="R101" s="134">
        <f t="shared" si="2"/>
        <v>13.082221333333347</v>
      </c>
      <c r="S101" s="134">
        <f t="shared" si="17"/>
        <v>918.88000000000102</v>
      </c>
      <c r="T101" s="134" t="e">
        <f>IF(N101&lt;=#REF!,D$3/(D$8-N100),D101)</f>
        <v>#REF!</v>
      </c>
      <c r="U101" s="134" t="e">
        <f t="shared" si="18"/>
        <v>#REF!</v>
      </c>
      <c r="V101" s="134">
        <f t="shared" si="33"/>
        <v>13.082221333333347</v>
      </c>
      <c r="W101" s="134">
        <f t="shared" si="34"/>
        <v>13.082221333333347</v>
      </c>
      <c r="X101" s="134">
        <f t="shared" si="19"/>
        <v>33.318400000000004</v>
      </c>
      <c r="Y101" s="134">
        <f t="shared" si="20"/>
        <v>30</v>
      </c>
      <c r="Z101" s="134" t="e">
        <f>IF(N101&lt;=(#REF!+1),D$3,Z100-J100)</f>
        <v>#REF!</v>
      </c>
      <c r="AA101" s="134" t="e">
        <f t="shared" si="35"/>
        <v>#REF!</v>
      </c>
      <c r="AB101" s="134" t="e">
        <f t="shared" si="3"/>
        <v>#REF!</v>
      </c>
      <c r="AC101" s="134">
        <f t="shared" si="31"/>
        <v>28647.20000000003</v>
      </c>
      <c r="AD101" s="134"/>
      <c r="AE101" s="134">
        <f t="shared" si="4"/>
        <v>0</v>
      </c>
      <c r="AF101" s="134">
        <f t="shared" si="4"/>
        <v>0</v>
      </c>
      <c r="AG101" s="134">
        <f t="shared" si="22"/>
        <v>0</v>
      </c>
      <c r="AH101" s="134">
        <f t="shared" si="5"/>
        <v>0</v>
      </c>
      <c r="AI101" s="134" t="e">
        <f t="shared" si="23"/>
        <v>#REF!</v>
      </c>
      <c r="AJ101" s="134" t="e">
        <f t="shared" si="6"/>
        <v>#REF!</v>
      </c>
      <c r="AK101" s="134">
        <f t="shared" si="7"/>
        <v>918.88000000000102</v>
      </c>
      <c r="AL101" s="134">
        <f t="shared" si="36"/>
        <v>0</v>
      </c>
      <c r="AM101" s="134">
        <f t="shared" si="37"/>
        <v>0</v>
      </c>
      <c r="AN101" s="132">
        <f t="shared" si="24"/>
        <v>9</v>
      </c>
      <c r="AO101" s="132">
        <f t="shared" si="8"/>
        <v>9</v>
      </c>
      <c r="AP101" s="2">
        <f t="shared" si="25"/>
        <v>2026</v>
      </c>
      <c r="AQ101" s="2">
        <f t="shared" si="9"/>
        <v>2026</v>
      </c>
      <c r="AR101" s="2">
        <f t="shared" si="10"/>
        <v>0</v>
      </c>
      <c r="AS101" s="2">
        <f t="shared" si="11"/>
        <v>30</v>
      </c>
      <c r="AT101" s="2">
        <f t="shared" si="26"/>
        <v>20</v>
      </c>
      <c r="AU101" s="2">
        <f t="shared" si="27"/>
        <v>30</v>
      </c>
      <c r="AV101" s="2"/>
      <c r="AW101" s="2"/>
      <c r="AX101" s="2"/>
      <c r="AY101" s="2"/>
      <c r="AZ101" s="2"/>
      <c r="BA101" s="2" t="e">
        <f>IF(#REF!=0,0,IF(O101=1,1,0))</f>
        <v>#REF!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33</v>
      </c>
      <c r="B102" s="268">
        <f t="shared" si="13"/>
        <v>46315</v>
      </c>
      <c r="C102" s="268"/>
      <c r="D102" s="318">
        <f t="shared" si="28"/>
        <v>54.04</v>
      </c>
      <c r="E102" s="318"/>
      <c r="F102" s="318"/>
      <c r="G102" s="87">
        <f>IF(O102=0,IF(O101=1,SUM(G$70:G101)," "),IF(N$40=1,Q102,IF(N$40=2,R102," ")))</f>
        <v>12.341873333333346</v>
      </c>
      <c r="H102" s="87">
        <v>0</v>
      </c>
      <c r="I102" s="87">
        <f t="shared" si="14"/>
        <v>66.381873333333345</v>
      </c>
      <c r="J102" s="87" t="e">
        <f>IF(O102=1,IF(O103=1,IF(N102&lt;=#REF!,U102,AX$71),D$3-AX$71*N$61+AX$71),0)</f>
        <v>#REF!</v>
      </c>
      <c r="K102" s="87" t="e">
        <f t="shared" si="0"/>
        <v>#REF!</v>
      </c>
      <c r="L102" s="87">
        <v>0</v>
      </c>
      <c r="M102" s="87" t="e">
        <f t="shared" si="15"/>
        <v>#REF!</v>
      </c>
      <c r="N102" s="2">
        <v>33</v>
      </c>
      <c r="O102" s="2">
        <f t="shared" si="30"/>
        <v>1</v>
      </c>
      <c r="P102" s="2">
        <f t="shared" ref="P102:P130" si="38">IF(D$8+1=A$59,IF(N102=A$59,IF(DATE(YEAR(0),MONTH(0),DAY(D$9)-1)&gt;AT102,DATE(YEAR(0),MONTH(0),DAY(D$9)-1),AT102),AT102),IF(N102=A$59,IF(DATE(YEAR(0),MONTH(0),DAY(D$9)-1)&lt;AT102,DATE(YEAR(0),MONTH(0),DAY(D$9)-1),AT102),AT102))</f>
        <v>20</v>
      </c>
      <c r="Q102" s="134">
        <f t="shared" ref="Q102:R130" si="39">V102</f>
        <v>12.341873333333346</v>
      </c>
      <c r="R102" s="134">
        <f t="shared" si="39"/>
        <v>12.341873333333346</v>
      </c>
      <c r="S102" s="134">
        <f t="shared" si="17"/>
        <v>864.84000000000106</v>
      </c>
      <c r="T102" s="134" t="e">
        <f>IF(N102&lt;=#REF!,D$3/(D$8-N101),D102)</f>
        <v>#REF!</v>
      </c>
      <c r="U102" s="134" t="e">
        <f t="shared" si="18"/>
        <v>#REF!</v>
      </c>
      <c r="V102" s="134">
        <f t="shared" si="33"/>
        <v>12.341873333333346</v>
      </c>
      <c r="W102" s="134">
        <f t="shared" si="34"/>
        <v>12.341873333333346</v>
      </c>
      <c r="X102" s="134">
        <f t="shared" si="19"/>
        <v>33.318400000000004</v>
      </c>
      <c r="Y102" s="134">
        <f t="shared" si="20"/>
        <v>30</v>
      </c>
      <c r="Z102" s="134" t="e">
        <f>IF(N102&lt;=(#REF!+1),D$3,Z101-J101)</f>
        <v>#REF!</v>
      </c>
      <c r="AA102" s="134" t="e">
        <f t="shared" si="35"/>
        <v>#REF!</v>
      </c>
      <c r="AB102" s="134" t="e">
        <f t="shared" si="3"/>
        <v>#REF!</v>
      </c>
      <c r="AC102" s="134">
        <f t="shared" si="31"/>
        <v>27026.000000000029</v>
      </c>
      <c r="AD102" s="134"/>
      <c r="AE102" s="134">
        <f t="shared" ref="AE102:AF130" si="40">IF(AL102&lt;&gt;0,IF(VALUE(RIGHT(ROUND(AL102,0)))&lt;=5,ROUND(AL102,0)-VALUE(RIGHT(ROUND(AL102,0))),ROUND(AL102,0)+10-VALUE(RIGHT(ROUND(AL102,0)))),0)</f>
        <v>0</v>
      </c>
      <c r="AF102" s="134">
        <f t="shared" si="40"/>
        <v>0</v>
      </c>
      <c r="AG102" s="134">
        <f t="shared" si="22"/>
        <v>0</v>
      </c>
      <c r="AH102" s="134">
        <f t="shared" si="5"/>
        <v>0</v>
      </c>
      <c r="AI102" s="134" t="e">
        <f t="shared" si="23"/>
        <v>#REF!</v>
      </c>
      <c r="AJ102" s="134" t="e">
        <f t="shared" si="6"/>
        <v>#REF!</v>
      </c>
      <c r="AK102" s="134">
        <f t="shared" si="7"/>
        <v>864.84000000000106</v>
      </c>
      <c r="AL102" s="134">
        <f t="shared" si="36"/>
        <v>0</v>
      </c>
      <c r="AM102" s="134">
        <f t="shared" si="37"/>
        <v>0</v>
      </c>
      <c r="AN102" s="132">
        <f t="shared" si="24"/>
        <v>10</v>
      </c>
      <c r="AO102" s="132">
        <f t="shared" si="8"/>
        <v>10</v>
      </c>
      <c r="AP102" s="2">
        <f t="shared" si="25"/>
        <v>2026</v>
      </c>
      <c r="AQ102" s="2">
        <f t="shared" si="9"/>
        <v>2026</v>
      </c>
      <c r="AR102" s="2">
        <f t="shared" si="10"/>
        <v>0</v>
      </c>
      <c r="AS102" s="2">
        <f t="shared" si="11"/>
        <v>30</v>
      </c>
      <c r="AT102" s="2">
        <f t="shared" si="26"/>
        <v>20</v>
      </c>
      <c r="AU102" s="2">
        <f t="shared" si="27"/>
        <v>30</v>
      </c>
      <c r="AV102" s="2"/>
      <c r="AW102" s="2"/>
      <c r="AX102" s="2"/>
      <c r="AY102" s="2"/>
      <c r="AZ102" s="2"/>
      <c r="BA102" s="2" t="e">
        <f>IF(#REF!=0,0,IF(O102=1,1,0))</f>
        <v>#REF!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34</v>
      </c>
      <c r="B103" s="268">
        <f t="shared" ref="B103:B130" si="41">IF(O103=0,IF(O102=1,"ИТОГО"," "),IF(A$59=D$8+1,IF(N103=A$59,IF(MONTH(B102)=2,IF(DAY(D$9)&gt;29,DATE(YEAR(B102),MONTH(B102),AU103),DATE(YEAR(B102),MONTH(B102),P103)),DATE(YEAR(B102),MONTH(B102),P103)),DATE(YEAR(B102),MONTH(B102)+1,P103)),DATE(YEAR(B102),MONTH(B102)+1,P103)))</f>
        <v>46346</v>
      </c>
      <c r="C103" s="268"/>
      <c r="D103" s="318">
        <f t="shared" si="28"/>
        <v>54.04</v>
      </c>
      <c r="E103" s="318"/>
      <c r="F103" s="318"/>
      <c r="G103" s="87">
        <f>IF(O103=0,IF(O102=1,SUM(G$70:G102)," "),IF(N$40=1,Q103,IF(N$40=2,R103," ")))</f>
        <v>11.601525333333349</v>
      </c>
      <c r="H103" s="87">
        <v>0</v>
      </c>
      <c r="I103" s="87">
        <f t="shared" si="14"/>
        <v>65.641525333333348</v>
      </c>
      <c r="J103" s="87" t="e">
        <f>IF(O103=1,IF(O104=1,IF(N103&lt;=#REF!,U103,AX$71),D$3-AX$71*N$61+AX$71),0)</f>
        <v>#REF!</v>
      </c>
      <c r="K103" s="87" t="e">
        <f t="shared" si="0"/>
        <v>#REF!</v>
      </c>
      <c r="L103" s="87">
        <v>0</v>
      </c>
      <c r="M103" s="87" t="e">
        <f t="shared" si="15"/>
        <v>#REF!</v>
      </c>
      <c r="N103" s="2">
        <v>34</v>
      </c>
      <c r="O103" s="2">
        <f t="shared" si="30"/>
        <v>1</v>
      </c>
      <c r="P103" s="2">
        <f t="shared" si="38"/>
        <v>20</v>
      </c>
      <c r="Q103" s="134">
        <f t="shared" si="39"/>
        <v>11.601525333333349</v>
      </c>
      <c r="R103" s="134">
        <f t="shared" si="39"/>
        <v>11.601525333333349</v>
      </c>
      <c r="S103" s="134">
        <f t="shared" ref="S103:S130" si="42">IF(O103=0,0,S102-D102)</f>
        <v>810.80000000000109</v>
      </c>
      <c r="T103" s="134" t="e">
        <f>IF(N103&lt;=#REF!,D$3/(D$8-N102),D103)</f>
        <v>#REF!</v>
      </c>
      <c r="U103" s="134" t="e">
        <f t="shared" si="18"/>
        <v>#REF!</v>
      </c>
      <c r="V103" s="134">
        <f t="shared" si="33"/>
        <v>11.601525333333349</v>
      </c>
      <c r="W103" s="134">
        <f t="shared" si="34"/>
        <v>11.601525333333349</v>
      </c>
      <c r="X103" s="134">
        <f t="shared" ref="X103:X129" si="43">IF(O104=1,$D$3*$D$5*20/36000+$D$3*$D$5*10/36000,IF(O104=0,IF(O103=0,0,$D$3*$D$5*$R$57/36000+$D$3*$D$5*20/36000+$D$3*$D$5*10/36000)))</f>
        <v>33.318400000000004</v>
      </c>
      <c r="Y103" s="134">
        <f t="shared" si="20"/>
        <v>30</v>
      </c>
      <c r="Z103" s="134" t="e">
        <f>IF(N103&lt;=(#REF!+1),D$3,Z102-J102)</f>
        <v>#REF!</v>
      </c>
      <c r="AA103" s="134" t="e">
        <f t="shared" si="35"/>
        <v>#REF!</v>
      </c>
      <c r="AB103" s="134" t="e">
        <f t="shared" si="3"/>
        <v>#REF!</v>
      </c>
      <c r="AC103" s="134">
        <f t="shared" si="31"/>
        <v>25404.800000000032</v>
      </c>
      <c r="AD103" s="134"/>
      <c r="AE103" s="134">
        <f t="shared" si="40"/>
        <v>0</v>
      </c>
      <c r="AF103" s="134">
        <f t="shared" si="40"/>
        <v>0</v>
      </c>
      <c r="AG103" s="134">
        <f t="shared" ref="AG103:AG129" si="44">IF(O104=1,D$3*H$57*20/36000+D$3*H$57*10/36000,IF(O104=0,IF(O103=0,0,D$3*H$57*R$57/36000+D$3*H$57*20/36000+D$3*H$57*10/36000)))</f>
        <v>0</v>
      </c>
      <c r="AH103" s="134">
        <f t="shared" si="5"/>
        <v>0</v>
      </c>
      <c r="AI103" s="134" t="e">
        <f t="shared" ref="AI103:AI129" si="45">IF(O104=1,Z102*H$57*20/36000+Z103*H$57*10/36000,IF(O104=0,IF(O103=0,0,Z103*H$57*R$57/36000+Z102*H$57*20/36000+Z103*H$57*10/36000)))</f>
        <v>#REF!</v>
      </c>
      <c r="AJ103" s="134" t="e">
        <f t="shared" si="6"/>
        <v>#REF!</v>
      </c>
      <c r="AK103" s="134">
        <f t="shared" si="7"/>
        <v>810.80000000000109</v>
      </c>
      <c r="AL103" s="134">
        <f t="shared" si="36"/>
        <v>0</v>
      </c>
      <c r="AM103" s="134">
        <f t="shared" si="37"/>
        <v>0</v>
      </c>
      <c r="AN103" s="132">
        <f t="shared" ref="AN103:AN130" si="46">IF(O103=0,0,MONTH(B102)+1)</f>
        <v>11</v>
      </c>
      <c r="AO103" s="132">
        <f t="shared" si="8"/>
        <v>11</v>
      </c>
      <c r="AP103" s="2">
        <f t="shared" ref="AP103:AP130" si="47">IF(O103=0,0,YEAR(B102))</f>
        <v>2026</v>
      </c>
      <c r="AQ103" s="2">
        <f t="shared" si="9"/>
        <v>2026</v>
      </c>
      <c r="AR103" s="2">
        <f t="shared" si="10"/>
        <v>0</v>
      </c>
      <c r="AS103" s="2">
        <f t="shared" si="11"/>
        <v>30</v>
      </c>
      <c r="AT103" s="2">
        <f t="shared" si="26"/>
        <v>20</v>
      </c>
      <c r="AU103" s="2">
        <f t="shared" si="27"/>
        <v>30</v>
      </c>
      <c r="AV103" s="2"/>
      <c r="AW103" s="2"/>
      <c r="AX103" s="2"/>
      <c r="AY103" s="2"/>
      <c r="AZ103" s="2"/>
      <c r="BA103" s="2" t="e">
        <f>IF(#REF!=0,0,IF(O103=1,1,0))</f>
        <v>#REF!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35</v>
      </c>
      <c r="B104" s="268">
        <f t="shared" si="41"/>
        <v>46376</v>
      </c>
      <c r="C104" s="268"/>
      <c r="D104" s="318">
        <f t="shared" si="28"/>
        <v>54.04</v>
      </c>
      <c r="E104" s="318"/>
      <c r="F104" s="318"/>
      <c r="G104" s="87">
        <f>IF(O104=0,IF(O103=1,SUM(G$70:G103)," "),IF(N$40=1,Q104,IF(N$40=2,R104," ")))</f>
        <v>10.86117733333335</v>
      </c>
      <c r="H104" s="87">
        <v>0</v>
      </c>
      <c r="I104" s="87">
        <f t="shared" si="14"/>
        <v>64.901177333333351</v>
      </c>
      <c r="J104" s="87" t="e">
        <f>IF(O104=1,IF(O105=1,IF(N104&lt;=#REF!,U104,AX$71),D$3-AX$71*N$61+AX$71),0)</f>
        <v>#REF!</v>
      </c>
      <c r="K104" s="87" t="e">
        <f t="shared" si="0"/>
        <v>#REF!</v>
      </c>
      <c r="L104" s="87">
        <v>0</v>
      </c>
      <c r="M104" s="87" t="e">
        <f t="shared" si="15"/>
        <v>#REF!</v>
      </c>
      <c r="N104" s="2">
        <v>35</v>
      </c>
      <c r="O104" s="2">
        <f t="shared" si="30"/>
        <v>1</v>
      </c>
      <c r="P104" s="2">
        <f t="shared" si="38"/>
        <v>20</v>
      </c>
      <c r="Q104" s="134">
        <f t="shared" si="39"/>
        <v>10.86117733333335</v>
      </c>
      <c r="R104" s="134">
        <f t="shared" si="39"/>
        <v>10.86117733333335</v>
      </c>
      <c r="S104" s="134">
        <f t="shared" si="42"/>
        <v>756.76000000000113</v>
      </c>
      <c r="T104" s="134" t="e">
        <f>IF(N104&lt;=#REF!,D$3/(D$8-N103),D104)</f>
        <v>#REF!</v>
      </c>
      <c r="U104" s="134" t="e">
        <f t="shared" si="18"/>
        <v>#REF!</v>
      </c>
      <c r="V104" s="134">
        <f t="shared" si="33"/>
        <v>10.86117733333335</v>
      </c>
      <c r="W104" s="134">
        <f t="shared" si="34"/>
        <v>10.86117733333335</v>
      </c>
      <c r="X104" s="134">
        <f t="shared" si="43"/>
        <v>33.318400000000004</v>
      </c>
      <c r="Y104" s="134">
        <f t="shared" si="20"/>
        <v>30</v>
      </c>
      <c r="Z104" s="134" t="e">
        <f>IF(N104&lt;=(#REF!+1),D$3,Z103-J103)</f>
        <v>#REF!</v>
      </c>
      <c r="AA104" s="134" t="e">
        <f t="shared" si="35"/>
        <v>#REF!</v>
      </c>
      <c r="AB104" s="134" t="e">
        <f t="shared" si="3"/>
        <v>#REF!</v>
      </c>
      <c r="AC104" s="134">
        <f t="shared" si="31"/>
        <v>23783.600000000035</v>
      </c>
      <c r="AD104" s="134"/>
      <c r="AE104" s="134">
        <f t="shared" si="40"/>
        <v>0</v>
      </c>
      <c r="AF104" s="134">
        <f t="shared" si="40"/>
        <v>0</v>
      </c>
      <c r="AG104" s="134">
        <f t="shared" si="44"/>
        <v>0</v>
      </c>
      <c r="AH104" s="134">
        <f t="shared" si="5"/>
        <v>0</v>
      </c>
      <c r="AI104" s="134" t="e">
        <f t="shared" si="45"/>
        <v>#REF!</v>
      </c>
      <c r="AJ104" s="134" t="e">
        <f t="shared" si="6"/>
        <v>#REF!</v>
      </c>
      <c r="AK104" s="134">
        <f t="shared" si="7"/>
        <v>756.76000000000113</v>
      </c>
      <c r="AL104" s="134">
        <f t="shared" si="36"/>
        <v>0</v>
      </c>
      <c r="AM104" s="134">
        <f t="shared" si="37"/>
        <v>0</v>
      </c>
      <c r="AN104" s="132">
        <f t="shared" si="46"/>
        <v>12</v>
      </c>
      <c r="AO104" s="132">
        <f t="shared" si="8"/>
        <v>12</v>
      </c>
      <c r="AP104" s="2">
        <f t="shared" si="47"/>
        <v>2026</v>
      </c>
      <c r="AQ104" s="2">
        <f t="shared" si="9"/>
        <v>2026</v>
      </c>
      <c r="AR104" s="2">
        <f t="shared" si="10"/>
        <v>0</v>
      </c>
      <c r="AS104" s="2">
        <f t="shared" si="11"/>
        <v>30</v>
      </c>
      <c r="AT104" s="2">
        <f t="shared" si="26"/>
        <v>20</v>
      </c>
      <c r="AU104" s="2">
        <f t="shared" si="27"/>
        <v>30</v>
      </c>
      <c r="AV104" s="2"/>
      <c r="AW104" s="2"/>
      <c r="AX104" s="2"/>
      <c r="AY104" s="2"/>
      <c r="AZ104" s="2"/>
      <c r="BA104" s="2" t="e">
        <f>IF(#REF!=0,0,IF(O104=1,1,0))</f>
        <v>#REF!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36</v>
      </c>
      <c r="B105" s="268">
        <f t="shared" ref="B105:B106" si="48">IF(O105=0,IF(O104=1,"ИТОГО"," "),IF(A$59=D$8+1,IF(N105=A$59,IF(MONTH(B104)=2,IF(DAY(D$9)&gt;29,DATE(YEAR(B104),MONTH(B104),AU105),DATE(YEAR(B104),MONTH(B104),P105)),DATE(YEAR(B104),MONTH(B104),P105)),DATE(YEAR(B104),MONTH(B104)+1,P105)),DATE(YEAR(B104),MONTH(B104)+1,P105)))</f>
        <v>46407</v>
      </c>
      <c r="C105" s="268"/>
      <c r="D105" s="318">
        <f t="shared" si="28"/>
        <v>54.04</v>
      </c>
      <c r="E105" s="318"/>
      <c r="F105" s="318"/>
      <c r="G105" s="87">
        <f>IF(O105=0,IF(O104=1,SUM(G$70:G104)," "),IF(N$40=1,Q105,IF(N$40=2,R105," ")))</f>
        <v>10.120829333333349</v>
      </c>
      <c r="H105" s="87">
        <v>0</v>
      </c>
      <c r="I105" s="87">
        <f t="shared" si="14"/>
        <v>64.160829333333353</v>
      </c>
      <c r="J105" s="87" t="e">
        <f>IF(O105=1,IF(O106=1,IF(N105&lt;=#REF!,U105,AX$71),D$3-AX$71*N$61+AX$71),0)</f>
        <v>#REF!</v>
      </c>
      <c r="K105" s="87" t="e">
        <f t="shared" si="0"/>
        <v>#REF!</v>
      </c>
      <c r="L105" s="87">
        <v>0</v>
      </c>
      <c r="M105" s="87" t="e">
        <f t="shared" si="15"/>
        <v>#REF!</v>
      </c>
      <c r="N105" s="2">
        <v>36</v>
      </c>
      <c r="O105" s="2">
        <f t="shared" si="30"/>
        <v>1</v>
      </c>
      <c r="P105" s="2">
        <f t="shared" si="38"/>
        <v>20</v>
      </c>
      <c r="Q105" s="134">
        <f t="shared" si="39"/>
        <v>10.120829333333349</v>
      </c>
      <c r="R105" s="134">
        <f t="shared" si="39"/>
        <v>10.120829333333349</v>
      </c>
      <c r="S105" s="134">
        <f t="shared" si="42"/>
        <v>702.72000000000116</v>
      </c>
      <c r="T105" s="134" t="e">
        <f>IF(N105&lt;=#REF!,D$3/(D$8-N104),D105)</f>
        <v>#REF!</v>
      </c>
      <c r="U105" s="134" t="e">
        <f t="shared" si="18"/>
        <v>#REF!</v>
      </c>
      <c r="V105" s="134">
        <f t="shared" si="33"/>
        <v>10.120829333333349</v>
      </c>
      <c r="W105" s="134">
        <f t="shared" si="34"/>
        <v>10.120829333333349</v>
      </c>
      <c r="X105" s="134">
        <f t="shared" si="43"/>
        <v>33.318400000000004</v>
      </c>
      <c r="Y105" s="134">
        <f t="shared" si="20"/>
        <v>30</v>
      </c>
      <c r="Z105" s="134" t="e">
        <f>IF(N105&lt;=(#REF!+1),D$3,Z104-J104)</f>
        <v>#REF!</v>
      </c>
      <c r="AA105" s="134" t="e">
        <f t="shared" si="35"/>
        <v>#REF!</v>
      </c>
      <c r="AB105" s="134" t="e">
        <f t="shared" si="3"/>
        <v>#REF!</v>
      </c>
      <c r="AC105" s="134">
        <f t="shared" si="31"/>
        <v>22162.400000000034</v>
      </c>
      <c r="AD105" s="134"/>
      <c r="AE105" s="134">
        <f t="shared" si="40"/>
        <v>0</v>
      </c>
      <c r="AF105" s="134">
        <f t="shared" si="40"/>
        <v>0</v>
      </c>
      <c r="AG105" s="134">
        <f t="shared" si="44"/>
        <v>0</v>
      </c>
      <c r="AH105" s="134">
        <f t="shared" si="5"/>
        <v>0</v>
      </c>
      <c r="AI105" s="134" t="e">
        <f t="shared" si="45"/>
        <v>#REF!</v>
      </c>
      <c r="AJ105" s="134" t="e">
        <f t="shared" si="6"/>
        <v>#REF!</v>
      </c>
      <c r="AK105" s="134">
        <f t="shared" si="7"/>
        <v>702.72000000000116</v>
      </c>
      <c r="AL105" s="134">
        <f t="shared" si="36"/>
        <v>0</v>
      </c>
      <c r="AM105" s="134">
        <f t="shared" si="37"/>
        <v>0</v>
      </c>
      <c r="AN105" s="132">
        <f t="shared" si="46"/>
        <v>13</v>
      </c>
      <c r="AO105" s="132">
        <f t="shared" si="8"/>
        <v>1</v>
      </c>
      <c r="AP105" s="2">
        <f t="shared" si="47"/>
        <v>2026</v>
      </c>
      <c r="AQ105" s="2">
        <f t="shared" si="9"/>
        <v>2027</v>
      </c>
      <c r="AR105" s="2">
        <f t="shared" si="10"/>
        <v>0</v>
      </c>
      <c r="AS105" s="2">
        <f t="shared" si="11"/>
        <v>30</v>
      </c>
      <c r="AT105" s="2">
        <f t="shared" si="26"/>
        <v>20</v>
      </c>
      <c r="AU105" s="2">
        <f t="shared" si="27"/>
        <v>30</v>
      </c>
      <c r="AV105" s="2"/>
      <c r="AW105" s="2"/>
      <c r="AX105" s="2"/>
      <c r="AY105" s="2"/>
      <c r="AZ105" s="2"/>
      <c r="BA105" s="2" t="e">
        <f>IF(#REF!=0,0,IF(O105=1,1,0))</f>
        <v>#REF!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37</v>
      </c>
      <c r="B106" s="268">
        <f t="shared" si="48"/>
        <v>46438</v>
      </c>
      <c r="C106" s="268"/>
      <c r="D106" s="318">
        <f t="shared" ref="D106:D130" si="49">IF(O106=0,0,IF($G$3="USD",ROUND($D$3/$N$59,0),IF($G$3="бел. рублей",IF($AY$70&lt;=5,$AW$70,$AW$70)," ")))</f>
        <v>54.04</v>
      </c>
      <c r="E106" s="318"/>
      <c r="F106" s="318"/>
      <c r="G106" s="87">
        <f>IF(O106=0,IF(O105=1,SUM(G$70:G105)," "),IF(N$40=1,Q106,IF(N$40=2,R106," ")))</f>
        <v>9.3804813333333499</v>
      </c>
      <c r="H106" s="87">
        <v>0</v>
      </c>
      <c r="I106" s="87">
        <f t="shared" si="14"/>
        <v>63.420481333333349</v>
      </c>
      <c r="J106" s="87" t="e">
        <f>IF(O106=1,IF(O107=1,IF(N106&lt;=#REF!,U106,AX$71),D$3-AX$71*N$61+AX$71),0)</f>
        <v>#REF!</v>
      </c>
      <c r="K106" s="87" t="e">
        <f t="shared" si="0"/>
        <v>#REF!</v>
      </c>
      <c r="L106" s="87">
        <v>0</v>
      </c>
      <c r="M106" s="87" t="e">
        <f t="shared" si="15"/>
        <v>#REF!</v>
      </c>
      <c r="N106" s="2">
        <v>37</v>
      </c>
      <c r="O106" s="2">
        <f t="shared" si="30"/>
        <v>1</v>
      </c>
      <c r="P106" s="2">
        <f t="shared" si="38"/>
        <v>20</v>
      </c>
      <c r="Q106" s="134">
        <f t="shared" si="39"/>
        <v>9.3804813333333499</v>
      </c>
      <c r="R106" s="134">
        <f t="shared" si="39"/>
        <v>9.3804813333333499</v>
      </c>
      <c r="S106" s="134">
        <f t="shared" si="42"/>
        <v>648.6800000000012</v>
      </c>
      <c r="T106" s="134" t="e">
        <f>IF(N106&lt;=#REF!,D$3/(D$8-N105),D106)</f>
        <v>#REF!</v>
      </c>
      <c r="U106" s="134" t="e">
        <f t="shared" si="18"/>
        <v>#REF!</v>
      </c>
      <c r="V106" s="134">
        <f>IF(O107=1,S105*D$5*20/36000+S106*D$5*10/36000,IF(O107=0,IF(O106=0,0,IF(D$9&gt;20,S105*D$5*20/36000+S106*D$5*(R$57-20)/36000,S106*D$5*R$57/36000))))</f>
        <v>9.3804813333333499</v>
      </c>
      <c r="W106" s="134">
        <f>IF(O107=1,S105*D$5*20/36000+S106*D$5*10/36000,IF(O107=0,IF(O106=0,0,IF(D$9&gt;20,S105*D$5*20/36000+S106*D$5*(R$57-20)/36000,S106*D$5*R$57/36000))))</f>
        <v>9.3804813333333499</v>
      </c>
      <c r="X106" s="134">
        <f t="shared" si="43"/>
        <v>33.318400000000004</v>
      </c>
      <c r="Y106" s="134">
        <f t="shared" si="20"/>
        <v>30</v>
      </c>
      <c r="Z106" s="134" t="e">
        <f>IF(N106&lt;=(#REF!+1),D$3,Z105-J105)</f>
        <v>#REF!</v>
      </c>
      <c r="AA106" s="134" t="e">
        <f>IF(O107=1,Z105*D$5*20/36000+Z106*D$5*10/36000,IF(O107=0,IF(O106=0,0,IF(D$9&gt;20,Z105*D$5*20/36000+Z106*D$5*(R$57-20)/36000,Z106*D$5*R$57/36000))))</f>
        <v>#REF!</v>
      </c>
      <c r="AB106" s="134" t="e">
        <f t="shared" si="3"/>
        <v>#REF!</v>
      </c>
      <c r="AC106" s="134">
        <f t="shared" si="31"/>
        <v>20541.200000000033</v>
      </c>
      <c r="AD106" s="134"/>
      <c r="AE106" s="134">
        <f t="shared" si="40"/>
        <v>0</v>
      </c>
      <c r="AF106" s="134">
        <f t="shared" si="40"/>
        <v>0</v>
      </c>
      <c r="AG106" s="134">
        <f t="shared" si="44"/>
        <v>0</v>
      </c>
      <c r="AH106" s="134">
        <f t="shared" si="5"/>
        <v>0</v>
      </c>
      <c r="AI106" s="134" t="e">
        <f t="shared" si="45"/>
        <v>#REF!</v>
      </c>
      <c r="AJ106" s="134" t="e">
        <f t="shared" si="6"/>
        <v>#REF!</v>
      </c>
      <c r="AK106" s="134">
        <f t="shared" si="7"/>
        <v>648.6800000000012</v>
      </c>
      <c r="AL106" s="134">
        <f>IF(O107=1,AK105*H$57*20/36000+AK106*H$57*10/36000,IF(O107=0,IF(O106=0,0,AK106*H$57*R$57/36000)))</f>
        <v>0</v>
      </c>
      <c r="AM106" s="134">
        <f>IF(O107=1,AK105*H$57*20/36000+AK106*H$57*10/36000,IF(O107=0,IF(O106=0,0,AK106*H$57*R$57/36000)))</f>
        <v>0</v>
      </c>
      <c r="AN106" s="132">
        <f t="shared" si="46"/>
        <v>2</v>
      </c>
      <c r="AO106" s="132">
        <f t="shared" si="8"/>
        <v>2</v>
      </c>
      <c r="AP106" s="2">
        <f t="shared" si="47"/>
        <v>2027</v>
      </c>
      <c r="AQ106" s="2">
        <f t="shared" si="9"/>
        <v>2027</v>
      </c>
      <c r="AR106" s="2">
        <f t="shared" si="10"/>
        <v>0</v>
      </c>
      <c r="AS106" s="2">
        <f t="shared" si="11"/>
        <v>28</v>
      </c>
      <c r="AT106" s="2">
        <f t="shared" si="26"/>
        <v>20</v>
      </c>
      <c r="AU106" s="2">
        <f t="shared" si="27"/>
        <v>30</v>
      </c>
      <c r="AV106" s="2"/>
      <c r="AW106" s="2"/>
      <c r="AX106" s="2"/>
      <c r="AY106" s="2"/>
      <c r="AZ106" s="2"/>
      <c r="BA106" s="2" t="e">
        <f>IF(#REF!=0,0,IF(O106=1,1,0))</f>
        <v>#REF!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38</v>
      </c>
      <c r="B107" s="268">
        <f t="shared" si="41"/>
        <v>46466</v>
      </c>
      <c r="C107" s="268"/>
      <c r="D107" s="318">
        <f t="shared" si="49"/>
        <v>54.04</v>
      </c>
      <c r="E107" s="318"/>
      <c r="F107" s="318"/>
      <c r="G107" s="87">
        <f>IF(O107=0,IF(O106=1,SUM(G$70:G106)," "),IF(N$40=1,Q107,IF(N$40=2,R107," ")))</f>
        <v>8.6401333333333508</v>
      </c>
      <c r="H107" s="87">
        <v>0</v>
      </c>
      <c r="I107" s="87">
        <f t="shared" si="14"/>
        <v>62.680133333333352</v>
      </c>
      <c r="J107" s="87" t="e">
        <f>IF(O107=1,IF(O108=1,IF(N107&lt;=#REF!,U107,AX$71),D$3-AX$71*N$61+AX$71),0)</f>
        <v>#REF!</v>
      </c>
      <c r="K107" s="87" t="e">
        <f t="shared" si="0"/>
        <v>#REF!</v>
      </c>
      <c r="L107" s="87">
        <v>0</v>
      </c>
      <c r="M107" s="87" t="e">
        <f t="shared" si="15"/>
        <v>#REF!</v>
      </c>
      <c r="N107" s="2">
        <v>38</v>
      </c>
      <c r="O107" s="2">
        <f t="shared" si="30"/>
        <v>1</v>
      </c>
      <c r="P107" s="2">
        <f t="shared" si="38"/>
        <v>20</v>
      </c>
      <c r="Q107" s="134">
        <f t="shared" si="39"/>
        <v>8.6401333333333508</v>
      </c>
      <c r="R107" s="134">
        <f t="shared" si="39"/>
        <v>8.6401333333333508</v>
      </c>
      <c r="S107" s="134">
        <f t="shared" si="42"/>
        <v>594.64000000000124</v>
      </c>
      <c r="T107" s="134" t="e">
        <f>IF(N107&lt;=#REF!,D$3/(D$8-N106),D107)</f>
        <v>#REF!</v>
      </c>
      <c r="U107" s="134" t="e">
        <f t="shared" si="18"/>
        <v>#REF!</v>
      </c>
      <c r="V107" s="134">
        <f t="shared" ref="V107:V116" si="50">IF(O108=1,S106*D$5*20/36000+S107*D$5*10/36000,IF(O108=0,IF(O107=0,0,S107*D$5*R$57/36000+S106*D$5*20/36000+S107*D$5*10/36000)))</f>
        <v>8.6401333333333508</v>
      </c>
      <c r="W107" s="134">
        <f t="shared" ref="W107:W116" si="51">IF(O108=1,S106*D$5*20/36000+S107*D$5*10/36000,IF(O108=0,IF(O107=0,0,S107*D$5*R$57/36000+S106*D$5*20/36000+S107*D$5*10/36000)))</f>
        <v>8.6401333333333508</v>
      </c>
      <c r="X107" s="134">
        <f t="shared" si="43"/>
        <v>33.318400000000004</v>
      </c>
      <c r="Y107" s="134">
        <f t="shared" si="20"/>
        <v>30</v>
      </c>
      <c r="Z107" s="134" t="e">
        <f>IF(N107&lt;=(#REF!+1),D$3,Z106-J106)</f>
        <v>#REF!</v>
      </c>
      <c r="AA107" s="134" t="e">
        <f t="shared" ref="AA107:AA116" si="52">IF(O108=1,Z106*D$5*20/36000+Z107*D$5*10/36000,IF(O108=0,IF(O107=0,0,Z107*D$5*R$57/36000+Z106*D$5*20/36000+Z107*D$5*10/36000)))</f>
        <v>#REF!</v>
      </c>
      <c r="AB107" s="134" t="e">
        <f t="shared" si="3"/>
        <v>#REF!</v>
      </c>
      <c r="AC107" s="134">
        <f t="shared" si="31"/>
        <v>18920.000000000036</v>
      </c>
      <c r="AD107" s="134"/>
      <c r="AE107" s="134">
        <f t="shared" si="40"/>
        <v>0</v>
      </c>
      <c r="AF107" s="134">
        <f t="shared" si="40"/>
        <v>0</v>
      </c>
      <c r="AG107" s="134">
        <f t="shared" si="44"/>
        <v>0</v>
      </c>
      <c r="AH107" s="134">
        <f t="shared" si="5"/>
        <v>0</v>
      </c>
      <c r="AI107" s="134" t="e">
        <f t="shared" si="45"/>
        <v>#REF!</v>
      </c>
      <c r="AJ107" s="134" t="e">
        <f t="shared" si="6"/>
        <v>#REF!</v>
      </c>
      <c r="AK107" s="134">
        <f t="shared" si="7"/>
        <v>594.64000000000124</v>
      </c>
      <c r="AL107" s="134">
        <f t="shared" ref="AL107:AL116" si="53">IF(O108=1,AK106*H$57*20/36000+AK107*H$57*10/36000,IF(O108=0,IF(O107=0,0,AK107*H$57*R$57/36000+AK106*H$57*20/36000+AK107*H$57*10/36000)))</f>
        <v>0</v>
      </c>
      <c r="AM107" s="134">
        <f t="shared" ref="AM107:AM116" si="54">IF(O108=1,AK106*H$57*20/36000+AK107*H$57*10/36000,IF(O108=0,IF(O107=0,0,AK107*H$57*R$57/36000+AK106*H$57*20/36000+AK107*H$57*10/36000)))</f>
        <v>0</v>
      </c>
      <c r="AN107" s="132">
        <f t="shared" si="46"/>
        <v>3</v>
      </c>
      <c r="AO107" s="132">
        <f t="shared" si="8"/>
        <v>3</v>
      </c>
      <c r="AP107" s="2">
        <f t="shared" si="47"/>
        <v>2027</v>
      </c>
      <c r="AQ107" s="2">
        <f t="shared" si="9"/>
        <v>2027</v>
      </c>
      <c r="AR107" s="2">
        <f t="shared" si="10"/>
        <v>0</v>
      </c>
      <c r="AS107" s="2">
        <f t="shared" si="11"/>
        <v>30</v>
      </c>
      <c r="AT107" s="2">
        <f t="shared" si="26"/>
        <v>20</v>
      </c>
      <c r="AU107" s="2">
        <f t="shared" si="27"/>
        <v>28</v>
      </c>
      <c r="AV107" s="2"/>
      <c r="AW107" s="2"/>
      <c r="AX107" s="2"/>
      <c r="AY107" s="2"/>
      <c r="AZ107" s="2"/>
      <c r="BA107" s="2" t="e">
        <f>IF(#REF!=0,0,IF(O107=1,1,0))</f>
        <v>#REF!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39</v>
      </c>
      <c r="B108" s="268">
        <f t="shared" si="41"/>
        <v>46497</v>
      </c>
      <c r="C108" s="268"/>
      <c r="D108" s="318">
        <f t="shared" si="49"/>
        <v>54.04</v>
      </c>
      <c r="E108" s="318"/>
      <c r="F108" s="318"/>
      <c r="G108" s="87">
        <f>IF(O108=0,IF(O107=1,SUM(G$70:G107)," "),IF(N$40=1,Q108,IF(N$40=2,R108," ")))</f>
        <v>7.8997853333333516</v>
      </c>
      <c r="H108" s="87">
        <v>0</v>
      </c>
      <c r="I108" s="87">
        <f t="shared" si="14"/>
        <v>61.939785333333347</v>
      </c>
      <c r="J108" s="87" t="e">
        <f>IF(O108=1,IF(O109=1,IF(N108&lt;=#REF!,U108,AX$71),D$3-AX$71*N$61+AX$71),0)</f>
        <v>#REF!</v>
      </c>
      <c r="K108" s="87" t="e">
        <f t="shared" si="0"/>
        <v>#REF!</v>
      </c>
      <c r="L108" s="87">
        <v>0</v>
      </c>
      <c r="M108" s="87" t="e">
        <f t="shared" si="15"/>
        <v>#REF!</v>
      </c>
      <c r="N108" s="2">
        <v>39</v>
      </c>
      <c r="O108" s="2">
        <f t="shared" si="30"/>
        <v>1</v>
      </c>
      <c r="P108" s="2">
        <f t="shared" si="38"/>
        <v>20</v>
      </c>
      <c r="Q108" s="134">
        <f t="shared" si="39"/>
        <v>7.8997853333333516</v>
      </c>
      <c r="R108" s="134">
        <f t="shared" si="39"/>
        <v>7.8997853333333516</v>
      </c>
      <c r="S108" s="134">
        <f t="shared" si="42"/>
        <v>540.60000000000127</v>
      </c>
      <c r="T108" s="134" t="e">
        <f>IF(N108&lt;=#REF!,D$3/(D$8-N107),D108)</f>
        <v>#REF!</v>
      </c>
      <c r="U108" s="134" t="e">
        <f t="shared" si="18"/>
        <v>#REF!</v>
      </c>
      <c r="V108" s="134">
        <f t="shared" si="50"/>
        <v>7.8997853333333516</v>
      </c>
      <c r="W108" s="134">
        <f t="shared" si="51"/>
        <v>7.8997853333333516</v>
      </c>
      <c r="X108" s="134">
        <f t="shared" si="43"/>
        <v>33.318400000000004</v>
      </c>
      <c r="Y108" s="134">
        <f t="shared" si="20"/>
        <v>30</v>
      </c>
      <c r="Z108" s="134" t="e">
        <f>IF(N108&lt;=(#REF!+1),D$3,Z107-J107)</f>
        <v>#REF!</v>
      </c>
      <c r="AA108" s="134" t="e">
        <f t="shared" si="52"/>
        <v>#REF!</v>
      </c>
      <c r="AB108" s="134" t="e">
        <f t="shared" si="3"/>
        <v>#REF!</v>
      </c>
      <c r="AC108" s="134">
        <f t="shared" si="31"/>
        <v>17298.800000000039</v>
      </c>
      <c r="AD108" s="134"/>
      <c r="AE108" s="134">
        <f t="shared" si="40"/>
        <v>0</v>
      </c>
      <c r="AF108" s="134">
        <f t="shared" si="40"/>
        <v>0</v>
      </c>
      <c r="AG108" s="134">
        <f t="shared" si="44"/>
        <v>0</v>
      </c>
      <c r="AH108" s="134">
        <f t="shared" si="5"/>
        <v>0</v>
      </c>
      <c r="AI108" s="134" t="e">
        <f t="shared" si="45"/>
        <v>#REF!</v>
      </c>
      <c r="AJ108" s="134" t="e">
        <f t="shared" si="6"/>
        <v>#REF!</v>
      </c>
      <c r="AK108" s="134">
        <f t="shared" si="7"/>
        <v>540.60000000000127</v>
      </c>
      <c r="AL108" s="134">
        <f t="shared" si="53"/>
        <v>0</v>
      </c>
      <c r="AM108" s="134">
        <f t="shared" si="54"/>
        <v>0</v>
      </c>
      <c r="AN108" s="132">
        <f t="shared" si="46"/>
        <v>4</v>
      </c>
      <c r="AO108" s="132">
        <f t="shared" si="8"/>
        <v>4</v>
      </c>
      <c r="AP108" s="2">
        <f t="shared" si="47"/>
        <v>2027</v>
      </c>
      <c r="AQ108" s="2">
        <f t="shared" si="9"/>
        <v>2027</v>
      </c>
      <c r="AR108" s="2">
        <f t="shared" si="10"/>
        <v>0</v>
      </c>
      <c r="AS108" s="2">
        <f t="shared" si="11"/>
        <v>30</v>
      </c>
      <c r="AT108" s="2">
        <f t="shared" si="26"/>
        <v>20</v>
      </c>
      <c r="AU108" s="2">
        <f t="shared" si="27"/>
        <v>30</v>
      </c>
      <c r="AV108" s="2"/>
      <c r="AW108" s="2"/>
      <c r="AX108" s="2"/>
      <c r="AY108" s="2"/>
      <c r="AZ108" s="2"/>
      <c r="BA108" s="2" t="e">
        <f>IF(#REF!=0,0,IF(O108=1,1,0))</f>
        <v>#REF!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customHeight="1">
      <c r="A109" s="4">
        <v>40</v>
      </c>
      <c r="B109" s="268">
        <f t="shared" si="41"/>
        <v>46527</v>
      </c>
      <c r="C109" s="268"/>
      <c r="D109" s="318">
        <f t="shared" si="49"/>
        <v>54.04</v>
      </c>
      <c r="E109" s="318"/>
      <c r="F109" s="318"/>
      <c r="G109" s="87">
        <f>IF(O109=0,IF(O108=1,SUM(G$70:G108)," "),IF(N$40=1,Q109,IF(N$40=2,R109," ")))</f>
        <v>7.1594373333333516</v>
      </c>
      <c r="H109" s="87">
        <v>0</v>
      </c>
      <c r="I109" s="87">
        <f t="shared" si="14"/>
        <v>61.19943733333335</v>
      </c>
      <c r="J109" s="87" t="e">
        <f>IF(O109=1,IF(O110=1,IF(N109&lt;=#REF!,U109,AX$71),D$3-AX$71*N$61+AX$71),0)</f>
        <v>#REF!</v>
      </c>
      <c r="K109" s="87" t="e">
        <f t="shared" si="0"/>
        <v>#REF!</v>
      </c>
      <c r="L109" s="87">
        <v>0</v>
      </c>
      <c r="M109" s="87" t="e">
        <f t="shared" si="15"/>
        <v>#REF!</v>
      </c>
      <c r="N109" s="2">
        <v>40</v>
      </c>
      <c r="O109" s="2">
        <f t="shared" si="30"/>
        <v>1</v>
      </c>
      <c r="P109" s="2">
        <f t="shared" si="38"/>
        <v>20</v>
      </c>
      <c r="Q109" s="134">
        <f t="shared" si="39"/>
        <v>7.1594373333333516</v>
      </c>
      <c r="R109" s="134">
        <f t="shared" si="39"/>
        <v>7.1594373333333516</v>
      </c>
      <c r="S109" s="134">
        <f t="shared" si="42"/>
        <v>486.56000000000125</v>
      </c>
      <c r="T109" s="134" t="e">
        <f>IF(N109&lt;=#REF!,D$3/(D$8-N108),D109)</f>
        <v>#REF!</v>
      </c>
      <c r="U109" s="134" t="e">
        <f t="shared" si="18"/>
        <v>#REF!</v>
      </c>
      <c r="V109" s="134">
        <f t="shared" si="50"/>
        <v>7.1594373333333516</v>
      </c>
      <c r="W109" s="134">
        <f t="shared" si="51"/>
        <v>7.1594373333333516</v>
      </c>
      <c r="X109" s="134">
        <f t="shared" si="43"/>
        <v>33.318400000000004</v>
      </c>
      <c r="Y109" s="134">
        <f t="shared" si="20"/>
        <v>30</v>
      </c>
      <c r="Z109" s="134" t="e">
        <f>IF(N109&lt;=(#REF!+1),D$3,Z108-J108)</f>
        <v>#REF!</v>
      </c>
      <c r="AA109" s="134" t="e">
        <f t="shared" si="52"/>
        <v>#REF!</v>
      </c>
      <c r="AB109" s="134" t="e">
        <f t="shared" si="3"/>
        <v>#REF!</v>
      </c>
      <c r="AC109" s="134">
        <f t="shared" si="31"/>
        <v>15677.600000000039</v>
      </c>
      <c r="AD109" s="134"/>
      <c r="AE109" s="134">
        <f t="shared" si="40"/>
        <v>0</v>
      </c>
      <c r="AF109" s="134">
        <f t="shared" si="40"/>
        <v>0</v>
      </c>
      <c r="AG109" s="134">
        <f t="shared" si="44"/>
        <v>0</v>
      </c>
      <c r="AH109" s="134">
        <f t="shared" si="5"/>
        <v>0</v>
      </c>
      <c r="AI109" s="134" t="e">
        <f t="shared" si="45"/>
        <v>#REF!</v>
      </c>
      <c r="AJ109" s="134" t="e">
        <f t="shared" si="6"/>
        <v>#REF!</v>
      </c>
      <c r="AK109" s="134">
        <f t="shared" si="7"/>
        <v>486.56000000000125</v>
      </c>
      <c r="AL109" s="134">
        <f t="shared" si="53"/>
        <v>0</v>
      </c>
      <c r="AM109" s="134">
        <f t="shared" si="54"/>
        <v>0</v>
      </c>
      <c r="AN109" s="132">
        <f t="shared" si="46"/>
        <v>5</v>
      </c>
      <c r="AO109" s="132">
        <f t="shared" si="8"/>
        <v>5</v>
      </c>
      <c r="AP109" s="2">
        <f t="shared" si="47"/>
        <v>2027</v>
      </c>
      <c r="AQ109" s="2">
        <f t="shared" si="9"/>
        <v>2027</v>
      </c>
      <c r="AR109" s="2">
        <f t="shared" si="10"/>
        <v>0</v>
      </c>
      <c r="AS109" s="2">
        <f t="shared" si="11"/>
        <v>30</v>
      </c>
      <c r="AT109" s="2">
        <f t="shared" si="26"/>
        <v>20</v>
      </c>
      <c r="AU109" s="2">
        <f t="shared" si="27"/>
        <v>30</v>
      </c>
      <c r="AV109" s="2"/>
      <c r="AW109" s="2"/>
      <c r="AX109" s="2"/>
      <c r="AY109" s="2"/>
      <c r="AZ109" s="2"/>
      <c r="BA109" s="2" t="e">
        <f>IF(#REF!=0,0,IF(O109=1,1,0))</f>
        <v>#REF!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customHeight="1">
      <c r="A110" s="4">
        <v>41</v>
      </c>
      <c r="B110" s="268">
        <f t="shared" si="41"/>
        <v>46558</v>
      </c>
      <c r="C110" s="268"/>
      <c r="D110" s="318">
        <f t="shared" si="49"/>
        <v>54.04</v>
      </c>
      <c r="E110" s="318"/>
      <c r="F110" s="318"/>
      <c r="G110" s="87">
        <f>IF(O110=0,IF(O109=1,SUM(G$70:G109)," "),IF(N$40=1,Q110,IF(N$40=2,R110," ")))</f>
        <v>6.4190893333333507</v>
      </c>
      <c r="H110" s="87">
        <v>0</v>
      </c>
      <c r="I110" s="87">
        <f t="shared" si="14"/>
        <v>60.459089333333353</v>
      </c>
      <c r="J110" s="87" t="e">
        <f>IF(O110=1,IF(O111=1,IF(N110&lt;=#REF!,U110,AX$71),D$3-AX$71*N$61+AX$71),0)</f>
        <v>#REF!</v>
      </c>
      <c r="K110" s="87" t="e">
        <f t="shared" si="0"/>
        <v>#REF!</v>
      </c>
      <c r="L110" s="87">
        <v>0</v>
      </c>
      <c r="M110" s="87" t="e">
        <f t="shared" si="15"/>
        <v>#REF!</v>
      </c>
      <c r="N110" s="2">
        <v>41</v>
      </c>
      <c r="O110" s="2">
        <f t="shared" si="30"/>
        <v>1</v>
      </c>
      <c r="P110" s="2">
        <f t="shared" si="38"/>
        <v>20</v>
      </c>
      <c r="Q110" s="134">
        <f t="shared" si="39"/>
        <v>6.4190893333333507</v>
      </c>
      <c r="R110" s="134">
        <f t="shared" si="39"/>
        <v>6.4190893333333507</v>
      </c>
      <c r="S110" s="134">
        <f t="shared" si="42"/>
        <v>432.52000000000123</v>
      </c>
      <c r="T110" s="134" t="e">
        <f>IF(N110&lt;=#REF!,D$3/(D$8-N109),D110)</f>
        <v>#REF!</v>
      </c>
      <c r="U110" s="134" t="e">
        <f t="shared" si="18"/>
        <v>#REF!</v>
      </c>
      <c r="V110" s="134">
        <f t="shared" si="50"/>
        <v>6.4190893333333507</v>
      </c>
      <c r="W110" s="134">
        <f t="shared" si="51"/>
        <v>6.4190893333333507</v>
      </c>
      <c r="X110" s="134">
        <f t="shared" si="43"/>
        <v>33.318400000000004</v>
      </c>
      <c r="Y110" s="134">
        <f t="shared" si="20"/>
        <v>30</v>
      </c>
      <c r="Z110" s="134" t="e">
        <f>IF(N110&lt;=(#REF!+1),D$3,Z109-J109)</f>
        <v>#REF!</v>
      </c>
      <c r="AA110" s="134" t="e">
        <f t="shared" si="52"/>
        <v>#REF!</v>
      </c>
      <c r="AB110" s="134" t="e">
        <f t="shared" si="3"/>
        <v>#REF!</v>
      </c>
      <c r="AC110" s="134">
        <f t="shared" si="31"/>
        <v>14056.400000000038</v>
      </c>
      <c r="AD110" s="134"/>
      <c r="AE110" s="134">
        <f t="shared" si="40"/>
        <v>0</v>
      </c>
      <c r="AF110" s="134">
        <f t="shared" si="40"/>
        <v>0</v>
      </c>
      <c r="AG110" s="134">
        <f t="shared" si="44"/>
        <v>0</v>
      </c>
      <c r="AH110" s="134">
        <f t="shared" si="5"/>
        <v>0</v>
      </c>
      <c r="AI110" s="134" t="e">
        <f t="shared" si="45"/>
        <v>#REF!</v>
      </c>
      <c r="AJ110" s="134" t="e">
        <f t="shared" si="6"/>
        <v>#REF!</v>
      </c>
      <c r="AK110" s="134">
        <f t="shared" si="7"/>
        <v>432.52000000000123</v>
      </c>
      <c r="AL110" s="134">
        <f t="shared" si="53"/>
        <v>0</v>
      </c>
      <c r="AM110" s="134">
        <f t="shared" si="54"/>
        <v>0</v>
      </c>
      <c r="AN110" s="132">
        <f t="shared" si="46"/>
        <v>6</v>
      </c>
      <c r="AO110" s="132">
        <f t="shared" si="8"/>
        <v>6</v>
      </c>
      <c r="AP110" s="2">
        <f t="shared" si="47"/>
        <v>2027</v>
      </c>
      <c r="AQ110" s="2">
        <f t="shared" si="9"/>
        <v>2027</v>
      </c>
      <c r="AR110" s="2">
        <f t="shared" si="10"/>
        <v>0</v>
      </c>
      <c r="AS110" s="2">
        <f t="shared" si="11"/>
        <v>30</v>
      </c>
      <c r="AT110" s="2">
        <f t="shared" si="26"/>
        <v>20</v>
      </c>
      <c r="AU110" s="2">
        <f t="shared" si="27"/>
        <v>30</v>
      </c>
      <c r="AV110" s="2"/>
      <c r="AW110" s="2"/>
      <c r="AX110" s="2"/>
      <c r="AY110" s="2"/>
      <c r="AZ110" s="2"/>
      <c r="BA110" s="2" t="e">
        <f>IF(#REF!=0,0,IF(O110=1,1,0))</f>
        <v>#REF!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customHeight="1">
      <c r="A111" s="4">
        <v>42</v>
      </c>
      <c r="B111" s="268">
        <f t="shared" si="41"/>
        <v>46588</v>
      </c>
      <c r="C111" s="268"/>
      <c r="D111" s="318">
        <f t="shared" si="49"/>
        <v>54.04</v>
      </c>
      <c r="E111" s="318"/>
      <c r="F111" s="318"/>
      <c r="G111" s="87">
        <f>IF(O111=0,IF(O110=1,SUM(G$70:G110)," "),IF(N$40=1,Q111,IF(N$40=2,R111," ")))</f>
        <v>5.6787413333333507</v>
      </c>
      <c r="H111" s="87">
        <v>0</v>
      </c>
      <c r="I111" s="87">
        <f t="shared" si="14"/>
        <v>59.718741333333348</v>
      </c>
      <c r="J111" s="87" t="e">
        <f>IF(O111=1,IF(O112=1,IF(N111&lt;=#REF!,U111,AX$71),D$3-AX$71*N$61+AX$71),0)</f>
        <v>#REF!</v>
      </c>
      <c r="K111" s="87" t="e">
        <f t="shared" si="0"/>
        <v>#REF!</v>
      </c>
      <c r="L111" s="87">
        <v>0</v>
      </c>
      <c r="M111" s="87" t="e">
        <f t="shared" si="15"/>
        <v>#REF!</v>
      </c>
      <c r="N111" s="2">
        <v>42</v>
      </c>
      <c r="O111" s="2">
        <f t="shared" si="30"/>
        <v>1</v>
      </c>
      <c r="P111" s="2">
        <f t="shared" si="38"/>
        <v>20</v>
      </c>
      <c r="Q111" s="134">
        <f t="shared" si="39"/>
        <v>5.6787413333333507</v>
      </c>
      <c r="R111" s="134">
        <f t="shared" si="39"/>
        <v>5.6787413333333507</v>
      </c>
      <c r="S111" s="134">
        <f t="shared" si="42"/>
        <v>378.48000000000121</v>
      </c>
      <c r="T111" s="134" t="e">
        <f>IF(N111&lt;=#REF!,D$3/(D$8-N110),D111)</f>
        <v>#REF!</v>
      </c>
      <c r="U111" s="134" t="e">
        <f t="shared" si="18"/>
        <v>#REF!</v>
      </c>
      <c r="V111" s="134">
        <f t="shared" si="50"/>
        <v>5.6787413333333507</v>
      </c>
      <c r="W111" s="134">
        <f t="shared" si="51"/>
        <v>5.6787413333333507</v>
      </c>
      <c r="X111" s="134">
        <f t="shared" si="43"/>
        <v>33.318400000000004</v>
      </c>
      <c r="Y111" s="134">
        <f t="shared" si="20"/>
        <v>30</v>
      </c>
      <c r="Z111" s="134" t="e">
        <f>IF(N111&lt;=(#REF!+1),D$3,Z110-J110)</f>
        <v>#REF!</v>
      </c>
      <c r="AA111" s="134" t="e">
        <f t="shared" si="52"/>
        <v>#REF!</v>
      </c>
      <c r="AB111" s="134" t="e">
        <f t="shared" si="3"/>
        <v>#REF!</v>
      </c>
      <c r="AC111" s="134">
        <f t="shared" si="31"/>
        <v>12435.200000000037</v>
      </c>
      <c r="AD111" s="134"/>
      <c r="AE111" s="134">
        <f t="shared" si="40"/>
        <v>0</v>
      </c>
      <c r="AF111" s="134">
        <f t="shared" si="40"/>
        <v>0</v>
      </c>
      <c r="AG111" s="134">
        <f t="shared" si="44"/>
        <v>0</v>
      </c>
      <c r="AH111" s="134">
        <f t="shared" si="5"/>
        <v>0</v>
      </c>
      <c r="AI111" s="134" t="e">
        <f t="shared" si="45"/>
        <v>#REF!</v>
      </c>
      <c r="AJ111" s="134" t="e">
        <f t="shared" si="6"/>
        <v>#REF!</v>
      </c>
      <c r="AK111" s="134">
        <f t="shared" si="7"/>
        <v>378.48000000000121</v>
      </c>
      <c r="AL111" s="134">
        <f t="shared" si="53"/>
        <v>0</v>
      </c>
      <c r="AM111" s="134">
        <f t="shared" si="54"/>
        <v>0</v>
      </c>
      <c r="AN111" s="132">
        <f t="shared" si="46"/>
        <v>7</v>
      </c>
      <c r="AO111" s="132">
        <f t="shared" si="8"/>
        <v>7</v>
      </c>
      <c r="AP111" s="2">
        <f t="shared" si="47"/>
        <v>2027</v>
      </c>
      <c r="AQ111" s="2">
        <f t="shared" si="9"/>
        <v>2027</v>
      </c>
      <c r="AR111" s="2">
        <f t="shared" si="10"/>
        <v>0</v>
      </c>
      <c r="AS111" s="2">
        <f t="shared" si="11"/>
        <v>30</v>
      </c>
      <c r="AT111" s="2">
        <f t="shared" si="26"/>
        <v>20</v>
      </c>
      <c r="AU111" s="2">
        <f t="shared" si="27"/>
        <v>30</v>
      </c>
      <c r="AV111" s="2"/>
      <c r="AW111" s="2"/>
      <c r="AX111" s="2"/>
      <c r="AY111" s="2"/>
      <c r="AZ111" s="2"/>
      <c r="BA111" s="2" t="e">
        <f>IF(#REF!=0,0,IF(O111=1,1,0))</f>
        <v>#REF!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customHeight="1">
      <c r="A112" s="4">
        <v>43</v>
      </c>
      <c r="B112" s="268">
        <f t="shared" si="41"/>
        <v>46619</v>
      </c>
      <c r="C112" s="268"/>
      <c r="D112" s="318">
        <f t="shared" si="49"/>
        <v>54.04</v>
      </c>
      <c r="E112" s="318"/>
      <c r="F112" s="318"/>
      <c r="G112" s="87">
        <f>IF(O112=0,IF(O111=1,SUM(G$70:G111)," "),IF(N$40=1,Q112,IF(N$40=2,R112," ")))</f>
        <v>4.9383933333333498</v>
      </c>
      <c r="H112" s="87">
        <v>0</v>
      </c>
      <c r="I112" s="87">
        <f t="shared" si="14"/>
        <v>58.978393333333351</v>
      </c>
      <c r="J112" s="87" t="e">
        <f>IF(O112=1,IF(O113=1,IF(N112&lt;=#REF!,U112,AX$71),D$3-AX$71*N$61+AX$71),0)</f>
        <v>#REF!</v>
      </c>
      <c r="K112" s="87" t="e">
        <f t="shared" si="0"/>
        <v>#REF!</v>
      </c>
      <c r="L112" s="87">
        <v>0</v>
      </c>
      <c r="M112" s="87" t="e">
        <f t="shared" si="15"/>
        <v>#REF!</v>
      </c>
      <c r="N112" s="2">
        <v>43</v>
      </c>
      <c r="O112" s="2">
        <f t="shared" si="30"/>
        <v>1</v>
      </c>
      <c r="P112" s="2">
        <f t="shared" si="38"/>
        <v>20</v>
      </c>
      <c r="Q112" s="134">
        <f t="shared" si="39"/>
        <v>4.9383933333333498</v>
      </c>
      <c r="R112" s="134">
        <f t="shared" si="39"/>
        <v>4.9383933333333498</v>
      </c>
      <c r="S112" s="134">
        <f t="shared" si="42"/>
        <v>324.44000000000119</v>
      </c>
      <c r="T112" s="134" t="e">
        <f>IF(N112&lt;=#REF!,D$3/(D$8-N111),D112)</f>
        <v>#REF!</v>
      </c>
      <c r="U112" s="134" t="e">
        <f t="shared" si="18"/>
        <v>#REF!</v>
      </c>
      <c r="V112" s="134">
        <f t="shared" si="50"/>
        <v>4.9383933333333498</v>
      </c>
      <c r="W112" s="134">
        <f t="shared" si="51"/>
        <v>4.9383933333333498</v>
      </c>
      <c r="X112" s="134">
        <f t="shared" si="43"/>
        <v>33.318400000000004</v>
      </c>
      <c r="Y112" s="134">
        <f t="shared" si="20"/>
        <v>30</v>
      </c>
      <c r="Z112" s="134" t="e">
        <f>IF(N112&lt;=(#REF!+1),D$3,Z111-J111)</f>
        <v>#REF!</v>
      </c>
      <c r="AA112" s="134" t="e">
        <f t="shared" si="52"/>
        <v>#REF!</v>
      </c>
      <c r="AB112" s="134" t="e">
        <f t="shared" si="3"/>
        <v>#REF!</v>
      </c>
      <c r="AC112" s="134">
        <f t="shared" si="31"/>
        <v>10814.000000000036</v>
      </c>
      <c r="AD112" s="134"/>
      <c r="AE112" s="134">
        <f t="shared" si="40"/>
        <v>0</v>
      </c>
      <c r="AF112" s="134">
        <f t="shared" si="40"/>
        <v>0</v>
      </c>
      <c r="AG112" s="134">
        <f t="shared" si="44"/>
        <v>0</v>
      </c>
      <c r="AH112" s="134">
        <f t="shared" si="5"/>
        <v>0</v>
      </c>
      <c r="AI112" s="134" t="e">
        <f t="shared" si="45"/>
        <v>#REF!</v>
      </c>
      <c r="AJ112" s="134" t="e">
        <f t="shared" si="6"/>
        <v>#REF!</v>
      </c>
      <c r="AK112" s="134">
        <f t="shared" si="7"/>
        <v>324.44000000000119</v>
      </c>
      <c r="AL112" s="134">
        <f t="shared" si="53"/>
        <v>0</v>
      </c>
      <c r="AM112" s="134">
        <f t="shared" si="54"/>
        <v>0</v>
      </c>
      <c r="AN112" s="132">
        <f t="shared" si="46"/>
        <v>8</v>
      </c>
      <c r="AO112" s="132">
        <f t="shared" si="8"/>
        <v>8</v>
      </c>
      <c r="AP112" s="2">
        <f t="shared" si="47"/>
        <v>2027</v>
      </c>
      <c r="AQ112" s="2">
        <f t="shared" si="9"/>
        <v>2027</v>
      </c>
      <c r="AR112" s="2">
        <f t="shared" si="10"/>
        <v>0</v>
      </c>
      <c r="AS112" s="2">
        <f t="shared" si="11"/>
        <v>30</v>
      </c>
      <c r="AT112" s="2">
        <f t="shared" si="26"/>
        <v>20</v>
      </c>
      <c r="AU112" s="2">
        <f t="shared" si="27"/>
        <v>30</v>
      </c>
      <c r="AV112" s="2"/>
      <c r="AW112" s="2"/>
      <c r="AX112" s="2"/>
      <c r="AY112" s="2"/>
      <c r="AZ112" s="2"/>
      <c r="BA112" s="2" t="e">
        <f>IF(#REF!=0,0,IF(O112=1,1,0))</f>
        <v>#REF!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customHeight="1">
      <c r="A113" s="4">
        <v>44</v>
      </c>
      <c r="B113" s="268">
        <f t="shared" si="41"/>
        <v>46650</v>
      </c>
      <c r="C113" s="268"/>
      <c r="D113" s="318">
        <f t="shared" si="49"/>
        <v>54.04</v>
      </c>
      <c r="E113" s="318"/>
      <c r="F113" s="318"/>
      <c r="G113" s="87">
        <f>IF(O113=0,IF(O112=1,SUM(G$70:G112)," "),IF(N$40=1,Q113,IF(N$40=2,R113," ")))</f>
        <v>4.1980453333333498</v>
      </c>
      <c r="H113" s="87">
        <v>0</v>
      </c>
      <c r="I113" s="87">
        <f t="shared" si="14"/>
        <v>58.238045333333346</v>
      </c>
      <c r="J113" s="87" t="e">
        <f>IF(O113=1,IF(O114=1,IF(N113&lt;=#REF!,U113,AX$71),D$3-AX$71*N$61+AX$71),0)</f>
        <v>#REF!</v>
      </c>
      <c r="K113" s="87" t="e">
        <f t="shared" si="0"/>
        <v>#REF!</v>
      </c>
      <c r="L113" s="87">
        <v>0</v>
      </c>
      <c r="M113" s="87" t="e">
        <f t="shared" si="15"/>
        <v>#REF!</v>
      </c>
      <c r="N113" s="2">
        <v>44</v>
      </c>
      <c r="O113" s="2">
        <f t="shared" si="30"/>
        <v>1</v>
      </c>
      <c r="P113" s="2">
        <f t="shared" si="38"/>
        <v>20</v>
      </c>
      <c r="Q113" s="134">
        <f t="shared" si="39"/>
        <v>4.1980453333333498</v>
      </c>
      <c r="R113" s="134">
        <f t="shared" si="39"/>
        <v>4.1980453333333498</v>
      </c>
      <c r="S113" s="134">
        <f t="shared" si="42"/>
        <v>270.40000000000117</v>
      </c>
      <c r="T113" s="134" t="e">
        <f>IF(N113&lt;=#REF!,D$3/(D$8-N112),D113)</f>
        <v>#REF!</v>
      </c>
      <c r="U113" s="134" t="e">
        <f t="shared" si="18"/>
        <v>#REF!</v>
      </c>
      <c r="V113" s="134">
        <f t="shared" si="50"/>
        <v>4.1980453333333498</v>
      </c>
      <c r="W113" s="134">
        <f t="shared" si="51"/>
        <v>4.1980453333333498</v>
      </c>
      <c r="X113" s="134">
        <f t="shared" si="43"/>
        <v>33.318400000000004</v>
      </c>
      <c r="Y113" s="134">
        <f t="shared" si="20"/>
        <v>30</v>
      </c>
      <c r="Z113" s="134" t="e">
        <f>IF(N113&lt;=(#REF!+1),D$3,Z112-J112)</f>
        <v>#REF!</v>
      </c>
      <c r="AA113" s="134" t="e">
        <f t="shared" si="52"/>
        <v>#REF!</v>
      </c>
      <c r="AB113" s="134" t="e">
        <f t="shared" si="3"/>
        <v>#REF!</v>
      </c>
      <c r="AC113" s="134">
        <f t="shared" si="31"/>
        <v>9192.8000000000357</v>
      </c>
      <c r="AD113" s="134"/>
      <c r="AE113" s="134">
        <f t="shared" si="40"/>
        <v>0</v>
      </c>
      <c r="AF113" s="134">
        <f t="shared" si="40"/>
        <v>0</v>
      </c>
      <c r="AG113" s="134">
        <f t="shared" si="44"/>
        <v>0</v>
      </c>
      <c r="AH113" s="134">
        <f t="shared" si="5"/>
        <v>0</v>
      </c>
      <c r="AI113" s="134" t="e">
        <f t="shared" si="45"/>
        <v>#REF!</v>
      </c>
      <c r="AJ113" s="134" t="e">
        <f t="shared" si="6"/>
        <v>#REF!</v>
      </c>
      <c r="AK113" s="134">
        <f t="shared" si="7"/>
        <v>270.40000000000117</v>
      </c>
      <c r="AL113" s="134">
        <f t="shared" si="53"/>
        <v>0</v>
      </c>
      <c r="AM113" s="134">
        <f t="shared" si="54"/>
        <v>0</v>
      </c>
      <c r="AN113" s="132">
        <f t="shared" si="46"/>
        <v>9</v>
      </c>
      <c r="AO113" s="132">
        <f t="shared" si="8"/>
        <v>9</v>
      </c>
      <c r="AP113" s="2">
        <f t="shared" si="47"/>
        <v>2027</v>
      </c>
      <c r="AQ113" s="2">
        <f t="shared" si="9"/>
        <v>2027</v>
      </c>
      <c r="AR113" s="2">
        <f t="shared" si="10"/>
        <v>0</v>
      </c>
      <c r="AS113" s="2">
        <f t="shared" si="11"/>
        <v>30</v>
      </c>
      <c r="AT113" s="2">
        <f t="shared" si="26"/>
        <v>20</v>
      </c>
      <c r="AU113" s="2">
        <f t="shared" si="27"/>
        <v>30</v>
      </c>
      <c r="AV113" s="2"/>
      <c r="AW113" s="2"/>
      <c r="AX113" s="2"/>
      <c r="AY113" s="2"/>
      <c r="AZ113" s="2"/>
      <c r="BA113" s="2" t="e">
        <f>IF(#REF!=0,0,IF(O113=1,1,0))</f>
        <v>#REF!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customHeight="1">
      <c r="A114" s="4">
        <v>45</v>
      </c>
      <c r="B114" s="268">
        <f t="shared" si="41"/>
        <v>46680</v>
      </c>
      <c r="C114" s="268"/>
      <c r="D114" s="318">
        <f t="shared" si="49"/>
        <v>54.04</v>
      </c>
      <c r="E114" s="318"/>
      <c r="F114" s="318"/>
      <c r="G114" s="87">
        <f>IF(O114=0,IF(O113=1,SUM(G$70:G113)," "),IF(N$40=1,Q114,IF(N$40=2,R114," ")))</f>
        <v>3.4576973333333494</v>
      </c>
      <c r="H114" s="87">
        <v>0</v>
      </c>
      <c r="I114" s="87">
        <f t="shared" si="14"/>
        <v>57.497697333333349</v>
      </c>
      <c r="J114" s="87" t="e">
        <f>IF(O114=1,IF(O115=1,IF(N114&lt;=#REF!,U114,AX$71),D$3-AX$71*N$61+AX$71),0)</f>
        <v>#REF!</v>
      </c>
      <c r="K114" s="87" t="e">
        <f t="shared" si="0"/>
        <v>#REF!</v>
      </c>
      <c r="L114" s="87">
        <v>0</v>
      </c>
      <c r="M114" s="87" t="e">
        <f t="shared" si="15"/>
        <v>#REF!</v>
      </c>
      <c r="N114" s="2">
        <v>45</v>
      </c>
      <c r="O114" s="2">
        <f t="shared" si="30"/>
        <v>1</v>
      </c>
      <c r="P114" s="2">
        <f t="shared" si="38"/>
        <v>20</v>
      </c>
      <c r="Q114" s="134">
        <f t="shared" si="39"/>
        <v>3.4576973333333494</v>
      </c>
      <c r="R114" s="134">
        <f t="shared" si="39"/>
        <v>3.4576973333333494</v>
      </c>
      <c r="S114" s="134">
        <f t="shared" si="42"/>
        <v>216.36000000000118</v>
      </c>
      <c r="T114" s="134" t="e">
        <f>IF(N114&lt;=#REF!,D$3/(D$8-N113),D114)</f>
        <v>#REF!</v>
      </c>
      <c r="U114" s="134" t="e">
        <f t="shared" si="18"/>
        <v>#REF!</v>
      </c>
      <c r="V114" s="134">
        <f t="shared" si="50"/>
        <v>3.4576973333333494</v>
      </c>
      <c r="W114" s="134">
        <f t="shared" si="51"/>
        <v>3.4576973333333494</v>
      </c>
      <c r="X114" s="134">
        <f t="shared" si="43"/>
        <v>33.318400000000004</v>
      </c>
      <c r="Y114" s="134">
        <f t="shared" si="20"/>
        <v>30</v>
      </c>
      <c r="Z114" s="134" t="e">
        <f>IF(N114&lt;=(#REF!+1),D$3,Z113-J113)</f>
        <v>#REF!</v>
      </c>
      <c r="AA114" s="134" t="e">
        <f t="shared" si="52"/>
        <v>#REF!</v>
      </c>
      <c r="AB114" s="134" t="e">
        <f t="shared" si="3"/>
        <v>#REF!</v>
      </c>
      <c r="AC114" s="134">
        <f t="shared" si="31"/>
        <v>7571.6000000000349</v>
      </c>
      <c r="AD114" s="134"/>
      <c r="AE114" s="134">
        <f t="shared" si="40"/>
        <v>0</v>
      </c>
      <c r="AF114" s="134">
        <f t="shared" si="40"/>
        <v>0</v>
      </c>
      <c r="AG114" s="134">
        <f t="shared" si="44"/>
        <v>0</v>
      </c>
      <c r="AH114" s="134">
        <f t="shared" si="5"/>
        <v>0</v>
      </c>
      <c r="AI114" s="134" t="e">
        <f t="shared" si="45"/>
        <v>#REF!</v>
      </c>
      <c r="AJ114" s="134" t="e">
        <f t="shared" si="6"/>
        <v>#REF!</v>
      </c>
      <c r="AK114" s="134">
        <f t="shared" si="7"/>
        <v>216.36000000000118</v>
      </c>
      <c r="AL114" s="134">
        <f t="shared" si="53"/>
        <v>0</v>
      </c>
      <c r="AM114" s="134">
        <f t="shared" si="54"/>
        <v>0</v>
      </c>
      <c r="AN114" s="132">
        <f t="shared" si="46"/>
        <v>10</v>
      </c>
      <c r="AO114" s="132">
        <f t="shared" si="8"/>
        <v>10</v>
      </c>
      <c r="AP114" s="2">
        <f t="shared" si="47"/>
        <v>2027</v>
      </c>
      <c r="AQ114" s="2">
        <f t="shared" si="9"/>
        <v>2027</v>
      </c>
      <c r="AR114" s="2">
        <f t="shared" si="10"/>
        <v>0</v>
      </c>
      <c r="AS114" s="2">
        <f t="shared" si="11"/>
        <v>30</v>
      </c>
      <c r="AT114" s="2">
        <f t="shared" si="26"/>
        <v>20</v>
      </c>
      <c r="AU114" s="2">
        <f t="shared" si="27"/>
        <v>30</v>
      </c>
      <c r="AV114" s="2"/>
      <c r="AW114" s="2"/>
      <c r="AX114" s="2"/>
      <c r="AY114" s="2"/>
      <c r="AZ114" s="2"/>
      <c r="BA114" s="2" t="e">
        <f>IF(#REF!=0,0,IF(O114=1,1,0))</f>
        <v>#REF!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customHeight="1">
      <c r="A115" s="4">
        <v>46</v>
      </c>
      <c r="B115" s="268">
        <f t="shared" si="41"/>
        <v>46711</v>
      </c>
      <c r="C115" s="268"/>
      <c r="D115" s="318">
        <f t="shared" si="49"/>
        <v>54.04</v>
      </c>
      <c r="E115" s="318"/>
      <c r="F115" s="318"/>
      <c r="G115" s="87">
        <f>IF(O115=0,IF(O114=1,SUM(G$70:G114)," "),IF(N$40=1,Q115,IF(N$40=2,R115," ")))</f>
        <v>2.7173493333333498</v>
      </c>
      <c r="H115" s="87">
        <v>0</v>
      </c>
      <c r="I115" s="87">
        <f t="shared" si="14"/>
        <v>56.757349333333352</v>
      </c>
      <c r="J115" s="87" t="e">
        <f>IF(O115=1,IF(O116=1,IF(N115&lt;=#REF!,U115,AX$71),D$3-AX$71*N$61+AX$71),0)</f>
        <v>#REF!</v>
      </c>
      <c r="K115" s="87" t="e">
        <f t="shared" si="0"/>
        <v>#REF!</v>
      </c>
      <c r="L115" s="87">
        <v>0</v>
      </c>
      <c r="M115" s="87" t="e">
        <f t="shared" si="15"/>
        <v>#REF!</v>
      </c>
      <c r="N115" s="2">
        <v>46</v>
      </c>
      <c r="O115" s="2">
        <f t="shared" si="30"/>
        <v>1</v>
      </c>
      <c r="P115" s="2">
        <f t="shared" si="38"/>
        <v>20</v>
      </c>
      <c r="Q115" s="134">
        <f t="shared" si="39"/>
        <v>2.7173493333333498</v>
      </c>
      <c r="R115" s="134">
        <f t="shared" si="39"/>
        <v>2.7173493333333498</v>
      </c>
      <c r="S115" s="134">
        <f t="shared" si="42"/>
        <v>162.32000000000119</v>
      </c>
      <c r="T115" s="134" t="e">
        <f>IF(N115&lt;=#REF!,D$3/(D$8-N114),D115)</f>
        <v>#REF!</v>
      </c>
      <c r="U115" s="134" t="e">
        <f t="shared" si="18"/>
        <v>#REF!</v>
      </c>
      <c r="V115" s="134">
        <f t="shared" si="50"/>
        <v>2.7173493333333498</v>
      </c>
      <c r="W115" s="134">
        <f t="shared" si="51"/>
        <v>2.7173493333333498</v>
      </c>
      <c r="X115" s="134">
        <f t="shared" si="43"/>
        <v>33.318400000000004</v>
      </c>
      <c r="Y115" s="134">
        <f t="shared" si="20"/>
        <v>30</v>
      </c>
      <c r="Z115" s="134" t="e">
        <f>IF(N115&lt;=(#REF!+1),D$3,Z114-J114)</f>
        <v>#REF!</v>
      </c>
      <c r="AA115" s="134" t="e">
        <f t="shared" si="52"/>
        <v>#REF!</v>
      </c>
      <c r="AB115" s="134" t="e">
        <f t="shared" si="3"/>
        <v>#REF!</v>
      </c>
      <c r="AC115" s="134">
        <f t="shared" si="31"/>
        <v>5950.4000000000351</v>
      </c>
      <c r="AD115" s="134"/>
      <c r="AE115" s="134">
        <f t="shared" si="40"/>
        <v>0</v>
      </c>
      <c r="AF115" s="134">
        <f t="shared" si="40"/>
        <v>0</v>
      </c>
      <c r="AG115" s="134">
        <f t="shared" si="44"/>
        <v>0</v>
      </c>
      <c r="AH115" s="134">
        <f t="shared" si="5"/>
        <v>0</v>
      </c>
      <c r="AI115" s="134" t="e">
        <f t="shared" si="45"/>
        <v>#REF!</v>
      </c>
      <c r="AJ115" s="134" t="e">
        <f t="shared" si="6"/>
        <v>#REF!</v>
      </c>
      <c r="AK115" s="134">
        <f t="shared" si="7"/>
        <v>162.32000000000119</v>
      </c>
      <c r="AL115" s="134">
        <f t="shared" si="53"/>
        <v>0</v>
      </c>
      <c r="AM115" s="134">
        <f t="shared" si="54"/>
        <v>0</v>
      </c>
      <c r="AN115" s="132">
        <f t="shared" si="46"/>
        <v>11</v>
      </c>
      <c r="AO115" s="132">
        <f t="shared" si="8"/>
        <v>11</v>
      </c>
      <c r="AP115" s="2">
        <f t="shared" si="47"/>
        <v>2027</v>
      </c>
      <c r="AQ115" s="2">
        <f t="shared" si="9"/>
        <v>2027</v>
      </c>
      <c r="AR115" s="2">
        <f t="shared" si="10"/>
        <v>0</v>
      </c>
      <c r="AS115" s="2">
        <f t="shared" si="11"/>
        <v>30</v>
      </c>
      <c r="AT115" s="2">
        <f t="shared" si="26"/>
        <v>20</v>
      </c>
      <c r="AU115" s="2">
        <f t="shared" si="27"/>
        <v>30</v>
      </c>
      <c r="AV115" s="2"/>
      <c r="AW115" s="2"/>
      <c r="AX115" s="2"/>
      <c r="AY115" s="2"/>
      <c r="AZ115" s="2"/>
      <c r="BA115" s="2" t="e">
        <f>IF(#REF!=0,0,IF(O115=1,1,0))</f>
        <v>#REF!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customHeight="1">
      <c r="A116" s="4">
        <v>47</v>
      </c>
      <c r="B116" s="268">
        <f t="shared" si="41"/>
        <v>46741</v>
      </c>
      <c r="C116" s="268"/>
      <c r="D116" s="318">
        <f t="shared" si="49"/>
        <v>54.04</v>
      </c>
      <c r="E116" s="318"/>
      <c r="F116" s="318"/>
      <c r="G116" s="87">
        <f>IF(O116=0,IF(O115=1,SUM(G$70:G115)," "),IF(N$40=1,Q116,IF(N$40=2,R116," ")))</f>
        <v>1.9770013333333498</v>
      </c>
      <c r="H116" s="87">
        <v>0</v>
      </c>
      <c r="I116" s="87">
        <f t="shared" si="14"/>
        <v>56.017001333333347</v>
      </c>
      <c r="J116" s="87" t="e">
        <f>IF(O116=1,IF(O117=1,IF(N116&lt;=#REF!,U116,AX$71),D$3-AX$71*N$61+AX$71),0)</f>
        <v>#REF!</v>
      </c>
      <c r="K116" s="87" t="e">
        <f t="shared" si="0"/>
        <v>#REF!</v>
      </c>
      <c r="L116" s="87">
        <v>0</v>
      </c>
      <c r="M116" s="87" t="e">
        <f t="shared" si="15"/>
        <v>#REF!</v>
      </c>
      <c r="N116" s="2">
        <v>47</v>
      </c>
      <c r="O116" s="2">
        <f t="shared" si="30"/>
        <v>1</v>
      </c>
      <c r="P116" s="2">
        <f t="shared" si="38"/>
        <v>20</v>
      </c>
      <c r="Q116" s="134">
        <f t="shared" si="39"/>
        <v>1.9770013333333498</v>
      </c>
      <c r="R116" s="134">
        <f t="shared" si="39"/>
        <v>1.9770013333333498</v>
      </c>
      <c r="S116" s="134">
        <f t="shared" si="42"/>
        <v>108.28000000000119</v>
      </c>
      <c r="T116" s="134" t="e">
        <f>IF(N116&lt;=#REF!,D$3/(D$8-N115),D116)</f>
        <v>#REF!</v>
      </c>
      <c r="U116" s="134" t="e">
        <f t="shared" si="18"/>
        <v>#REF!</v>
      </c>
      <c r="V116" s="134">
        <f t="shared" si="50"/>
        <v>1.9770013333333498</v>
      </c>
      <c r="W116" s="134">
        <f t="shared" si="51"/>
        <v>1.9770013333333498</v>
      </c>
      <c r="X116" s="134">
        <f t="shared" si="43"/>
        <v>33.318400000000004</v>
      </c>
      <c r="Y116" s="134">
        <f t="shared" si="20"/>
        <v>30</v>
      </c>
      <c r="Z116" s="134" t="e">
        <f>IF(N116&lt;=(#REF!+1),D$3,Z115-J115)</f>
        <v>#REF!</v>
      </c>
      <c r="AA116" s="134" t="e">
        <f t="shared" si="52"/>
        <v>#REF!</v>
      </c>
      <c r="AB116" s="134" t="e">
        <f t="shared" si="3"/>
        <v>#REF!</v>
      </c>
      <c r="AC116" s="134">
        <f t="shared" si="31"/>
        <v>4329.2000000000353</v>
      </c>
      <c r="AD116" s="134"/>
      <c r="AE116" s="134">
        <f t="shared" si="40"/>
        <v>0</v>
      </c>
      <c r="AF116" s="134">
        <f t="shared" si="40"/>
        <v>0</v>
      </c>
      <c r="AG116" s="134">
        <f t="shared" si="44"/>
        <v>0</v>
      </c>
      <c r="AH116" s="134">
        <f t="shared" si="5"/>
        <v>0</v>
      </c>
      <c r="AI116" s="134" t="e">
        <f t="shared" si="45"/>
        <v>#REF!</v>
      </c>
      <c r="AJ116" s="134" t="e">
        <f t="shared" si="6"/>
        <v>#REF!</v>
      </c>
      <c r="AK116" s="134">
        <f t="shared" si="7"/>
        <v>108.28000000000119</v>
      </c>
      <c r="AL116" s="134">
        <f t="shared" si="53"/>
        <v>0</v>
      </c>
      <c r="AM116" s="134">
        <f t="shared" si="54"/>
        <v>0</v>
      </c>
      <c r="AN116" s="132">
        <f t="shared" si="46"/>
        <v>12</v>
      </c>
      <c r="AO116" s="132">
        <f t="shared" si="8"/>
        <v>12</v>
      </c>
      <c r="AP116" s="2">
        <f t="shared" si="47"/>
        <v>2027</v>
      </c>
      <c r="AQ116" s="2">
        <f t="shared" si="9"/>
        <v>2027</v>
      </c>
      <c r="AR116" s="2">
        <f t="shared" si="10"/>
        <v>0</v>
      </c>
      <c r="AS116" s="2">
        <f t="shared" si="11"/>
        <v>30</v>
      </c>
      <c r="AT116" s="2">
        <f t="shared" si="26"/>
        <v>20</v>
      </c>
      <c r="AU116" s="2">
        <f t="shared" si="27"/>
        <v>30</v>
      </c>
      <c r="AV116" s="2"/>
      <c r="AW116" s="2"/>
      <c r="AX116" s="2"/>
      <c r="AY116" s="2"/>
      <c r="AZ116" s="2"/>
      <c r="BA116" s="2" t="e">
        <f>IF(#REF!=0,0,IF(O116=1,1,0))</f>
        <v>#REF!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customHeight="1">
      <c r="A117" s="4">
        <v>48</v>
      </c>
      <c r="B117" s="268">
        <f t="shared" ref="B117:B118" si="55">IF(O117=0,IF(O116=1,"ИТОГО"," "),IF(A$59=D$8+1,IF(N117=A$59,IF(MONTH(B116)=2,IF(DAY(D$9)&gt;29,DATE(YEAR(B116),MONTH(B116),AU117),DATE(YEAR(B116),MONTH(B116),P117)),DATE(YEAR(B116),MONTH(B116),P117)),DATE(YEAR(B116),MONTH(B116)+1,P117)),DATE(YEAR(B116),MONTH(B116)+1,P117)))</f>
        <v>46752</v>
      </c>
      <c r="C117" s="268"/>
      <c r="D117" s="318">
        <f t="shared" si="49"/>
        <v>54.04</v>
      </c>
      <c r="E117" s="318"/>
      <c r="F117" s="318"/>
      <c r="G117" s="87">
        <f>IF(O117=0,IF(O116=1,SUM(G$70:G116)," "),IF(N$40=1,Q117,IF(N$40=2,R117," ")))</f>
        <v>1.2366533333333498</v>
      </c>
      <c r="H117" s="87">
        <v>0</v>
      </c>
      <c r="I117" s="87">
        <f t="shared" si="14"/>
        <v>55.27665333333335</v>
      </c>
      <c r="J117" s="87" t="e">
        <f>IF(O117=1,IF(O118=1,IF(N117&lt;=#REF!,U117,AX$71),D$3-AX$71*N$61+AX$71),0)</f>
        <v>#REF!</v>
      </c>
      <c r="K117" s="87" t="e">
        <f t="shared" si="0"/>
        <v>#REF!</v>
      </c>
      <c r="L117" s="87">
        <v>0</v>
      </c>
      <c r="M117" s="87" t="e">
        <f t="shared" si="15"/>
        <v>#REF!</v>
      </c>
      <c r="N117" s="2">
        <v>48</v>
      </c>
      <c r="O117" s="2">
        <f t="shared" si="30"/>
        <v>1</v>
      </c>
      <c r="P117" s="2">
        <f t="shared" si="38"/>
        <v>0</v>
      </c>
      <c r="Q117" s="134">
        <f t="shared" si="39"/>
        <v>1.2366533333333498</v>
      </c>
      <c r="R117" s="134">
        <f t="shared" si="39"/>
        <v>1.2366533333333498</v>
      </c>
      <c r="S117" s="134">
        <f t="shared" si="42"/>
        <v>54.240000000001196</v>
      </c>
      <c r="T117" s="134" t="e">
        <f>IF(N117&lt;=#REF!,D$3/(D$8-N116),D117)</f>
        <v>#REF!</v>
      </c>
      <c r="U117" s="134" t="e">
        <f t="shared" si="18"/>
        <v>#REF!</v>
      </c>
      <c r="V117" s="134">
        <f>IF(O118=1,S116*D$5*20/36000+S117*D$5*10/36000,IF(O118=0,IF(O117=0,0,S117*D$5*R$57/36000+S116*D$5*20/36000+S117*D$5*10/36000)))</f>
        <v>1.2366533333333498</v>
      </c>
      <c r="W117" s="134">
        <f>IF(O118=1,S116*D$5*20/36000+S117*D$5*10/36000,IF(O118=0,IF(O117=0,0,S117*D$5*R$57/36000+S116*D$5*20/36000+S117*D$5*10/36000)))</f>
        <v>1.2366533333333498</v>
      </c>
      <c r="X117" s="134">
        <f t="shared" si="43"/>
        <v>33.318400000000004</v>
      </c>
      <c r="Y117" s="134">
        <f t="shared" si="20"/>
        <v>30</v>
      </c>
      <c r="Z117" s="134" t="e">
        <f>IF(N117&lt;=(#REF!+1),D$3,Z116-J116)</f>
        <v>#REF!</v>
      </c>
      <c r="AA117" s="134" t="e">
        <f>IF(O118=1,Z116*D$5*20/36000+Z117*D$5*10/36000,IF(O118=0,IF(O117=0,0,Z117*D$5*R$57/36000+Z116*D$5*20/36000+Z117*D$5*10/36000)))</f>
        <v>#REF!</v>
      </c>
      <c r="AB117" s="134" t="e">
        <f t="shared" si="3"/>
        <v>#REF!</v>
      </c>
      <c r="AC117" s="134">
        <f>IF(S118=0,S117*R$57,(S116*20+S117*10))</f>
        <v>0</v>
      </c>
      <c r="AD117" s="134"/>
      <c r="AE117" s="134">
        <f t="shared" si="40"/>
        <v>0</v>
      </c>
      <c r="AF117" s="134">
        <f t="shared" si="40"/>
        <v>0</v>
      </c>
      <c r="AG117" s="134">
        <f t="shared" si="44"/>
        <v>0</v>
      </c>
      <c r="AH117" s="134">
        <f t="shared" si="5"/>
        <v>0</v>
      </c>
      <c r="AI117" s="134" t="e">
        <f>IF(O118=1,Z116*H$57*20/36000+Z117*H$57*10/36000,IF(O118=0,IF(O117=0,0,Z117*H$57*R$57/36000+Z116*H$57*20/36000+Z117*H$57*10/36000)))</f>
        <v>#REF!</v>
      </c>
      <c r="AJ117" s="134" t="e">
        <f t="shared" si="6"/>
        <v>#REF!</v>
      </c>
      <c r="AK117" s="134">
        <f t="shared" si="7"/>
        <v>54.240000000001196</v>
      </c>
      <c r="AL117" s="134">
        <f>IF(O118=1,AK116*H$57*20/36000+AK117*H$57*10/36000,IF(O118=0,IF(O117=0,0,AK117*H$57*R$57/36000+AK116*H$57*20/36000+AK117*H$57*10/36000)))</f>
        <v>0</v>
      </c>
      <c r="AM117" s="134">
        <f>IF(O118=1,AK116*H$57*20/36000+AK117*H$57*10/36000,IF(O118=0,IF(O117=0,0,AK117*H$57*R$57/36000+AK116*H$57*20/36000+AK117*H$57*10/36000)))</f>
        <v>0</v>
      </c>
      <c r="AN117" s="132">
        <f t="shared" si="46"/>
        <v>13</v>
      </c>
      <c r="AO117" s="132">
        <f t="shared" si="8"/>
        <v>1</v>
      </c>
      <c r="AP117" s="2">
        <f t="shared" si="47"/>
        <v>2027</v>
      </c>
      <c r="AQ117" s="2">
        <f t="shared" si="9"/>
        <v>2028</v>
      </c>
      <c r="AR117" s="2">
        <f t="shared" si="10"/>
        <v>0</v>
      </c>
      <c r="AS117" s="2">
        <f t="shared" si="11"/>
        <v>30</v>
      </c>
      <c r="AT117" s="2">
        <f t="shared" si="26"/>
        <v>20</v>
      </c>
      <c r="AU117" s="2">
        <f t="shared" si="27"/>
        <v>30</v>
      </c>
      <c r="AV117" s="2"/>
      <c r="AW117" s="2"/>
      <c r="AX117" s="2"/>
      <c r="AY117" s="2"/>
      <c r="AZ117" s="2"/>
      <c r="BA117" s="2" t="e">
        <f>IF(#REF!=0,0,IF(O117=1,1,0))</f>
        <v>#REF!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4.25">
      <c r="A118" s="4">
        <v>49</v>
      </c>
      <c r="B118" s="268" t="str">
        <f t="shared" si="55"/>
        <v>ИТОГО</v>
      </c>
      <c r="C118" s="268"/>
      <c r="D118" s="318">
        <f t="shared" si="49"/>
        <v>0</v>
      </c>
      <c r="E118" s="318"/>
      <c r="F118" s="318"/>
      <c r="G118" s="87">
        <f>IF(O118=0,IF(O117=1,SUM(G$70:G117)," "),IF(N$40=1,Q118,IF(N$40=2,R118," ")))</f>
        <v>886.94494133333387</v>
      </c>
      <c r="H118" s="87">
        <v>0</v>
      </c>
      <c r="I118" s="87">
        <f t="shared" si="14"/>
        <v>886.94494133333387</v>
      </c>
      <c r="J118" s="87">
        <f>IF(O118=1,IF(O119=1,IF(N118&lt;=#REF!,U118,AX$71),D$3-AX$71*N$61+AX$71),0)</f>
        <v>0</v>
      </c>
      <c r="K118" s="87">
        <f t="shared" si="0"/>
        <v>0</v>
      </c>
      <c r="L118" s="87">
        <v>0</v>
      </c>
      <c r="M118" s="87" t="str">
        <f t="shared" si="15"/>
        <v xml:space="preserve"> </v>
      </c>
      <c r="N118" s="2">
        <v>49</v>
      </c>
      <c r="O118" s="2">
        <f>IF(N$40=1,IF(N$59&gt;N117,1,0),IF(N$40=2,IF(N$59&gt;N117,1,0),0))</f>
        <v>0</v>
      </c>
      <c r="P118" s="2">
        <f t="shared" si="38"/>
        <v>20</v>
      </c>
      <c r="Q118" s="134">
        <f t="shared" si="39"/>
        <v>0</v>
      </c>
      <c r="R118" s="134">
        <f t="shared" si="39"/>
        <v>0</v>
      </c>
      <c r="S118" s="134">
        <f>IF(O118=0,0,S117-D117)</f>
        <v>0</v>
      </c>
      <c r="T118" s="134" t="e">
        <f>IF(N118&lt;=#REF!,D$3/(D$8-N117),D118)</f>
        <v>#REF!</v>
      </c>
      <c r="U118" s="134" t="e">
        <f t="shared" si="18"/>
        <v>#REF!</v>
      </c>
      <c r="V118" s="134">
        <f>IF(O119=1,S117*D$5*20/36000+S118*D$5*10/36000,IF(O119=0,IF(O118=0,0,IF(D$9&gt;20,S117*D$5*20/36000+S118*D$5*(R$57-20)/36000,S118*D$5*R$57/36000))))</f>
        <v>0</v>
      </c>
      <c r="W118" s="134">
        <f>IF(O119=1,S117*D$5*20/36000+S118*D$5*10/36000,IF(O119=0,IF(O118=0,0,IF(D$9&gt;20,S117*D$5*20/36000+S118*D$5*(R$57-20)/36000,S118*D$5*R$57/36000))))</f>
        <v>0</v>
      </c>
      <c r="X118" s="134">
        <f t="shared" si="43"/>
        <v>0</v>
      </c>
      <c r="Y118" s="134">
        <f t="shared" si="20"/>
        <v>0</v>
      </c>
      <c r="Z118" s="134" t="e">
        <f>IF(N118&lt;=(#REF!+1),D$3,Z117-J117)</f>
        <v>#REF!</v>
      </c>
      <c r="AA118" s="134">
        <f>IF(O119=1,Z117*D$5*20/36000+Z118*D$5*10/36000,IF(O119=0,IF(O118=0,0,IF(D$9&gt;20,Z117*D$5*20/36000+Z118*D$5*(R$57-20)/36000,Z118*D$5*R$57/36000))))</f>
        <v>0</v>
      </c>
      <c r="AB118" s="134">
        <f t="shared" si="3"/>
        <v>0</v>
      </c>
      <c r="AC118" s="134">
        <f>IF(S119=0,S118*R$57,(S117*20+S118*10))</f>
        <v>0</v>
      </c>
      <c r="AD118" s="134"/>
      <c r="AE118" s="134">
        <f t="shared" si="40"/>
        <v>0</v>
      </c>
      <c r="AF118" s="134">
        <f t="shared" si="40"/>
        <v>0</v>
      </c>
      <c r="AG118" s="134">
        <f t="shared" si="44"/>
        <v>0</v>
      </c>
      <c r="AH118" s="134">
        <f t="shared" si="5"/>
        <v>0</v>
      </c>
      <c r="AI118" s="134">
        <f>IF(O119=1,Z117*H$57*20/36000+Z118*H$57*10/36000,IF(O119=0,IF(O118=0,0,Z118*H$57*R$57/36000+Z117*H$57*20/36000+Z118*H$57*10/36000)))</f>
        <v>0</v>
      </c>
      <c r="AJ118" s="134">
        <f t="shared" si="6"/>
        <v>0</v>
      </c>
      <c r="AK118" s="134">
        <f t="shared" si="7"/>
        <v>0</v>
      </c>
      <c r="AL118" s="134">
        <f>IF(O119=1,AK117*H$57*20/36000+AK118*H$57*10/36000,IF(O119=0,IF(O118=0,0,AK118*H$57*R$57/36000)))</f>
        <v>0</v>
      </c>
      <c r="AM118" s="134">
        <f>IF(O119=1,AK117*H$57*20/36000+AK118*H$57*10/36000,IF(O119=0,IF(O118=0,0,AK118*H$57*R$57/36000)))</f>
        <v>0</v>
      </c>
      <c r="AN118" s="132">
        <f>IF(O118=0,0,MONTH(B117)+1)</f>
        <v>0</v>
      </c>
      <c r="AO118" s="132">
        <f t="shared" si="8"/>
        <v>0</v>
      </c>
      <c r="AP118" s="2">
        <f>IF(O118=0,0,YEAR(B117))</f>
        <v>0</v>
      </c>
      <c r="AQ118" s="2">
        <f t="shared" si="9"/>
        <v>0</v>
      </c>
      <c r="AR118" s="2">
        <f t="shared" si="10"/>
        <v>0</v>
      </c>
      <c r="AS118" s="2">
        <f t="shared" si="11"/>
        <v>30</v>
      </c>
      <c r="AT118" s="2">
        <f t="shared" si="26"/>
        <v>20</v>
      </c>
      <c r="AU118" s="2">
        <f>AS117</f>
        <v>30</v>
      </c>
      <c r="AV118" s="2"/>
      <c r="AW118" s="2"/>
      <c r="AX118" s="2"/>
      <c r="AY118" s="2"/>
      <c r="AZ118" s="2"/>
      <c r="BA118" s="2" t="e">
        <f>IF(#REF!=0,0,IF(O118=1,1,0))</f>
        <v>#REF!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3.5" hidden="1" customHeight="1">
      <c r="A119" s="4"/>
      <c r="B119" s="648" t="str">
        <f t="shared" si="41"/>
        <v xml:space="preserve"> </v>
      </c>
      <c r="C119" s="648"/>
      <c r="D119" s="318">
        <f t="shared" si="49"/>
        <v>0</v>
      </c>
      <c r="E119" s="318"/>
      <c r="F119" s="318"/>
      <c r="G119" s="255" t="str">
        <f>IF(O119=0,IF(O118=1,SUM(G$70:G118)," "),IF(N$40=1,Q119,IF(N$40=2,R119," ")))</f>
        <v xml:space="preserve"> </v>
      </c>
      <c r="H119" s="255">
        <v>0</v>
      </c>
      <c r="I119" s="255" t="str">
        <f t="shared" si="14"/>
        <v xml:space="preserve"> </v>
      </c>
      <c r="J119" s="255">
        <f>IF(O119=1,IF(O120=1,IF(N119&lt;=#REF!,U119,AX$71),D$3-AX$71*N$61+AX$71),0)</f>
        <v>0</v>
      </c>
      <c r="K119" s="255">
        <f t="shared" si="0"/>
        <v>0</v>
      </c>
      <c r="L119" s="255">
        <v>0</v>
      </c>
      <c r="M119" s="255" t="str">
        <f t="shared" si="15"/>
        <v xml:space="preserve"> </v>
      </c>
      <c r="N119" s="2">
        <v>50</v>
      </c>
      <c r="O119" s="2">
        <f t="shared" si="30"/>
        <v>0</v>
      </c>
      <c r="P119" s="2">
        <f t="shared" si="38"/>
        <v>20</v>
      </c>
      <c r="Q119" s="134">
        <f t="shared" si="39"/>
        <v>0</v>
      </c>
      <c r="R119" s="134">
        <f t="shared" si="39"/>
        <v>0</v>
      </c>
      <c r="S119" s="134">
        <f t="shared" si="42"/>
        <v>0</v>
      </c>
      <c r="T119" s="134" t="e">
        <f>IF(N119&lt;=#REF!,D$3/(D$8-N118),D119)</f>
        <v>#REF!</v>
      </c>
      <c r="U119" s="134" t="e">
        <f t="shared" si="18"/>
        <v>#REF!</v>
      </c>
      <c r="V119" s="134">
        <f t="shared" ref="V119:V129" si="56">IF(O120=1,S118*D$5*20/36000+S119*D$5*10/36000,IF(O120=0,IF(O119=0,0,S119*D$5*R$57/36000+S118*D$5*20/36000+S119*D$5*10/36000)))</f>
        <v>0</v>
      </c>
      <c r="W119" s="134">
        <f t="shared" ref="W119:W129" si="57">IF(O120=1,S118*D$5*20/36000+S119*D$5*10/36000,IF(O120=0,IF(O119=0,0,S119*D$5*R$57/36000+S118*D$5*20/36000+S119*D$5*10/36000)))</f>
        <v>0</v>
      </c>
      <c r="X119" s="134">
        <f t="shared" si="43"/>
        <v>0</v>
      </c>
      <c r="Y119" s="134">
        <f t="shared" si="20"/>
        <v>0</v>
      </c>
      <c r="Z119" s="134" t="e">
        <f>IF(N119&lt;=(#REF!+1),D$3,Z118-J118)</f>
        <v>#REF!</v>
      </c>
      <c r="AA119" s="134">
        <f t="shared" ref="AA119:AA129" si="58">IF(O120=1,Z118*D$5*20/36000+Z119*D$5*10/36000,IF(O120=0,IF(O119=0,0,Z119*D$5*R$57/36000+Z118*D$5*20/36000+Z119*D$5*10/36000)))</f>
        <v>0</v>
      </c>
      <c r="AB119" s="134">
        <f t="shared" si="3"/>
        <v>0</v>
      </c>
      <c r="AC119" s="134">
        <f t="shared" si="31"/>
        <v>0</v>
      </c>
      <c r="AD119" s="134"/>
      <c r="AE119" s="134">
        <f t="shared" si="40"/>
        <v>0</v>
      </c>
      <c r="AF119" s="134">
        <f t="shared" si="40"/>
        <v>0</v>
      </c>
      <c r="AG119" s="134">
        <f t="shared" si="44"/>
        <v>0</v>
      </c>
      <c r="AH119" s="134">
        <f t="shared" si="5"/>
        <v>0</v>
      </c>
      <c r="AI119" s="134">
        <f t="shared" si="45"/>
        <v>0</v>
      </c>
      <c r="AJ119" s="134">
        <f t="shared" si="6"/>
        <v>0</v>
      </c>
      <c r="AK119" s="134">
        <f t="shared" si="7"/>
        <v>0</v>
      </c>
      <c r="AL119" s="134">
        <f t="shared" ref="AL119:AL129" si="59">IF(O120=1,AK118*H$57*20/36000+AK119*H$57*10/36000,IF(O120=0,IF(O119=0,0,AK119*H$57*R$57/36000+AK118*H$57*20/36000+AK119*H$57*10/36000)))</f>
        <v>0</v>
      </c>
      <c r="AM119" s="134">
        <f t="shared" ref="AM119:AM129" si="60">IF(O120=1,AK118*H$57*20/36000+AK119*H$57*10/36000,IF(O120=0,IF(O119=0,0,AK119*H$57*R$57/36000+AK118*H$57*20/36000+AK119*H$57*10/36000)))</f>
        <v>0</v>
      </c>
      <c r="AN119" s="132">
        <f t="shared" si="46"/>
        <v>0</v>
      </c>
      <c r="AO119" s="132">
        <f t="shared" si="8"/>
        <v>0</v>
      </c>
      <c r="AP119" s="2">
        <f t="shared" si="47"/>
        <v>0</v>
      </c>
      <c r="AQ119" s="2">
        <f t="shared" si="9"/>
        <v>0</v>
      </c>
      <c r="AR119" s="2">
        <f t="shared" si="10"/>
        <v>0</v>
      </c>
      <c r="AS119" s="2">
        <f t="shared" si="11"/>
        <v>30</v>
      </c>
      <c r="AT119" s="2">
        <f t="shared" si="26"/>
        <v>20</v>
      </c>
      <c r="AU119" s="2">
        <f t="shared" si="27"/>
        <v>30</v>
      </c>
      <c r="AV119" s="2"/>
      <c r="AW119" s="2"/>
      <c r="AX119" s="2"/>
      <c r="AY119" s="2"/>
      <c r="AZ119" s="2"/>
      <c r="BA119" s="2" t="e">
        <f>IF(#REF!=0,0,IF(O119=1,1,0))</f>
        <v>#REF!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2.75" hidden="1" customHeight="1">
      <c r="A120" s="4"/>
      <c r="B120" s="648" t="str">
        <f t="shared" si="41"/>
        <v xml:space="preserve"> </v>
      </c>
      <c r="C120" s="648"/>
      <c r="D120" s="318">
        <f t="shared" si="49"/>
        <v>0</v>
      </c>
      <c r="E120" s="318"/>
      <c r="F120" s="318"/>
      <c r="G120" s="255" t="str">
        <f>IF(O120=0,IF(O119=1,SUM(G$70:G119)," "),IF(N$40=1,Q120,IF(N$40=2,R120," ")))</f>
        <v xml:space="preserve"> </v>
      </c>
      <c r="H120" s="255">
        <v>0</v>
      </c>
      <c r="I120" s="255" t="str">
        <f t="shared" si="14"/>
        <v xml:space="preserve"> </v>
      </c>
      <c r="J120" s="255">
        <f>IF(O120=1,IF(O121=1,IF(N120&lt;=#REF!,U120,AX$71),D$3-AX$71*N$61+AX$71),0)</f>
        <v>0</v>
      </c>
      <c r="K120" s="255">
        <f t="shared" si="0"/>
        <v>0</v>
      </c>
      <c r="L120" s="255">
        <v>0</v>
      </c>
      <c r="M120" s="255" t="str">
        <f t="shared" si="15"/>
        <v xml:space="preserve"> </v>
      </c>
      <c r="N120" s="2">
        <v>51</v>
      </c>
      <c r="O120" s="2">
        <f t="shared" si="30"/>
        <v>0</v>
      </c>
      <c r="P120" s="2">
        <f t="shared" si="38"/>
        <v>20</v>
      </c>
      <c r="Q120" s="134">
        <f t="shared" si="39"/>
        <v>0</v>
      </c>
      <c r="R120" s="134">
        <f t="shared" si="39"/>
        <v>0</v>
      </c>
      <c r="S120" s="134">
        <f t="shared" si="42"/>
        <v>0</v>
      </c>
      <c r="T120" s="134" t="e">
        <f>IF(N120&lt;=#REF!,D$3/(D$8-N119),D120)</f>
        <v>#REF!</v>
      </c>
      <c r="U120" s="134" t="e">
        <f t="shared" si="18"/>
        <v>#REF!</v>
      </c>
      <c r="V120" s="134">
        <f t="shared" si="56"/>
        <v>0</v>
      </c>
      <c r="W120" s="134">
        <f t="shared" si="57"/>
        <v>0</v>
      </c>
      <c r="X120" s="134">
        <f t="shared" si="43"/>
        <v>0</v>
      </c>
      <c r="Y120" s="134">
        <f t="shared" si="20"/>
        <v>0</v>
      </c>
      <c r="Z120" s="134" t="e">
        <f>IF(N120&lt;=(#REF!+1),D$3,Z119-J119)</f>
        <v>#REF!</v>
      </c>
      <c r="AA120" s="134">
        <f t="shared" si="58"/>
        <v>0</v>
      </c>
      <c r="AB120" s="134">
        <f t="shared" si="3"/>
        <v>0</v>
      </c>
      <c r="AC120" s="134">
        <f t="shared" si="31"/>
        <v>0</v>
      </c>
      <c r="AD120" s="134"/>
      <c r="AE120" s="134">
        <f t="shared" si="40"/>
        <v>0</v>
      </c>
      <c r="AF120" s="134">
        <f t="shared" si="40"/>
        <v>0</v>
      </c>
      <c r="AG120" s="134">
        <f t="shared" si="44"/>
        <v>0</v>
      </c>
      <c r="AH120" s="134">
        <f t="shared" si="5"/>
        <v>0</v>
      </c>
      <c r="AI120" s="134">
        <f t="shared" si="45"/>
        <v>0</v>
      </c>
      <c r="AJ120" s="134">
        <f t="shared" si="6"/>
        <v>0</v>
      </c>
      <c r="AK120" s="134">
        <f t="shared" si="7"/>
        <v>0</v>
      </c>
      <c r="AL120" s="134">
        <f t="shared" si="59"/>
        <v>0</v>
      </c>
      <c r="AM120" s="134">
        <f t="shared" si="60"/>
        <v>0</v>
      </c>
      <c r="AN120" s="132">
        <f t="shared" si="46"/>
        <v>0</v>
      </c>
      <c r="AO120" s="132">
        <f t="shared" si="8"/>
        <v>0</v>
      </c>
      <c r="AP120" s="2">
        <f t="shared" si="47"/>
        <v>0</v>
      </c>
      <c r="AQ120" s="2">
        <f t="shared" si="9"/>
        <v>0</v>
      </c>
      <c r="AR120" s="2">
        <f t="shared" si="10"/>
        <v>0</v>
      </c>
      <c r="AS120" s="2">
        <f t="shared" si="11"/>
        <v>30</v>
      </c>
      <c r="AT120" s="2">
        <f t="shared" si="26"/>
        <v>20</v>
      </c>
      <c r="AU120" s="2">
        <f t="shared" si="27"/>
        <v>30</v>
      </c>
      <c r="AV120" s="2"/>
      <c r="AW120" s="2"/>
      <c r="AX120" s="2"/>
      <c r="AY120" s="2"/>
      <c r="AZ120" s="2"/>
      <c r="BA120" s="2" t="e">
        <f>IF(#REF!=0,0,IF(O120=1,1,0))</f>
        <v>#REF!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4.25" hidden="1">
      <c r="A121" s="4"/>
      <c r="B121" s="648" t="str">
        <f t="shared" si="41"/>
        <v xml:space="preserve"> </v>
      </c>
      <c r="C121" s="648"/>
      <c r="D121" s="318">
        <f t="shared" si="49"/>
        <v>0</v>
      </c>
      <c r="E121" s="318"/>
      <c r="F121" s="318"/>
      <c r="G121" s="255" t="str">
        <f>IF(O121=0,IF(O120=1,SUM(G$70:G120)," "),IF(N$40=1,Q121,IF(N$40=2,R121," ")))</f>
        <v xml:space="preserve"> </v>
      </c>
      <c r="H121" s="255">
        <v>0</v>
      </c>
      <c r="I121" s="255" t="str">
        <f t="shared" si="14"/>
        <v xml:space="preserve"> </v>
      </c>
      <c r="J121" s="255">
        <f>IF(O121=1,IF(O122=1,IF(N121&lt;=#REF!,U121,AX$71),D$3-AX$71*N$61+AX$71),0)</f>
        <v>0</v>
      </c>
      <c r="K121" s="255">
        <f t="shared" si="0"/>
        <v>0</v>
      </c>
      <c r="L121" s="255">
        <v>0</v>
      </c>
      <c r="M121" s="255" t="str">
        <f t="shared" si="15"/>
        <v xml:space="preserve"> </v>
      </c>
      <c r="N121" s="2">
        <v>52</v>
      </c>
      <c r="O121" s="2">
        <f t="shared" si="30"/>
        <v>0</v>
      </c>
      <c r="P121" s="2">
        <f t="shared" si="38"/>
        <v>20</v>
      </c>
      <c r="Q121" s="134">
        <f t="shared" si="39"/>
        <v>0</v>
      </c>
      <c r="R121" s="134">
        <f t="shared" si="39"/>
        <v>0</v>
      </c>
      <c r="S121" s="134">
        <f t="shared" si="42"/>
        <v>0</v>
      </c>
      <c r="T121" s="134" t="e">
        <f>IF(N121&lt;=#REF!,D$3/(D$8-N120),D121)</f>
        <v>#REF!</v>
      </c>
      <c r="U121" s="134" t="e">
        <f t="shared" si="18"/>
        <v>#REF!</v>
      </c>
      <c r="V121" s="134">
        <f t="shared" si="56"/>
        <v>0</v>
      </c>
      <c r="W121" s="134">
        <f t="shared" si="57"/>
        <v>0</v>
      </c>
      <c r="X121" s="134">
        <f t="shared" si="43"/>
        <v>0</v>
      </c>
      <c r="Y121" s="134">
        <f t="shared" si="20"/>
        <v>0</v>
      </c>
      <c r="Z121" s="134" t="e">
        <f>IF(N121&lt;=(#REF!+1),D$3,Z120-J120)</f>
        <v>#REF!</v>
      </c>
      <c r="AA121" s="134">
        <f t="shared" si="58"/>
        <v>0</v>
      </c>
      <c r="AB121" s="134">
        <f t="shared" si="3"/>
        <v>0</v>
      </c>
      <c r="AC121" s="134">
        <f t="shared" si="31"/>
        <v>0</v>
      </c>
      <c r="AD121" s="134"/>
      <c r="AE121" s="134">
        <f t="shared" si="40"/>
        <v>0</v>
      </c>
      <c r="AF121" s="134">
        <f t="shared" si="40"/>
        <v>0</v>
      </c>
      <c r="AG121" s="134">
        <f t="shared" si="44"/>
        <v>0</v>
      </c>
      <c r="AH121" s="134">
        <f t="shared" si="5"/>
        <v>0</v>
      </c>
      <c r="AI121" s="134">
        <f t="shared" si="45"/>
        <v>0</v>
      </c>
      <c r="AJ121" s="134">
        <f t="shared" si="6"/>
        <v>0</v>
      </c>
      <c r="AK121" s="134">
        <f t="shared" si="7"/>
        <v>0</v>
      </c>
      <c r="AL121" s="134">
        <f t="shared" si="59"/>
        <v>0</v>
      </c>
      <c r="AM121" s="134">
        <f t="shared" si="60"/>
        <v>0</v>
      </c>
      <c r="AN121" s="132">
        <f t="shared" si="46"/>
        <v>0</v>
      </c>
      <c r="AO121" s="132">
        <f t="shared" si="8"/>
        <v>0</v>
      </c>
      <c r="AP121" s="2">
        <f t="shared" si="47"/>
        <v>0</v>
      </c>
      <c r="AQ121" s="2">
        <f t="shared" si="9"/>
        <v>0</v>
      </c>
      <c r="AR121" s="2">
        <f t="shared" si="10"/>
        <v>0</v>
      </c>
      <c r="AS121" s="2">
        <f t="shared" si="11"/>
        <v>30</v>
      </c>
      <c r="AT121" s="2">
        <f t="shared" si="26"/>
        <v>20</v>
      </c>
      <c r="AU121" s="2">
        <f t="shared" si="27"/>
        <v>30</v>
      </c>
      <c r="AV121" s="2"/>
      <c r="AW121" s="2"/>
      <c r="AX121" s="2"/>
      <c r="AY121" s="2"/>
      <c r="AZ121" s="2"/>
      <c r="BA121" s="2" t="e">
        <f>IF(#REF!=0,0,IF(O121=1,1,0))</f>
        <v>#REF!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24" customFormat="1" ht="12.75" hidden="1" customHeight="1">
      <c r="A122" s="4"/>
      <c r="B122" s="648" t="str">
        <f t="shared" si="41"/>
        <v xml:space="preserve"> </v>
      </c>
      <c r="C122" s="648"/>
      <c r="D122" s="318">
        <f t="shared" si="49"/>
        <v>0</v>
      </c>
      <c r="E122" s="318"/>
      <c r="F122" s="318"/>
      <c r="G122" s="255" t="str">
        <f>IF(O122=0,IF(O121=1,SUM(G$70:G121)," "),IF(N$40=1,Q122,IF(N$40=2,R122," ")))</f>
        <v xml:space="preserve"> </v>
      </c>
      <c r="H122" s="255">
        <v>0</v>
      </c>
      <c r="I122" s="255" t="str">
        <f t="shared" si="14"/>
        <v xml:space="preserve"> </v>
      </c>
      <c r="J122" s="255">
        <f>IF(O122=1,IF(O123=1,IF(N122&lt;=#REF!,U122,AX$71),D$3-AX$71*N$61+AX$71),0)</f>
        <v>0</v>
      </c>
      <c r="K122" s="255">
        <f t="shared" si="0"/>
        <v>0</v>
      </c>
      <c r="L122" s="255">
        <v>0</v>
      </c>
      <c r="M122" s="255" t="str">
        <f t="shared" si="15"/>
        <v xml:space="preserve"> </v>
      </c>
      <c r="N122" s="2">
        <v>53</v>
      </c>
      <c r="O122" s="2">
        <f t="shared" si="30"/>
        <v>0</v>
      </c>
      <c r="P122" s="2">
        <f t="shared" si="38"/>
        <v>20</v>
      </c>
      <c r="Q122" s="134">
        <f t="shared" si="39"/>
        <v>0</v>
      </c>
      <c r="R122" s="134">
        <f t="shared" si="39"/>
        <v>0</v>
      </c>
      <c r="S122" s="134">
        <f t="shared" si="42"/>
        <v>0</v>
      </c>
      <c r="T122" s="134" t="e">
        <f>IF(N122&lt;=#REF!,D$3/(D$8-N121),D122)</f>
        <v>#REF!</v>
      </c>
      <c r="U122" s="134" t="e">
        <f t="shared" si="18"/>
        <v>#REF!</v>
      </c>
      <c r="V122" s="134">
        <f t="shared" si="56"/>
        <v>0</v>
      </c>
      <c r="W122" s="134">
        <f t="shared" si="57"/>
        <v>0</v>
      </c>
      <c r="X122" s="134">
        <f t="shared" si="43"/>
        <v>0</v>
      </c>
      <c r="Y122" s="134">
        <f t="shared" si="20"/>
        <v>0</v>
      </c>
      <c r="Z122" s="134" t="e">
        <f>IF(N122&lt;=(#REF!+1),D$3,Z121-J121)</f>
        <v>#REF!</v>
      </c>
      <c r="AA122" s="134">
        <f t="shared" si="58"/>
        <v>0</v>
      </c>
      <c r="AB122" s="134">
        <f t="shared" si="3"/>
        <v>0</v>
      </c>
      <c r="AC122" s="134">
        <f t="shared" si="31"/>
        <v>0</v>
      </c>
      <c r="AD122" s="134"/>
      <c r="AE122" s="134">
        <f t="shared" si="40"/>
        <v>0</v>
      </c>
      <c r="AF122" s="134">
        <f t="shared" si="40"/>
        <v>0</v>
      </c>
      <c r="AG122" s="134">
        <f t="shared" si="44"/>
        <v>0</v>
      </c>
      <c r="AH122" s="134">
        <f t="shared" si="5"/>
        <v>0</v>
      </c>
      <c r="AI122" s="134">
        <f t="shared" si="45"/>
        <v>0</v>
      </c>
      <c r="AJ122" s="134">
        <f t="shared" si="6"/>
        <v>0</v>
      </c>
      <c r="AK122" s="134">
        <f t="shared" si="7"/>
        <v>0</v>
      </c>
      <c r="AL122" s="134">
        <f t="shared" si="59"/>
        <v>0</v>
      </c>
      <c r="AM122" s="134">
        <f t="shared" si="60"/>
        <v>0</v>
      </c>
      <c r="AN122" s="132">
        <f t="shared" si="46"/>
        <v>0</v>
      </c>
      <c r="AO122" s="132">
        <f t="shared" si="8"/>
        <v>0</v>
      </c>
      <c r="AP122" s="2">
        <f t="shared" si="47"/>
        <v>0</v>
      </c>
      <c r="AQ122" s="2">
        <f t="shared" si="9"/>
        <v>0</v>
      </c>
      <c r="AR122" s="2">
        <f t="shared" si="10"/>
        <v>0</v>
      </c>
      <c r="AS122" s="2">
        <f t="shared" si="11"/>
        <v>30</v>
      </c>
      <c r="AT122" s="2">
        <f t="shared" si="26"/>
        <v>20</v>
      </c>
      <c r="AU122" s="2">
        <f t="shared" si="27"/>
        <v>30</v>
      </c>
      <c r="AV122" s="2"/>
      <c r="AW122" s="2"/>
      <c r="AX122" s="2"/>
      <c r="AY122" s="2"/>
      <c r="AZ122" s="2"/>
      <c r="BA122" s="2" t="e">
        <f>IF(#REF!=0,0,IF(O122=1,1,0))</f>
        <v>#REF!</v>
      </c>
      <c r="BB122" s="2"/>
      <c r="BC122" s="2"/>
      <c r="BD122" s="2"/>
      <c r="BE122" s="2"/>
      <c r="BF122" s="2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</row>
    <row r="123" spans="1:143" s="24" customFormat="1" ht="14.25" hidden="1" customHeight="1">
      <c r="A123" s="4"/>
      <c r="B123" s="648" t="str">
        <f t="shared" si="41"/>
        <v xml:space="preserve"> </v>
      </c>
      <c r="C123" s="648"/>
      <c r="D123" s="318">
        <f t="shared" si="49"/>
        <v>0</v>
      </c>
      <c r="E123" s="318"/>
      <c r="F123" s="318"/>
      <c r="G123" s="255" t="str">
        <f>IF(O123=0,IF(O122=1,SUM(G$70:G122)," "),IF(N$40=1,Q123,IF(N$40=2,R123," ")))</f>
        <v xml:space="preserve"> </v>
      </c>
      <c r="H123" s="255">
        <v>0</v>
      </c>
      <c r="I123" s="255" t="str">
        <f t="shared" si="14"/>
        <v xml:space="preserve"> </v>
      </c>
      <c r="J123" s="255">
        <f>IF(O123=1,IF(O124=1,IF(N123&lt;=#REF!,U123,AX$71),D$3-AX$71*N$61+AX$71),0)</f>
        <v>0</v>
      </c>
      <c r="K123" s="255">
        <f t="shared" si="0"/>
        <v>0</v>
      </c>
      <c r="L123" s="255">
        <v>0</v>
      </c>
      <c r="M123" s="255" t="str">
        <f t="shared" si="15"/>
        <v xml:space="preserve"> </v>
      </c>
      <c r="N123" s="2">
        <v>54</v>
      </c>
      <c r="O123" s="2">
        <f t="shared" si="30"/>
        <v>0</v>
      </c>
      <c r="P123" s="2">
        <f t="shared" si="38"/>
        <v>20</v>
      </c>
      <c r="Q123" s="134">
        <f t="shared" si="39"/>
        <v>0</v>
      </c>
      <c r="R123" s="134">
        <f t="shared" si="39"/>
        <v>0</v>
      </c>
      <c r="S123" s="134">
        <f t="shared" si="42"/>
        <v>0</v>
      </c>
      <c r="T123" s="134" t="e">
        <f>IF(N123&lt;=#REF!,D$3/(D$8-N122),D123)</f>
        <v>#REF!</v>
      </c>
      <c r="U123" s="134" t="e">
        <f t="shared" si="18"/>
        <v>#REF!</v>
      </c>
      <c r="V123" s="134">
        <f t="shared" si="56"/>
        <v>0</v>
      </c>
      <c r="W123" s="134">
        <f t="shared" si="57"/>
        <v>0</v>
      </c>
      <c r="X123" s="134">
        <f t="shared" si="43"/>
        <v>0</v>
      </c>
      <c r="Y123" s="134">
        <f t="shared" si="20"/>
        <v>0</v>
      </c>
      <c r="Z123" s="134" t="e">
        <f>IF(N123&lt;=(#REF!+1),D$3,Z122-J122)</f>
        <v>#REF!</v>
      </c>
      <c r="AA123" s="134">
        <f t="shared" si="58"/>
        <v>0</v>
      </c>
      <c r="AB123" s="134">
        <f t="shared" si="3"/>
        <v>0</v>
      </c>
      <c r="AC123" s="134">
        <f t="shared" si="31"/>
        <v>0</v>
      </c>
      <c r="AD123" s="134"/>
      <c r="AE123" s="134">
        <f t="shared" si="40"/>
        <v>0</v>
      </c>
      <c r="AF123" s="134">
        <f t="shared" si="40"/>
        <v>0</v>
      </c>
      <c r="AG123" s="134">
        <f t="shared" si="44"/>
        <v>0</v>
      </c>
      <c r="AH123" s="134">
        <f t="shared" si="5"/>
        <v>0</v>
      </c>
      <c r="AI123" s="134">
        <f t="shared" si="45"/>
        <v>0</v>
      </c>
      <c r="AJ123" s="134">
        <f t="shared" si="6"/>
        <v>0</v>
      </c>
      <c r="AK123" s="134">
        <f t="shared" si="7"/>
        <v>0</v>
      </c>
      <c r="AL123" s="134">
        <f t="shared" si="59"/>
        <v>0</v>
      </c>
      <c r="AM123" s="134">
        <f t="shared" si="60"/>
        <v>0</v>
      </c>
      <c r="AN123" s="132">
        <f t="shared" si="46"/>
        <v>0</v>
      </c>
      <c r="AO123" s="132">
        <f t="shared" si="8"/>
        <v>0</v>
      </c>
      <c r="AP123" s="2">
        <f t="shared" si="47"/>
        <v>0</v>
      </c>
      <c r="AQ123" s="2">
        <f t="shared" si="9"/>
        <v>0</v>
      </c>
      <c r="AR123" s="2">
        <f t="shared" si="10"/>
        <v>0</v>
      </c>
      <c r="AS123" s="2">
        <f t="shared" si="11"/>
        <v>30</v>
      </c>
      <c r="AT123" s="2">
        <f t="shared" si="26"/>
        <v>20</v>
      </c>
      <c r="AU123" s="2">
        <f t="shared" si="27"/>
        <v>30</v>
      </c>
      <c r="AV123" s="2"/>
      <c r="AW123" s="2"/>
      <c r="AX123" s="2"/>
      <c r="AY123" s="2"/>
      <c r="AZ123" s="2"/>
      <c r="BA123" s="2" t="e">
        <f>IF(#REF!=0,0,IF(O123=1,1,0))</f>
        <v>#REF!</v>
      </c>
      <c r="BB123" s="2"/>
      <c r="BC123" s="2"/>
      <c r="BD123" s="2"/>
      <c r="BE123" s="2"/>
      <c r="BF123" s="2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</row>
    <row r="124" spans="1:143" s="24" customFormat="1" ht="14.25" hidden="1">
      <c r="A124" s="4"/>
      <c r="B124" s="648" t="str">
        <f t="shared" si="41"/>
        <v xml:space="preserve"> </v>
      </c>
      <c r="C124" s="648"/>
      <c r="D124" s="318">
        <f t="shared" si="49"/>
        <v>0</v>
      </c>
      <c r="E124" s="318"/>
      <c r="F124" s="318"/>
      <c r="G124" s="255" t="str">
        <f>IF(O124=0,IF(O123=1,SUM(G$70:G123)," "),IF(N$40=1,Q124,IF(N$40=2,R124," ")))</f>
        <v xml:space="preserve"> </v>
      </c>
      <c r="H124" s="255">
        <v>0</v>
      </c>
      <c r="I124" s="255" t="str">
        <f t="shared" si="14"/>
        <v xml:space="preserve"> </v>
      </c>
      <c r="J124" s="255">
        <f>IF(O124=1,IF(O125=1,IF(N124&lt;=#REF!,U124,AX$71),D$3-AX$71*N$61+AX$71),0)</f>
        <v>0</v>
      </c>
      <c r="K124" s="255">
        <f t="shared" si="0"/>
        <v>0</v>
      </c>
      <c r="L124" s="255">
        <v>0</v>
      </c>
      <c r="M124" s="255" t="str">
        <f t="shared" si="15"/>
        <v xml:space="preserve"> </v>
      </c>
      <c r="N124" s="2">
        <v>55</v>
      </c>
      <c r="O124" s="2">
        <f t="shared" si="30"/>
        <v>0</v>
      </c>
      <c r="P124" s="2">
        <f t="shared" si="38"/>
        <v>20</v>
      </c>
      <c r="Q124" s="134">
        <f t="shared" si="39"/>
        <v>0</v>
      </c>
      <c r="R124" s="134">
        <f t="shared" si="39"/>
        <v>0</v>
      </c>
      <c r="S124" s="134">
        <f t="shared" si="42"/>
        <v>0</v>
      </c>
      <c r="T124" s="134" t="e">
        <f>IF(N124&lt;=#REF!,D$3/(D$8-N123),D124)</f>
        <v>#REF!</v>
      </c>
      <c r="U124" s="134" t="e">
        <f t="shared" si="18"/>
        <v>#REF!</v>
      </c>
      <c r="V124" s="134">
        <f t="shared" si="56"/>
        <v>0</v>
      </c>
      <c r="W124" s="134">
        <f t="shared" si="57"/>
        <v>0</v>
      </c>
      <c r="X124" s="134">
        <f t="shared" si="43"/>
        <v>0</v>
      </c>
      <c r="Y124" s="134">
        <f t="shared" si="20"/>
        <v>0</v>
      </c>
      <c r="Z124" s="134" t="e">
        <f>IF(N124&lt;=(#REF!+1),D$3,Z123-J123)</f>
        <v>#REF!</v>
      </c>
      <c r="AA124" s="134">
        <f t="shared" si="58"/>
        <v>0</v>
      </c>
      <c r="AB124" s="134">
        <f t="shared" si="3"/>
        <v>0</v>
      </c>
      <c r="AC124" s="134">
        <f t="shared" si="31"/>
        <v>0</v>
      </c>
      <c r="AD124" s="134"/>
      <c r="AE124" s="134">
        <f t="shared" si="40"/>
        <v>0</v>
      </c>
      <c r="AF124" s="134">
        <f t="shared" si="40"/>
        <v>0</v>
      </c>
      <c r="AG124" s="134">
        <f t="shared" si="44"/>
        <v>0</v>
      </c>
      <c r="AH124" s="134">
        <f t="shared" si="5"/>
        <v>0</v>
      </c>
      <c r="AI124" s="134">
        <f t="shared" si="45"/>
        <v>0</v>
      </c>
      <c r="AJ124" s="134">
        <f t="shared" si="6"/>
        <v>0</v>
      </c>
      <c r="AK124" s="134">
        <f t="shared" si="7"/>
        <v>0</v>
      </c>
      <c r="AL124" s="134">
        <f t="shared" si="59"/>
        <v>0</v>
      </c>
      <c r="AM124" s="134">
        <f t="shared" si="60"/>
        <v>0</v>
      </c>
      <c r="AN124" s="132">
        <f t="shared" si="46"/>
        <v>0</v>
      </c>
      <c r="AO124" s="132">
        <f t="shared" si="8"/>
        <v>0</v>
      </c>
      <c r="AP124" s="2">
        <f t="shared" si="47"/>
        <v>0</v>
      </c>
      <c r="AQ124" s="2">
        <f t="shared" si="9"/>
        <v>0</v>
      </c>
      <c r="AR124" s="2">
        <f t="shared" si="10"/>
        <v>0</v>
      </c>
      <c r="AS124" s="2">
        <f t="shared" si="11"/>
        <v>30</v>
      </c>
      <c r="AT124" s="2">
        <f t="shared" si="26"/>
        <v>20</v>
      </c>
      <c r="AU124" s="2">
        <f t="shared" si="27"/>
        <v>30</v>
      </c>
      <c r="AV124" s="2"/>
      <c r="AW124" s="2"/>
      <c r="AX124" s="2"/>
      <c r="AY124" s="2"/>
      <c r="AZ124" s="2"/>
      <c r="BA124" s="2" t="e">
        <f>IF(#REF!=0,0,IF(O124=1,1,0))</f>
        <v>#REF!</v>
      </c>
      <c r="BB124" s="2"/>
      <c r="BC124" s="2"/>
      <c r="BD124" s="2"/>
      <c r="BE124" s="2"/>
      <c r="BF124" s="2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</row>
    <row r="125" spans="1:143" s="24" customFormat="1" ht="14.25" hidden="1">
      <c r="A125" s="4"/>
      <c r="B125" s="648" t="str">
        <f t="shared" si="41"/>
        <v xml:space="preserve"> </v>
      </c>
      <c r="C125" s="648"/>
      <c r="D125" s="318">
        <f t="shared" si="49"/>
        <v>0</v>
      </c>
      <c r="E125" s="318"/>
      <c r="F125" s="318"/>
      <c r="G125" s="255" t="str">
        <f>IF(O125=0,IF(O124=1,SUM(G$70:G124)," "),IF(N$40=1,Q125,IF(N$40=2,R125," ")))</f>
        <v xml:space="preserve"> </v>
      </c>
      <c r="H125" s="255">
        <v>0</v>
      </c>
      <c r="I125" s="255" t="str">
        <f t="shared" si="14"/>
        <v xml:space="preserve"> </v>
      </c>
      <c r="J125" s="255">
        <f>IF(O125=1,IF(O126=1,IF(N125&lt;=#REF!,U125,AX$71),D$3-AX$71*N$61+AX$71),0)</f>
        <v>0</v>
      </c>
      <c r="K125" s="255">
        <f t="shared" si="0"/>
        <v>0</v>
      </c>
      <c r="L125" s="255">
        <v>0</v>
      </c>
      <c r="M125" s="255" t="str">
        <f t="shared" si="15"/>
        <v xml:space="preserve"> </v>
      </c>
      <c r="N125" s="2">
        <v>56</v>
      </c>
      <c r="O125" s="2">
        <f t="shared" si="30"/>
        <v>0</v>
      </c>
      <c r="P125" s="2">
        <f t="shared" si="38"/>
        <v>20</v>
      </c>
      <c r="Q125" s="134">
        <f t="shared" si="39"/>
        <v>0</v>
      </c>
      <c r="R125" s="134">
        <f t="shared" si="39"/>
        <v>0</v>
      </c>
      <c r="S125" s="134">
        <f t="shared" si="42"/>
        <v>0</v>
      </c>
      <c r="T125" s="134" t="e">
        <f>IF(N125&lt;=#REF!,D$3/(D$8-N124),D125)</f>
        <v>#REF!</v>
      </c>
      <c r="U125" s="134" t="e">
        <f t="shared" si="18"/>
        <v>#REF!</v>
      </c>
      <c r="V125" s="134">
        <f t="shared" si="56"/>
        <v>0</v>
      </c>
      <c r="W125" s="134">
        <f t="shared" si="57"/>
        <v>0</v>
      </c>
      <c r="X125" s="134">
        <f t="shared" si="43"/>
        <v>0</v>
      </c>
      <c r="Y125" s="134">
        <f t="shared" si="20"/>
        <v>0</v>
      </c>
      <c r="Z125" s="134" t="e">
        <f>IF(N125&lt;=(#REF!+1),D$3,Z124-J124)</f>
        <v>#REF!</v>
      </c>
      <c r="AA125" s="134">
        <f t="shared" si="58"/>
        <v>0</v>
      </c>
      <c r="AB125" s="134">
        <f t="shared" si="3"/>
        <v>0</v>
      </c>
      <c r="AC125" s="134">
        <f t="shared" si="31"/>
        <v>0</v>
      </c>
      <c r="AD125" s="134"/>
      <c r="AE125" s="134">
        <f t="shared" si="40"/>
        <v>0</v>
      </c>
      <c r="AF125" s="134">
        <f t="shared" si="40"/>
        <v>0</v>
      </c>
      <c r="AG125" s="134">
        <f t="shared" si="44"/>
        <v>0</v>
      </c>
      <c r="AH125" s="134">
        <f t="shared" si="5"/>
        <v>0</v>
      </c>
      <c r="AI125" s="134">
        <f t="shared" si="45"/>
        <v>0</v>
      </c>
      <c r="AJ125" s="134">
        <f t="shared" si="6"/>
        <v>0</v>
      </c>
      <c r="AK125" s="134">
        <f t="shared" si="7"/>
        <v>0</v>
      </c>
      <c r="AL125" s="134">
        <f t="shared" si="59"/>
        <v>0</v>
      </c>
      <c r="AM125" s="134">
        <f t="shared" si="60"/>
        <v>0</v>
      </c>
      <c r="AN125" s="132">
        <f t="shared" si="46"/>
        <v>0</v>
      </c>
      <c r="AO125" s="132">
        <f t="shared" si="8"/>
        <v>0</v>
      </c>
      <c r="AP125" s="2">
        <f t="shared" si="47"/>
        <v>0</v>
      </c>
      <c r="AQ125" s="2">
        <f t="shared" si="9"/>
        <v>0</v>
      </c>
      <c r="AR125" s="2">
        <f t="shared" si="10"/>
        <v>0</v>
      </c>
      <c r="AS125" s="2">
        <f t="shared" si="11"/>
        <v>30</v>
      </c>
      <c r="AT125" s="2">
        <f t="shared" si="26"/>
        <v>20</v>
      </c>
      <c r="AU125" s="2">
        <f t="shared" si="27"/>
        <v>30</v>
      </c>
      <c r="AV125" s="2"/>
      <c r="AW125" s="2"/>
      <c r="AX125" s="2"/>
      <c r="AY125" s="2"/>
      <c r="AZ125" s="2"/>
      <c r="BA125" s="2" t="e">
        <f>IF(#REF!=0,0,IF(O125=1,1,0))</f>
        <v>#REF!</v>
      </c>
      <c r="BB125" s="2"/>
      <c r="BC125" s="2"/>
      <c r="BD125" s="2"/>
      <c r="BE125" s="2"/>
      <c r="BF125" s="2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</row>
    <row r="126" spans="1:143" s="24" customFormat="1" ht="14.25" hidden="1">
      <c r="A126" s="4"/>
      <c r="B126" s="648" t="str">
        <f t="shared" si="41"/>
        <v xml:space="preserve"> </v>
      </c>
      <c r="C126" s="648"/>
      <c r="D126" s="318">
        <f t="shared" si="49"/>
        <v>0</v>
      </c>
      <c r="E126" s="318"/>
      <c r="F126" s="318"/>
      <c r="G126" s="255" t="str">
        <f>IF(O126=0,IF(O125=1,SUM(G$70:G125)," "),IF(N$40=1,Q126,IF(N$40=2,R126," ")))</f>
        <v xml:space="preserve"> </v>
      </c>
      <c r="H126" s="255">
        <v>0</v>
      </c>
      <c r="I126" s="255" t="str">
        <f t="shared" si="14"/>
        <v xml:space="preserve"> </v>
      </c>
      <c r="J126" s="255">
        <f>IF(O126=1,IF(O127=1,IF(N126&lt;=#REF!,U126,AX$71),D$3-AX$71*N$61+AX$71),0)</f>
        <v>0</v>
      </c>
      <c r="K126" s="255">
        <f t="shared" si="0"/>
        <v>0</v>
      </c>
      <c r="L126" s="255">
        <v>0</v>
      </c>
      <c r="M126" s="255" t="str">
        <f t="shared" si="15"/>
        <v xml:space="preserve"> </v>
      </c>
      <c r="N126" s="2">
        <v>57</v>
      </c>
      <c r="O126" s="2">
        <f t="shared" si="30"/>
        <v>0</v>
      </c>
      <c r="P126" s="2">
        <f t="shared" si="38"/>
        <v>20</v>
      </c>
      <c r="Q126" s="134">
        <f t="shared" si="39"/>
        <v>0</v>
      </c>
      <c r="R126" s="134">
        <f t="shared" si="39"/>
        <v>0</v>
      </c>
      <c r="S126" s="134">
        <f t="shared" si="42"/>
        <v>0</v>
      </c>
      <c r="T126" s="134" t="e">
        <f>IF(N126&lt;=#REF!,D$3/(D$8-N125),D126)</f>
        <v>#REF!</v>
      </c>
      <c r="U126" s="134" t="e">
        <f t="shared" si="18"/>
        <v>#REF!</v>
      </c>
      <c r="V126" s="134">
        <f t="shared" si="56"/>
        <v>0</v>
      </c>
      <c r="W126" s="134">
        <f t="shared" si="57"/>
        <v>0</v>
      </c>
      <c r="X126" s="134">
        <f t="shared" si="43"/>
        <v>0</v>
      </c>
      <c r="Y126" s="134">
        <f t="shared" si="20"/>
        <v>0</v>
      </c>
      <c r="Z126" s="134" t="e">
        <f>IF(N126&lt;=(#REF!+1),D$3,Z125-J125)</f>
        <v>#REF!</v>
      </c>
      <c r="AA126" s="134">
        <f t="shared" si="58"/>
        <v>0</v>
      </c>
      <c r="AB126" s="134">
        <f t="shared" si="3"/>
        <v>0</v>
      </c>
      <c r="AC126" s="134">
        <f t="shared" si="31"/>
        <v>0</v>
      </c>
      <c r="AD126" s="134"/>
      <c r="AE126" s="134">
        <f t="shared" si="40"/>
        <v>0</v>
      </c>
      <c r="AF126" s="134">
        <f t="shared" si="40"/>
        <v>0</v>
      </c>
      <c r="AG126" s="134">
        <f t="shared" si="44"/>
        <v>0</v>
      </c>
      <c r="AH126" s="134">
        <f t="shared" si="5"/>
        <v>0</v>
      </c>
      <c r="AI126" s="134">
        <f t="shared" si="45"/>
        <v>0</v>
      </c>
      <c r="AJ126" s="134">
        <f t="shared" si="6"/>
        <v>0</v>
      </c>
      <c r="AK126" s="134">
        <f t="shared" si="7"/>
        <v>0</v>
      </c>
      <c r="AL126" s="134">
        <f t="shared" si="59"/>
        <v>0</v>
      </c>
      <c r="AM126" s="134">
        <f t="shared" si="60"/>
        <v>0</v>
      </c>
      <c r="AN126" s="132">
        <f t="shared" si="46"/>
        <v>0</v>
      </c>
      <c r="AO126" s="132">
        <f t="shared" si="8"/>
        <v>0</v>
      </c>
      <c r="AP126" s="2">
        <f t="shared" si="47"/>
        <v>0</v>
      </c>
      <c r="AQ126" s="2">
        <f t="shared" si="9"/>
        <v>0</v>
      </c>
      <c r="AR126" s="2">
        <f t="shared" si="10"/>
        <v>0</v>
      </c>
      <c r="AS126" s="2">
        <f t="shared" si="11"/>
        <v>30</v>
      </c>
      <c r="AT126" s="2">
        <f t="shared" si="26"/>
        <v>20</v>
      </c>
      <c r="AU126" s="2">
        <f t="shared" si="27"/>
        <v>30</v>
      </c>
      <c r="AV126" s="2"/>
      <c r="AW126" s="2"/>
      <c r="AX126" s="2"/>
      <c r="AY126" s="2"/>
      <c r="AZ126" s="2"/>
      <c r="BA126" s="2" t="e">
        <f>IF(#REF!=0,0,IF(O126=1,1,0))</f>
        <v>#REF!</v>
      </c>
      <c r="BB126" s="2"/>
      <c r="BC126" s="2"/>
      <c r="BD126" s="2"/>
      <c r="BE126" s="2"/>
      <c r="BF126" s="2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</row>
    <row r="127" spans="1:143" s="24" customFormat="1" ht="14.25" hidden="1">
      <c r="A127" s="4"/>
      <c r="B127" s="648" t="str">
        <f t="shared" si="41"/>
        <v xml:space="preserve"> </v>
      </c>
      <c r="C127" s="648"/>
      <c r="D127" s="318">
        <f t="shared" si="49"/>
        <v>0</v>
      </c>
      <c r="E127" s="318"/>
      <c r="F127" s="318"/>
      <c r="G127" s="255" t="str">
        <f>IF(O127=0,IF(O126=1,SUM(G$70:G126)," "),IF(N$40=1,Q127,IF(N$40=2,R127," ")))</f>
        <v xml:space="preserve"> </v>
      </c>
      <c r="H127" s="255">
        <v>0</v>
      </c>
      <c r="I127" s="255" t="str">
        <f t="shared" si="14"/>
        <v xml:space="preserve"> </v>
      </c>
      <c r="J127" s="255">
        <f>IF(O127=1,IF(O128=1,IF(N127&lt;=#REF!,U127,AX$71),D$3-AX$71*N$61+AX$71),0)</f>
        <v>0</v>
      </c>
      <c r="K127" s="255">
        <f t="shared" si="0"/>
        <v>0</v>
      </c>
      <c r="L127" s="255">
        <v>0</v>
      </c>
      <c r="M127" s="255" t="str">
        <f t="shared" si="15"/>
        <v xml:space="preserve"> </v>
      </c>
      <c r="N127" s="2">
        <v>58</v>
      </c>
      <c r="O127" s="2">
        <f t="shared" si="30"/>
        <v>0</v>
      </c>
      <c r="P127" s="2">
        <f t="shared" si="38"/>
        <v>20</v>
      </c>
      <c r="Q127" s="134">
        <f t="shared" si="39"/>
        <v>0</v>
      </c>
      <c r="R127" s="134">
        <f t="shared" si="39"/>
        <v>0</v>
      </c>
      <c r="S127" s="134">
        <f t="shared" si="42"/>
        <v>0</v>
      </c>
      <c r="T127" s="134" t="e">
        <f>IF(N127&lt;=#REF!,D$3/(D$8-N126),D127)</f>
        <v>#REF!</v>
      </c>
      <c r="U127" s="134" t="e">
        <f t="shared" si="18"/>
        <v>#REF!</v>
      </c>
      <c r="V127" s="134">
        <f t="shared" si="56"/>
        <v>0</v>
      </c>
      <c r="W127" s="134">
        <f t="shared" si="57"/>
        <v>0</v>
      </c>
      <c r="X127" s="134">
        <f t="shared" si="43"/>
        <v>0</v>
      </c>
      <c r="Y127" s="134">
        <f t="shared" si="20"/>
        <v>0</v>
      </c>
      <c r="Z127" s="134" t="e">
        <f>IF(N127&lt;=(#REF!+1),D$3,Z126-J126)</f>
        <v>#REF!</v>
      </c>
      <c r="AA127" s="134">
        <f t="shared" si="58"/>
        <v>0</v>
      </c>
      <c r="AB127" s="134">
        <f t="shared" si="3"/>
        <v>0</v>
      </c>
      <c r="AC127" s="134">
        <f t="shared" si="31"/>
        <v>0</v>
      </c>
      <c r="AD127" s="134"/>
      <c r="AE127" s="134">
        <f t="shared" si="40"/>
        <v>0</v>
      </c>
      <c r="AF127" s="134">
        <f t="shared" si="40"/>
        <v>0</v>
      </c>
      <c r="AG127" s="134">
        <f t="shared" si="44"/>
        <v>0</v>
      </c>
      <c r="AH127" s="134">
        <f t="shared" si="5"/>
        <v>0</v>
      </c>
      <c r="AI127" s="134">
        <f t="shared" si="45"/>
        <v>0</v>
      </c>
      <c r="AJ127" s="134">
        <f t="shared" si="6"/>
        <v>0</v>
      </c>
      <c r="AK127" s="134">
        <f t="shared" si="7"/>
        <v>0</v>
      </c>
      <c r="AL127" s="134">
        <f t="shared" si="59"/>
        <v>0</v>
      </c>
      <c r="AM127" s="134">
        <f t="shared" si="60"/>
        <v>0</v>
      </c>
      <c r="AN127" s="132">
        <f t="shared" si="46"/>
        <v>0</v>
      </c>
      <c r="AO127" s="132">
        <f t="shared" si="8"/>
        <v>0</v>
      </c>
      <c r="AP127" s="2">
        <f t="shared" si="47"/>
        <v>0</v>
      </c>
      <c r="AQ127" s="2">
        <f t="shared" si="9"/>
        <v>0</v>
      </c>
      <c r="AR127" s="2">
        <f t="shared" si="10"/>
        <v>0</v>
      </c>
      <c r="AS127" s="2">
        <f t="shared" si="11"/>
        <v>30</v>
      </c>
      <c r="AT127" s="2">
        <f t="shared" si="26"/>
        <v>20</v>
      </c>
      <c r="AU127" s="2">
        <f t="shared" si="27"/>
        <v>30</v>
      </c>
      <c r="AV127" s="2"/>
      <c r="AW127" s="2"/>
      <c r="AX127" s="2"/>
      <c r="AY127" s="2"/>
      <c r="AZ127" s="2"/>
      <c r="BA127" s="2" t="e">
        <f>IF(#REF!=0,0,IF(O127=1,1,0))</f>
        <v>#REF!</v>
      </c>
      <c r="BB127" s="2"/>
      <c r="BC127" s="2"/>
      <c r="BD127" s="2"/>
      <c r="BE127" s="2"/>
      <c r="BF127" s="2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</row>
    <row r="128" spans="1:143" s="24" customFormat="1" ht="14.25" hidden="1">
      <c r="A128" s="4"/>
      <c r="B128" s="648" t="str">
        <f t="shared" si="41"/>
        <v xml:space="preserve"> </v>
      </c>
      <c r="C128" s="648"/>
      <c r="D128" s="318">
        <f t="shared" si="49"/>
        <v>0</v>
      </c>
      <c r="E128" s="318"/>
      <c r="F128" s="318"/>
      <c r="G128" s="255" t="str">
        <f>IF(O128=0,IF(O127=1,SUM(G$70:G127)," "),IF(N$40=1,Q128,IF(N$40=2,R128," ")))</f>
        <v xml:space="preserve"> </v>
      </c>
      <c r="H128" s="255">
        <v>0</v>
      </c>
      <c r="I128" s="255" t="str">
        <f t="shared" si="14"/>
        <v xml:space="preserve"> </v>
      </c>
      <c r="J128" s="255">
        <f>IF(O128=1,IF(O129=1,IF(N128&lt;=#REF!,U128,AX$71),D$3-AX$71*N$61+AX$71),0)</f>
        <v>0</v>
      </c>
      <c r="K128" s="255">
        <f t="shared" si="0"/>
        <v>0</v>
      </c>
      <c r="L128" s="255">
        <v>0</v>
      </c>
      <c r="M128" s="255" t="str">
        <f t="shared" si="15"/>
        <v xml:space="preserve"> </v>
      </c>
      <c r="N128" s="2">
        <v>59</v>
      </c>
      <c r="O128" s="2">
        <f t="shared" si="30"/>
        <v>0</v>
      </c>
      <c r="P128" s="2">
        <f t="shared" si="38"/>
        <v>20</v>
      </c>
      <c r="Q128" s="134">
        <f t="shared" si="39"/>
        <v>0</v>
      </c>
      <c r="R128" s="134">
        <f t="shared" si="39"/>
        <v>0</v>
      </c>
      <c r="S128" s="134">
        <f t="shared" si="42"/>
        <v>0</v>
      </c>
      <c r="T128" s="134" t="e">
        <f>IF(N128&lt;=#REF!,D$3/(D$8-N127),D128)</f>
        <v>#REF!</v>
      </c>
      <c r="U128" s="134" t="e">
        <f t="shared" si="18"/>
        <v>#REF!</v>
      </c>
      <c r="V128" s="134">
        <f t="shared" si="56"/>
        <v>0</v>
      </c>
      <c r="W128" s="134">
        <f t="shared" si="57"/>
        <v>0</v>
      </c>
      <c r="X128" s="134">
        <f t="shared" si="43"/>
        <v>0</v>
      </c>
      <c r="Y128" s="134">
        <f t="shared" si="20"/>
        <v>0</v>
      </c>
      <c r="Z128" s="134" t="e">
        <f>IF(N128&lt;=(#REF!+1),D$3,Z127-J127)</f>
        <v>#REF!</v>
      </c>
      <c r="AA128" s="134">
        <f t="shared" si="58"/>
        <v>0</v>
      </c>
      <c r="AB128" s="134">
        <f t="shared" si="3"/>
        <v>0</v>
      </c>
      <c r="AC128" s="134">
        <f t="shared" si="31"/>
        <v>0</v>
      </c>
      <c r="AD128" s="134"/>
      <c r="AE128" s="134">
        <f t="shared" si="40"/>
        <v>0</v>
      </c>
      <c r="AF128" s="134">
        <f t="shared" si="40"/>
        <v>0</v>
      </c>
      <c r="AG128" s="134">
        <f t="shared" si="44"/>
        <v>0</v>
      </c>
      <c r="AH128" s="134">
        <f t="shared" si="5"/>
        <v>0</v>
      </c>
      <c r="AI128" s="134">
        <f t="shared" si="45"/>
        <v>0</v>
      </c>
      <c r="AJ128" s="134">
        <f t="shared" si="6"/>
        <v>0</v>
      </c>
      <c r="AK128" s="134">
        <f t="shared" si="7"/>
        <v>0</v>
      </c>
      <c r="AL128" s="134">
        <f t="shared" si="59"/>
        <v>0</v>
      </c>
      <c r="AM128" s="134">
        <f t="shared" si="60"/>
        <v>0</v>
      </c>
      <c r="AN128" s="132">
        <f t="shared" si="46"/>
        <v>0</v>
      </c>
      <c r="AO128" s="132">
        <f t="shared" si="8"/>
        <v>0</v>
      </c>
      <c r="AP128" s="2">
        <f t="shared" si="47"/>
        <v>0</v>
      </c>
      <c r="AQ128" s="2">
        <f t="shared" si="9"/>
        <v>0</v>
      </c>
      <c r="AR128" s="2">
        <f t="shared" si="10"/>
        <v>0</v>
      </c>
      <c r="AS128" s="2">
        <f t="shared" si="11"/>
        <v>30</v>
      </c>
      <c r="AT128" s="2">
        <f t="shared" si="26"/>
        <v>20</v>
      </c>
      <c r="AU128" s="2">
        <f t="shared" si="27"/>
        <v>30</v>
      </c>
      <c r="AV128" s="2"/>
      <c r="AW128" s="2"/>
      <c r="AX128" s="2"/>
      <c r="AY128" s="2"/>
      <c r="AZ128" s="2"/>
      <c r="BA128" s="2" t="e">
        <f>IF(#REF!=0,0,IF(O128=1,1,0))</f>
        <v>#REF!</v>
      </c>
      <c r="BB128" s="2"/>
      <c r="BC128" s="2"/>
      <c r="BD128" s="2"/>
      <c r="BE128" s="2"/>
      <c r="BF128" s="2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</row>
    <row r="129" spans="1:143" s="24" customFormat="1" ht="14.25" hidden="1">
      <c r="A129" s="4"/>
      <c r="B129" s="648" t="str">
        <f t="shared" si="41"/>
        <v xml:space="preserve"> </v>
      </c>
      <c r="C129" s="648"/>
      <c r="D129" s="318">
        <f t="shared" si="49"/>
        <v>0</v>
      </c>
      <c r="E129" s="318"/>
      <c r="F129" s="318"/>
      <c r="G129" s="255" t="str">
        <f>IF(O129=0,IF(O128=1,SUM(G$70:G128)," "),IF(N$40=1,Q129,IF(N$40=2,R129," ")))</f>
        <v xml:space="preserve"> </v>
      </c>
      <c r="H129" s="255">
        <v>0</v>
      </c>
      <c r="I129" s="255" t="str">
        <f t="shared" si="14"/>
        <v xml:space="preserve"> </v>
      </c>
      <c r="J129" s="255">
        <f>IF(O129=1,IF(O130=1,IF(N129&lt;=#REF!,U129,AX$71),D$3-AX$71*N$61+AX$71),0)</f>
        <v>0</v>
      </c>
      <c r="K129" s="255">
        <f t="shared" si="0"/>
        <v>0</v>
      </c>
      <c r="L129" s="255">
        <v>0</v>
      </c>
      <c r="M129" s="255" t="str">
        <f t="shared" si="15"/>
        <v xml:space="preserve"> </v>
      </c>
      <c r="N129" s="2">
        <v>60</v>
      </c>
      <c r="O129" s="2">
        <f t="shared" si="30"/>
        <v>0</v>
      </c>
      <c r="P129" s="2">
        <f t="shared" si="38"/>
        <v>20</v>
      </c>
      <c r="Q129" s="134">
        <f t="shared" si="39"/>
        <v>0</v>
      </c>
      <c r="R129" s="134">
        <f t="shared" si="39"/>
        <v>0</v>
      </c>
      <c r="S129" s="134">
        <f t="shared" si="42"/>
        <v>0</v>
      </c>
      <c r="T129" s="134" t="e">
        <f>IF(N129&lt;=#REF!,D$3/(D$8-N128),D129)</f>
        <v>#REF!</v>
      </c>
      <c r="U129" s="134" t="e">
        <f t="shared" si="18"/>
        <v>#REF!</v>
      </c>
      <c r="V129" s="134">
        <f t="shared" si="56"/>
        <v>0</v>
      </c>
      <c r="W129" s="134">
        <f t="shared" si="57"/>
        <v>0</v>
      </c>
      <c r="X129" s="134">
        <f t="shared" si="43"/>
        <v>0</v>
      </c>
      <c r="Y129" s="134">
        <f t="shared" si="20"/>
        <v>0</v>
      </c>
      <c r="Z129" s="134" t="e">
        <f>IF(N129&lt;=(#REF!+1),D$3,Z128-J128)</f>
        <v>#REF!</v>
      </c>
      <c r="AA129" s="134">
        <f t="shared" si="58"/>
        <v>0</v>
      </c>
      <c r="AB129" s="134">
        <f t="shared" si="3"/>
        <v>0</v>
      </c>
      <c r="AC129" s="134">
        <f t="shared" si="31"/>
        <v>0</v>
      </c>
      <c r="AD129" s="134"/>
      <c r="AE129" s="134">
        <f t="shared" si="40"/>
        <v>0</v>
      </c>
      <c r="AF129" s="134">
        <f t="shared" si="40"/>
        <v>0</v>
      </c>
      <c r="AG129" s="134">
        <f t="shared" si="44"/>
        <v>0</v>
      </c>
      <c r="AH129" s="134">
        <f t="shared" si="5"/>
        <v>0</v>
      </c>
      <c r="AI129" s="134">
        <f t="shared" si="45"/>
        <v>0</v>
      </c>
      <c r="AJ129" s="134">
        <f t="shared" si="6"/>
        <v>0</v>
      </c>
      <c r="AK129" s="134">
        <f t="shared" si="7"/>
        <v>0</v>
      </c>
      <c r="AL129" s="134">
        <f t="shared" si="59"/>
        <v>0</v>
      </c>
      <c r="AM129" s="134">
        <f t="shared" si="60"/>
        <v>0</v>
      </c>
      <c r="AN129" s="132">
        <f t="shared" si="46"/>
        <v>0</v>
      </c>
      <c r="AO129" s="132">
        <f t="shared" si="8"/>
        <v>0</v>
      </c>
      <c r="AP129" s="2">
        <f t="shared" si="47"/>
        <v>0</v>
      </c>
      <c r="AQ129" s="2">
        <f t="shared" si="9"/>
        <v>0</v>
      </c>
      <c r="AR129" s="2">
        <f t="shared" si="10"/>
        <v>0</v>
      </c>
      <c r="AS129" s="2">
        <f t="shared" si="11"/>
        <v>30</v>
      </c>
      <c r="AT129" s="2">
        <f t="shared" si="26"/>
        <v>20</v>
      </c>
      <c r="AU129" s="2">
        <f t="shared" si="27"/>
        <v>30</v>
      </c>
      <c r="AV129" s="2"/>
      <c r="AW129" s="2"/>
      <c r="AX129" s="2"/>
      <c r="AY129" s="2"/>
      <c r="AZ129" s="2"/>
      <c r="BA129" s="2" t="e">
        <f>IF(#REF!=0,0,IF(O129=1,1,0))</f>
        <v>#REF!</v>
      </c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</row>
    <row r="130" spans="1:143" s="24" customFormat="1" ht="14.25" hidden="1">
      <c r="A130" s="4"/>
      <c r="B130" s="648" t="str">
        <f t="shared" si="41"/>
        <v xml:space="preserve"> </v>
      </c>
      <c r="C130" s="648"/>
      <c r="D130" s="318">
        <f t="shared" si="49"/>
        <v>0</v>
      </c>
      <c r="E130" s="318"/>
      <c r="F130" s="318"/>
      <c r="G130" s="255" t="str">
        <f>IF(O130=0,IF(O129=1,SUM(G$70:G129)," "),IF(N$40=1,Q130,IF(N$40=2,R130," ")))</f>
        <v xml:space="preserve"> </v>
      </c>
      <c r="H130" s="255">
        <v>0</v>
      </c>
      <c r="I130" s="255" t="str">
        <f t="shared" si="14"/>
        <v xml:space="preserve"> </v>
      </c>
      <c r="J130" s="255">
        <f>IF(O130=1,IF(O131=1,IF(N130&lt;=#REF!,U130,AX$71),D$3-AX$71*N$61+AX$71),0)</f>
        <v>0</v>
      </c>
      <c r="K130" s="255">
        <f t="shared" si="0"/>
        <v>0</v>
      </c>
      <c r="L130" s="255">
        <v>0</v>
      </c>
      <c r="M130" s="255" t="str">
        <f t="shared" si="15"/>
        <v xml:space="preserve"> </v>
      </c>
      <c r="N130" s="2">
        <v>61</v>
      </c>
      <c r="O130" s="2">
        <f t="shared" si="30"/>
        <v>0</v>
      </c>
      <c r="P130" s="2">
        <f t="shared" si="38"/>
        <v>20</v>
      </c>
      <c r="Q130" s="134">
        <f t="shared" si="39"/>
        <v>0</v>
      </c>
      <c r="R130" s="134">
        <f t="shared" si="39"/>
        <v>0</v>
      </c>
      <c r="S130" s="134">
        <f t="shared" si="42"/>
        <v>0</v>
      </c>
      <c r="T130" s="134" t="e">
        <f>IF(N130&lt;=#REF!,D$3/(D$8-N129),D130)</f>
        <v>#REF!</v>
      </c>
      <c r="U130" s="134" t="e">
        <f t="shared" si="18"/>
        <v>#REF!</v>
      </c>
      <c r="V130" s="134">
        <f>IF(O131=1,S129*D$5*20/36000+S130*D$5*10/36000,IF(O131=0,IF(O130=0,0,IF(D$9&gt;20,S129*D$5*20/36000+S130*D$5*(R$57-20)/36000,S130*D$5*R$57/36000))))</f>
        <v>0</v>
      </c>
      <c r="W130" s="134">
        <f>IF(O131=1,S129*D$5*20/36000+S130*D$5*10/36000,IF(O131=0,IF(O130=0,0,IF(D$9&gt;20,S129*D$5*20/36000+S130*D$5*(R$57-20)/36000,S130*D$5*R$57/36000))))</f>
        <v>0</v>
      </c>
      <c r="X130" s="134">
        <f>IF(O131=1,D3*D$5*20/36000+D3*D$5*10/36000,IF(O131=0,IF(O130=0,0,D3*D$5*R$57/36000)))</f>
        <v>0</v>
      </c>
      <c r="Y130" s="134">
        <f t="shared" si="20"/>
        <v>0</v>
      </c>
      <c r="Z130" s="134" t="e">
        <f>IF(N130&lt;=(#REF!+1),D$3,Z129-J129)</f>
        <v>#REF!</v>
      </c>
      <c r="AA130" s="134">
        <f>IF(O131=1,Z129*D$5*20/36000+Z130*D$5*10/36000,IF(O131=0,IF(O130=0,0,IF(D$9&gt;20,Z129*D$5*20/36000+Z130*D$5*(R$57-20)/36000,Z130*D$5*R$57/36000))))</f>
        <v>0</v>
      </c>
      <c r="AB130" s="134">
        <f t="shared" si="3"/>
        <v>0</v>
      </c>
      <c r="AC130" s="134">
        <f>S130*R$57</f>
        <v>0</v>
      </c>
      <c r="AD130" s="134"/>
      <c r="AE130" s="134">
        <f t="shared" si="40"/>
        <v>0</v>
      </c>
      <c r="AF130" s="134">
        <f t="shared" si="40"/>
        <v>0</v>
      </c>
      <c r="AG130" s="134">
        <f>IF(O131=1,D3*H$57*20/36000+D3*H$57*10/36000,IF(O131=0,IF(O130=0,0,D3*H$57*R$57/36000)))</f>
        <v>0</v>
      </c>
      <c r="AH130" s="134">
        <f t="shared" si="5"/>
        <v>0</v>
      </c>
      <c r="AI130" s="134">
        <f>IF(O131=1,Z129*H$57*20/36000+Z130*H$57*10/36000,IF(O131=0,IF(O130=0,0,Z130*H$57*R$57/36000)))</f>
        <v>0</v>
      </c>
      <c r="AJ130" s="134">
        <f t="shared" si="6"/>
        <v>0</v>
      </c>
      <c r="AK130" s="134">
        <f t="shared" si="7"/>
        <v>0</v>
      </c>
      <c r="AL130" s="134">
        <f>IF(O131=1,AK129*H$57*20/36000+AK130*H$57*10/36000,IF(O131=0,IF(O130=0,0,AK130*H$57*R$57/36000)))</f>
        <v>0</v>
      </c>
      <c r="AM130" s="134">
        <f>IF(O131=1,AK129*H$57*20/36000+AK130*H$57*10/36000,IF(O131=0,IF(O130=0,0,AK130*H$57*R$57/36000)))</f>
        <v>0</v>
      </c>
      <c r="AN130" s="132">
        <f t="shared" si="46"/>
        <v>0</v>
      </c>
      <c r="AO130" s="132">
        <f t="shared" si="8"/>
        <v>0</v>
      </c>
      <c r="AP130" s="2">
        <f t="shared" si="47"/>
        <v>0</v>
      </c>
      <c r="AQ130" s="2">
        <f t="shared" si="9"/>
        <v>0</v>
      </c>
      <c r="AR130" s="2">
        <f t="shared" si="10"/>
        <v>0</v>
      </c>
      <c r="AS130" s="2">
        <f t="shared" si="11"/>
        <v>30</v>
      </c>
      <c r="AT130" s="2">
        <f t="shared" si="26"/>
        <v>20</v>
      </c>
      <c r="AU130" s="2">
        <f t="shared" si="27"/>
        <v>30</v>
      </c>
      <c r="AV130" s="2"/>
      <c r="AW130" s="2"/>
      <c r="AX130" s="2"/>
      <c r="AY130" s="2"/>
      <c r="AZ130" s="2"/>
      <c r="BA130" s="2" t="e">
        <f>IF(#REF!=0,0,IF(O130=1,1,0))</f>
        <v>#REF!</v>
      </c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</row>
    <row r="131" spans="1:143" s="175" customFormat="1" ht="15" customHeight="1">
      <c r="B131" s="568" t="s">
        <v>269</v>
      </c>
      <c r="C131" s="568"/>
      <c r="D131" s="645">
        <f>ROUNDDOWN(D68,0)</f>
        <v>2431</v>
      </c>
      <c r="E131" s="645"/>
      <c r="F131" s="645"/>
      <c r="G131" s="645">
        <f>G68</f>
        <v>886.94494133333387</v>
      </c>
      <c r="H131" s="645"/>
      <c r="I131" s="253"/>
      <c r="J131" s="253" t="e">
        <f>J68</f>
        <v>#REF!</v>
      </c>
      <c r="K131" s="646" t="e">
        <f>K68</f>
        <v>#REF!</v>
      </c>
      <c r="L131" s="647"/>
      <c r="M131" s="253" t="e">
        <f>M68</f>
        <v>#REF!</v>
      </c>
      <c r="N131" s="179"/>
      <c r="O131" s="177"/>
      <c r="P131" s="177"/>
      <c r="Q131" s="178"/>
      <c r="R131" s="178"/>
      <c r="S131" s="178"/>
      <c r="T131" s="178"/>
      <c r="U131" s="178"/>
      <c r="V131" s="178">
        <f>SUM(V70:V130)</f>
        <v>886.94494133333387</v>
      </c>
      <c r="W131" s="178">
        <f>SUM(W70:W130)</f>
        <v>886.94494133333387</v>
      </c>
      <c r="X131" s="178">
        <f>SUM(X70:X130)</f>
        <v>1595.964800000002</v>
      </c>
      <c r="Y131" s="178">
        <f>SUM(Y70:Y130)</f>
        <v>1440</v>
      </c>
      <c r="Z131" s="178"/>
      <c r="AA131" s="178"/>
      <c r="AB131" s="178"/>
      <c r="AC131" s="178">
        <f>SUM(AC70:AC130)</f>
        <v>1939507.2000000009</v>
      </c>
      <c r="AD131" s="178"/>
      <c r="AE131" s="178">
        <f>SUM(AE70:AE130)</f>
        <v>0</v>
      </c>
      <c r="AF131" s="178">
        <f>SUM(AF70:AF130)</f>
        <v>0</v>
      </c>
      <c r="AG131" s="178">
        <f>SUM(AG70:AG130)</f>
        <v>0</v>
      </c>
      <c r="AH131" s="178">
        <f>SUM(AH70:AH130)</f>
        <v>0</v>
      </c>
      <c r="AI131" s="178"/>
      <c r="AJ131" s="178"/>
      <c r="AK131" s="178">
        <f>SUM(AK70:AK130)</f>
        <v>63236.400000000009</v>
      </c>
      <c r="AL131" s="178">
        <f>SUM(AL70:AL130)</f>
        <v>0</v>
      </c>
      <c r="AM131" s="178">
        <f>SUM(AM70:AM130)</f>
        <v>0</v>
      </c>
      <c r="AN131" s="178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</row>
    <row r="132" spans="1:143" ht="66.75" hidden="1" customHeight="1">
      <c r="A132" s="28"/>
      <c r="B132" s="301"/>
      <c r="C132" s="301"/>
      <c r="D132" s="301"/>
      <c r="E132" s="301"/>
      <c r="F132" s="301"/>
      <c r="G132" s="301"/>
      <c r="H132" s="301"/>
      <c r="I132" s="301"/>
      <c r="J132" s="301"/>
      <c r="K132" s="301"/>
      <c r="L132" s="301"/>
      <c r="M132" s="301"/>
      <c r="N132" s="29"/>
      <c r="O132" s="29"/>
      <c r="P132" s="29"/>
      <c r="Q132" s="29"/>
      <c r="R132" s="29"/>
    </row>
    <row r="133" spans="1:143" ht="9" hidden="1" customHeight="1">
      <c r="A133" s="28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</row>
    <row r="134" spans="1:143" ht="6.75" hidden="1" customHeight="1">
      <c r="A134" s="28"/>
      <c r="B134" s="301"/>
      <c r="C134" s="301"/>
      <c r="D134" s="301"/>
      <c r="E134" s="301"/>
      <c r="F134" s="301"/>
      <c r="G134" s="301"/>
      <c r="H134" s="301"/>
      <c r="I134" s="301"/>
      <c r="J134" s="79"/>
      <c r="K134" s="79"/>
      <c r="L134" s="79"/>
      <c r="M134" s="79"/>
      <c r="N134" s="29"/>
      <c r="Q134" s="29"/>
      <c r="R134" s="29"/>
    </row>
    <row r="135" spans="1:143" ht="14.25" hidden="1" customHeight="1">
      <c r="A135" s="4"/>
      <c r="B135" s="2"/>
      <c r="C135" s="2"/>
      <c r="D135" s="2"/>
      <c r="E135" s="2"/>
      <c r="F135" s="2"/>
      <c r="G135" s="2"/>
      <c r="H135" s="30"/>
      <c r="I135" s="30"/>
      <c r="J135" s="30"/>
      <c r="K135" s="30"/>
      <c r="L135" s="30"/>
      <c r="M135" s="30"/>
      <c r="N135" s="30"/>
      <c r="O135" s="30"/>
      <c r="P135" s="30"/>
      <c r="Q135" s="30"/>
    </row>
    <row r="136" spans="1:143" ht="5.25" hidden="1" customHeight="1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43" s="19" customFormat="1" ht="19.5" hidden="1" customHeight="1">
      <c r="A137" s="4"/>
      <c r="B137" s="305"/>
      <c r="C137" s="305"/>
      <c r="D137" s="305"/>
      <c r="E137" s="305"/>
      <c r="F137" s="305"/>
      <c r="G137" s="305"/>
      <c r="H137" s="305"/>
      <c r="I137" s="305"/>
      <c r="J137" s="305"/>
      <c r="K137" s="305"/>
      <c r="L137" s="305"/>
      <c r="M137" s="305"/>
      <c r="N137" s="2"/>
      <c r="O137" s="29"/>
      <c r="P137" s="29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</row>
    <row r="138" spans="1:143" s="19" customFormat="1" ht="30" hidden="1" customHeight="1">
      <c r="A138" s="31"/>
      <c r="B138" s="305"/>
      <c r="C138" s="305"/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2"/>
      <c r="O138" s="29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</row>
    <row r="139" spans="1:143" s="19" customFormat="1" ht="5.25" hidden="1" customHeight="1">
      <c r="A139" s="3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2"/>
      <c r="O139" s="300"/>
      <c r="P139" s="300"/>
      <c r="Q139" s="300"/>
      <c r="R139" s="300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</row>
    <row r="140" spans="1:143" s="19" customFormat="1" ht="12.75" hidden="1" customHeight="1">
      <c r="A140" s="31"/>
      <c r="B140" s="302"/>
      <c r="C140" s="302"/>
      <c r="D140" s="302"/>
      <c r="E140" s="302"/>
      <c r="F140" s="302"/>
      <c r="G140" s="302"/>
      <c r="H140" s="302"/>
      <c r="I140" s="302"/>
      <c r="J140" s="302"/>
      <c r="K140" s="302"/>
      <c r="L140" s="104"/>
      <c r="M140" s="104"/>
      <c r="N140" s="2"/>
      <c r="O140" s="2"/>
      <c r="P140" s="2"/>
      <c r="Q140" s="2"/>
      <c r="R140" s="2"/>
      <c r="S140" s="2"/>
      <c r="T140" s="2"/>
      <c r="U140" s="2"/>
      <c r="V140" s="2" t="s">
        <v>42</v>
      </c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</row>
    <row r="141" spans="1:143" s="34" customFormat="1" ht="25.5" hidden="1" customHeight="1">
      <c r="A141" s="32">
        <f t="shared" ref="A141:A147" si="61">IF(LEFT(B141,1)="I",1,0)</f>
        <v>0</v>
      </c>
      <c r="B141" s="299"/>
      <c r="C141" s="299"/>
      <c r="D141" s="299"/>
      <c r="E141" s="299"/>
      <c r="F141" s="299"/>
      <c r="G141" s="299"/>
      <c r="H141" s="299"/>
      <c r="I141" s="299"/>
      <c r="J141" s="67"/>
      <c r="K141" s="67"/>
      <c r="L141" s="67"/>
      <c r="M141" s="67"/>
      <c r="N141" s="137"/>
      <c r="O141" s="138"/>
      <c r="P141" s="138"/>
      <c r="Q141" s="138"/>
      <c r="R141" s="138"/>
      <c r="S141" s="138"/>
      <c r="T141" s="138"/>
      <c r="U141" s="138"/>
      <c r="V141" s="138" t="s">
        <v>43</v>
      </c>
      <c r="W141" s="138" t="s">
        <v>43</v>
      </c>
      <c r="X141" s="138"/>
      <c r="Y141" s="138"/>
      <c r="Z141" s="138"/>
      <c r="AA141" s="138"/>
      <c r="AB141" s="138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</row>
    <row r="142" spans="1:143" s="34" customFormat="1" ht="25.5" hidden="1" customHeight="1">
      <c r="A142" s="32">
        <f t="shared" si="61"/>
        <v>0</v>
      </c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137"/>
      <c r="O142" s="139"/>
      <c r="P142" s="139"/>
      <c r="Q142" s="139"/>
      <c r="R142" s="139"/>
      <c r="S142" s="139"/>
      <c r="T142" s="139"/>
      <c r="U142" s="139"/>
      <c r="V142" s="139" t="s">
        <v>45</v>
      </c>
      <c r="W142" s="139" t="s">
        <v>45</v>
      </c>
      <c r="X142" s="139"/>
      <c r="Y142" s="139"/>
      <c r="Z142" s="139"/>
      <c r="AA142" s="139"/>
      <c r="AB142" s="139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</row>
    <row r="143" spans="1:143" s="34" customFormat="1" ht="25.5" hidden="1" customHeight="1">
      <c r="A143" s="32">
        <f t="shared" si="61"/>
        <v>0</v>
      </c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137"/>
      <c r="O143" s="139"/>
      <c r="P143" s="139"/>
      <c r="Q143" s="139"/>
      <c r="R143" s="139"/>
      <c r="S143" s="139"/>
      <c r="T143" s="139"/>
      <c r="U143" s="139"/>
      <c r="V143" s="138" t="s">
        <v>48</v>
      </c>
      <c r="W143" s="138" t="s">
        <v>48</v>
      </c>
      <c r="X143" s="138"/>
      <c r="Y143" s="138"/>
      <c r="Z143" s="138"/>
      <c r="AA143" s="138"/>
      <c r="AB143" s="138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143" s="34" customFormat="1" ht="25.5" hidden="1" customHeight="1">
      <c r="A144" s="32">
        <f t="shared" si="61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40"/>
      <c r="T144" s="140"/>
      <c r="U144" s="140"/>
      <c r="V144" s="139" t="s">
        <v>98</v>
      </c>
      <c r="W144" s="139" t="s">
        <v>98</v>
      </c>
      <c r="X144" s="139"/>
      <c r="Y144" s="139"/>
      <c r="Z144" s="139"/>
      <c r="AA144" s="139"/>
      <c r="AB144" s="139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61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9" t="s">
        <v>54</v>
      </c>
      <c r="W145" s="139" t="s">
        <v>55</v>
      </c>
      <c r="X145" s="139"/>
      <c r="Y145" s="139"/>
      <c r="Z145" s="139"/>
      <c r="AA145" s="139"/>
      <c r="AB145" s="139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61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39"/>
      <c r="T146" s="139"/>
      <c r="U146" s="139"/>
      <c r="V146" s="139" t="s">
        <v>106</v>
      </c>
      <c r="W146" s="139" t="s">
        <v>106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61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9"/>
      <c r="T147" s="139"/>
      <c r="U147" s="139"/>
      <c r="V147" s="138" t="s">
        <v>61</v>
      </c>
      <c r="W147" s="138" t="s">
        <v>62</v>
      </c>
      <c r="X147" s="138"/>
      <c r="Y147" s="138"/>
      <c r="Z147" s="138"/>
      <c r="AA147" s="138"/>
      <c r="AB147" s="138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9"/>
      <c r="T148" s="141"/>
      <c r="U148" s="141"/>
      <c r="V148" s="139"/>
      <c r="W148" s="138"/>
      <c r="X148" s="138"/>
      <c r="Y148" s="138"/>
      <c r="Z148" s="138"/>
      <c r="AA148" s="138"/>
      <c r="AB148" s="138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ref="A149:A164" si="62">IF(LEFT(B149,1)="I",1,0)</f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9"/>
      <c r="T149" s="139"/>
      <c r="U149" s="139"/>
      <c r="V149" s="139" t="s">
        <v>36</v>
      </c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>
        <f t="shared" si="62"/>
        <v>0</v>
      </c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9"/>
      <c r="P150" s="139"/>
      <c r="Q150" s="139"/>
      <c r="R150" s="139"/>
      <c r="S150" s="139"/>
      <c r="T150" s="139"/>
      <c r="U150" s="139"/>
      <c r="V150" s="139" t="s">
        <v>36</v>
      </c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si="62"/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9"/>
      <c r="P151" s="139"/>
      <c r="Q151" s="139"/>
      <c r="R151" s="139"/>
      <c r="S151" s="138"/>
      <c r="T151" s="138"/>
      <c r="U151" s="138"/>
      <c r="V151" s="139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62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9"/>
      <c r="T152" s="139"/>
      <c r="U152" s="139"/>
      <c r="V152" s="139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62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9"/>
      <c r="T153" s="139"/>
      <c r="U153" s="139"/>
      <c r="V153" s="137" t="s">
        <v>36</v>
      </c>
      <c r="W153" s="138" t="s">
        <v>48</v>
      </c>
      <c r="X153" s="138"/>
      <c r="Y153" s="138"/>
      <c r="Z153" s="138"/>
      <c r="AA153" s="138"/>
      <c r="AB153" s="138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62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9"/>
      <c r="R154" s="139"/>
      <c r="S154" s="139"/>
      <c r="T154" s="139"/>
      <c r="U154" s="139"/>
      <c r="V154" s="137" t="s">
        <v>36</v>
      </c>
      <c r="W154" s="139" t="s">
        <v>98</v>
      </c>
      <c r="X154" s="139"/>
      <c r="Y154" s="139"/>
      <c r="Z154" s="139"/>
      <c r="AA154" s="139"/>
      <c r="AB154" s="139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62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9"/>
      <c r="P155" s="139"/>
      <c r="Q155" s="139"/>
      <c r="R155" s="139"/>
      <c r="S155" s="138"/>
      <c r="T155" s="138"/>
      <c r="U155" s="138"/>
      <c r="V155" s="137" t="s">
        <v>36</v>
      </c>
      <c r="W155" s="139" t="s">
        <v>54</v>
      </c>
      <c r="X155" s="139"/>
      <c r="Y155" s="139"/>
      <c r="Z155" s="139"/>
      <c r="AA155" s="139"/>
      <c r="AB155" s="139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  <row r="156" spans="1:70" s="34" customFormat="1" ht="25.5" hidden="1" customHeight="1">
      <c r="A156" s="32">
        <f t="shared" si="62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137"/>
      <c r="O156" s="139"/>
      <c r="P156" s="139"/>
      <c r="Q156" s="139"/>
      <c r="R156" s="139"/>
      <c r="S156" s="137"/>
      <c r="T156" s="137"/>
      <c r="U156" s="137"/>
      <c r="V156" s="137" t="s">
        <v>36</v>
      </c>
      <c r="W156" s="139" t="s">
        <v>73</v>
      </c>
      <c r="X156" s="139"/>
      <c r="Y156" s="139"/>
      <c r="Z156" s="139"/>
      <c r="AA156" s="139"/>
      <c r="AB156" s="139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</row>
    <row r="157" spans="1:70" s="34" customFormat="1" ht="25.5" hidden="1" customHeight="1">
      <c r="A157" s="32">
        <f t="shared" si="62"/>
        <v>0</v>
      </c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137"/>
      <c r="O157" s="139"/>
      <c r="P157" s="139"/>
      <c r="Q157" s="139"/>
      <c r="R157" s="139"/>
      <c r="S157" s="139"/>
      <c r="T157" s="139"/>
      <c r="U157" s="139"/>
      <c r="V157" s="139" t="s">
        <v>36</v>
      </c>
      <c r="W157" s="139" t="s">
        <v>105</v>
      </c>
      <c r="X157" s="139"/>
      <c r="Y157" s="139"/>
      <c r="Z157" s="139"/>
      <c r="AA157" s="139"/>
      <c r="AB157" s="139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</row>
    <row r="158" spans="1:70" s="34" customFormat="1" ht="25.5" hidden="1" customHeight="1">
      <c r="A158" s="32">
        <f t="shared" si="62"/>
        <v>0</v>
      </c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137"/>
      <c r="O158" s="139"/>
      <c r="P158" s="139"/>
      <c r="Q158" s="139"/>
      <c r="R158" s="139"/>
      <c r="S158" s="138"/>
      <c r="T158" s="138"/>
      <c r="U158" s="138"/>
      <c r="V158" s="138" t="s">
        <v>36</v>
      </c>
      <c r="W158" s="137" t="s">
        <v>36</v>
      </c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</row>
    <row r="159" spans="1:70" s="34" customFormat="1" ht="25.5" hidden="1" customHeight="1">
      <c r="A159" s="32">
        <f t="shared" si="62"/>
        <v>0</v>
      </c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137"/>
      <c r="O159" s="138"/>
      <c r="P159" s="138"/>
      <c r="Q159" s="138"/>
      <c r="R159" s="138"/>
      <c r="S159" s="138"/>
      <c r="T159" s="138"/>
      <c r="U159" s="138"/>
      <c r="V159" s="138" t="s">
        <v>36</v>
      </c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</row>
    <row r="160" spans="1:70" s="34" customFormat="1" ht="25.5" hidden="1" customHeight="1">
      <c r="A160" s="32">
        <f t="shared" si="62"/>
        <v>0</v>
      </c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137"/>
      <c r="O160" s="139"/>
      <c r="P160" s="139"/>
      <c r="Q160" s="139"/>
      <c r="R160" s="139"/>
      <c r="S160" s="138"/>
      <c r="T160" s="138"/>
      <c r="U160" s="138"/>
      <c r="V160" s="138" t="s">
        <v>36</v>
      </c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</row>
    <row r="161" spans="1:70" s="34" customFormat="1" ht="25.5" hidden="1" customHeight="1">
      <c r="A161" s="32">
        <f t="shared" si="62"/>
        <v>0</v>
      </c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137"/>
      <c r="O161" s="139"/>
      <c r="P161" s="139"/>
      <c r="Q161" s="139"/>
      <c r="R161" s="139"/>
      <c r="S161" s="138"/>
      <c r="T161" s="138"/>
      <c r="U161" s="138"/>
      <c r="V161" s="138" t="s">
        <v>36</v>
      </c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</row>
    <row r="162" spans="1:70" s="34" customFormat="1" ht="25.5" hidden="1" customHeight="1">
      <c r="A162" s="32">
        <f t="shared" si="62"/>
        <v>0</v>
      </c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137"/>
      <c r="O162" s="139"/>
      <c r="P162" s="139"/>
      <c r="Q162" s="139"/>
      <c r="R162" s="139"/>
      <c r="S162" s="138"/>
      <c r="T162" s="138"/>
      <c r="U162" s="138"/>
      <c r="V162" s="138" t="s">
        <v>36</v>
      </c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</row>
    <row r="163" spans="1:70" s="34" customFormat="1" ht="25.5" hidden="1" customHeight="1">
      <c r="A163" s="32">
        <f t="shared" si="62"/>
        <v>0</v>
      </c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137"/>
      <c r="O163" s="139"/>
      <c r="P163" s="139"/>
      <c r="Q163" s="138"/>
      <c r="R163" s="138"/>
      <c r="S163" s="138"/>
      <c r="T163" s="138"/>
      <c r="U163" s="138"/>
      <c r="V163" s="138" t="s">
        <v>36</v>
      </c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</row>
    <row r="164" spans="1:70" s="34" customFormat="1" ht="25.5" hidden="1" customHeight="1">
      <c r="A164" s="32">
        <f t="shared" si="62"/>
        <v>0</v>
      </c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137"/>
      <c r="O164" s="138"/>
      <c r="P164" s="138"/>
      <c r="Q164" s="138"/>
      <c r="R164" s="138"/>
      <c r="S164" s="138"/>
      <c r="T164" s="138"/>
      <c r="U164" s="138"/>
      <c r="V164" s="138" t="s">
        <v>36</v>
      </c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</row>
    <row r="166" spans="1:70" hidden="1"/>
    <row r="167" spans="1:70" hidden="1">
      <c r="C167" s="642">
        <f>D9</f>
        <v>45292</v>
      </c>
      <c r="D167" s="643"/>
      <c r="E167" s="643"/>
      <c r="F167" s="643"/>
      <c r="G167" s="249"/>
      <c r="H167" s="644" t="e">
        <f>#REF!</f>
        <v>#REF!</v>
      </c>
      <c r="I167" s="643"/>
      <c r="J167" s="643"/>
      <c r="K167" s="643"/>
    </row>
    <row r="168" spans="1:70" hidden="1">
      <c r="C168" s="2"/>
      <c r="D168" s="2"/>
      <c r="E168" s="2"/>
      <c r="F168" s="2"/>
      <c r="G168" s="239" t="s">
        <v>268</v>
      </c>
      <c r="H168" s="2"/>
      <c r="I168" s="2"/>
      <c r="J168" s="239" t="s">
        <v>308</v>
      </c>
      <c r="K168" s="2"/>
    </row>
    <row r="169" spans="1:70" hidden="1"/>
    <row r="170" spans="1:70" hidden="1"/>
    <row r="171" spans="1:70" hidden="1"/>
    <row r="172" spans="1:70" hidden="1"/>
  </sheetData>
  <mergeCells count="237">
    <mergeCell ref="B1:C1"/>
    <mergeCell ref="B3:C3"/>
    <mergeCell ref="D3:F3"/>
    <mergeCell ref="D6:F6"/>
    <mergeCell ref="B7:C7"/>
    <mergeCell ref="D7:G7"/>
    <mergeCell ref="D4:F4"/>
    <mergeCell ref="B4:C4"/>
    <mergeCell ref="B10:C10"/>
    <mergeCell ref="D10:G10"/>
    <mergeCell ref="D11:G11"/>
    <mergeCell ref="B13:M13"/>
    <mergeCell ref="B14:M14"/>
    <mergeCell ref="B15:M15"/>
    <mergeCell ref="B8:C8"/>
    <mergeCell ref="D8:F8"/>
    <mergeCell ref="B5:C5"/>
    <mergeCell ref="D5:F5"/>
    <mergeCell ref="B6:C6"/>
    <mergeCell ref="B9:C9"/>
    <mergeCell ref="D9:F9"/>
    <mergeCell ref="B16:M16"/>
    <mergeCell ref="C17:F17"/>
    <mergeCell ref="G17:M17"/>
    <mergeCell ref="C18:F18"/>
    <mergeCell ref="I18:M18"/>
    <mergeCell ref="B19:B20"/>
    <mergeCell ref="C19:F20"/>
    <mergeCell ref="I19:M19"/>
    <mergeCell ref="G20:M20"/>
    <mergeCell ref="B21:B22"/>
    <mergeCell ref="C21:F22"/>
    <mergeCell ref="H21:M21"/>
    <mergeCell ref="G22:M22"/>
    <mergeCell ref="B23:B25"/>
    <mergeCell ref="C23:F25"/>
    <mergeCell ref="H23:M23"/>
    <mergeCell ref="G24:M24"/>
    <mergeCell ref="I25:M25"/>
    <mergeCell ref="C29:F29"/>
    <mergeCell ref="G29:M29"/>
    <mergeCell ref="C30:F30"/>
    <mergeCell ref="G30:M30"/>
    <mergeCell ref="C31:F31"/>
    <mergeCell ref="G31:M31"/>
    <mergeCell ref="C26:F26"/>
    <mergeCell ref="G26:M26"/>
    <mergeCell ref="C27:F27"/>
    <mergeCell ref="G27:M27"/>
    <mergeCell ref="C28:F28"/>
    <mergeCell ref="G28:M28"/>
    <mergeCell ref="B32:B35"/>
    <mergeCell ref="C32:F35"/>
    <mergeCell ref="G35:M35"/>
    <mergeCell ref="C36:F36"/>
    <mergeCell ref="G36:M36"/>
    <mergeCell ref="B38:F38"/>
    <mergeCell ref="G38:H38"/>
    <mergeCell ref="G32:K32"/>
    <mergeCell ref="G34:M34"/>
    <mergeCell ref="B44:D44"/>
    <mergeCell ref="E44:G44"/>
    <mergeCell ref="B46:M47"/>
    <mergeCell ref="B50:M50"/>
    <mergeCell ref="N56:Q56"/>
    <mergeCell ref="N57:Q57"/>
    <mergeCell ref="B39:F39"/>
    <mergeCell ref="G39:H39"/>
    <mergeCell ref="O40:R40"/>
    <mergeCell ref="J41:M42"/>
    <mergeCell ref="B43:D43"/>
    <mergeCell ref="E43:G43"/>
    <mergeCell ref="D69:F69"/>
    <mergeCell ref="B70:C70"/>
    <mergeCell ref="D70:F70"/>
    <mergeCell ref="B71:C71"/>
    <mergeCell ref="D71:F71"/>
    <mergeCell ref="D65:G65"/>
    <mergeCell ref="D66:G66"/>
    <mergeCell ref="D67:G67"/>
    <mergeCell ref="D68:F68"/>
    <mergeCell ref="B69:C69"/>
    <mergeCell ref="B75:C75"/>
    <mergeCell ref="D75:F75"/>
    <mergeCell ref="B76:C76"/>
    <mergeCell ref="D76:F76"/>
    <mergeCell ref="B77:C77"/>
    <mergeCell ref="D77:F77"/>
    <mergeCell ref="B72:C72"/>
    <mergeCell ref="D72:F72"/>
    <mergeCell ref="B73:C73"/>
    <mergeCell ref="D73:F73"/>
    <mergeCell ref="B74:C74"/>
    <mergeCell ref="D74:F74"/>
    <mergeCell ref="B81:C81"/>
    <mergeCell ref="D81:F81"/>
    <mergeCell ref="B82:C82"/>
    <mergeCell ref="D82:F82"/>
    <mergeCell ref="B83:C83"/>
    <mergeCell ref="D83:F83"/>
    <mergeCell ref="B78:C78"/>
    <mergeCell ref="D78:F78"/>
    <mergeCell ref="B79:C79"/>
    <mergeCell ref="D79:F79"/>
    <mergeCell ref="B80:C80"/>
    <mergeCell ref="D80:F80"/>
    <mergeCell ref="B87:C87"/>
    <mergeCell ref="D87:F87"/>
    <mergeCell ref="B88:C88"/>
    <mergeCell ref="D88:F88"/>
    <mergeCell ref="B89:C89"/>
    <mergeCell ref="D89:F89"/>
    <mergeCell ref="B84:C84"/>
    <mergeCell ref="D84:F84"/>
    <mergeCell ref="B85:C85"/>
    <mergeCell ref="D85:F85"/>
    <mergeCell ref="B86:C86"/>
    <mergeCell ref="D86:F86"/>
    <mergeCell ref="B93:C93"/>
    <mergeCell ref="D93:F93"/>
    <mergeCell ref="B94:C94"/>
    <mergeCell ref="D94:F94"/>
    <mergeCell ref="B95:C95"/>
    <mergeCell ref="D95:F95"/>
    <mergeCell ref="B90:C90"/>
    <mergeCell ref="D90:F90"/>
    <mergeCell ref="B91:C91"/>
    <mergeCell ref="D91:F91"/>
    <mergeCell ref="B92:C92"/>
    <mergeCell ref="D92:F92"/>
    <mergeCell ref="B99:C99"/>
    <mergeCell ref="D99:F99"/>
    <mergeCell ref="B100:C100"/>
    <mergeCell ref="D100:F100"/>
    <mergeCell ref="B101:C101"/>
    <mergeCell ref="D101:F101"/>
    <mergeCell ref="B96:C96"/>
    <mergeCell ref="D96:F96"/>
    <mergeCell ref="B97:C97"/>
    <mergeCell ref="D97:F97"/>
    <mergeCell ref="B98:C98"/>
    <mergeCell ref="D98:F98"/>
    <mergeCell ref="B105:C105"/>
    <mergeCell ref="D105:F105"/>
    <mergeCell ref="B106:C106"/>
    <mergeCell ref="D106:F106"/>
    <mergeCell ref="B107:C107"/>
    <mergeCell ref="D107:F107"/>
    <mergeCell ref="B102:C102"/>
    <mergeCell ref="D102:F102"/>
    <mergeCell ref="B103:C103"/>
    <mergeCell ref="D103:F103"/>
    <mergeCell ref="B104:C104"/>
    <mergeCell ref="D104:F104"/>
    <mergeCell ref="B111:C111"/>
    <mergeCell ref="D111:F111"/>
    <mergeCell ref="B112:C112"/>
    <mergeCell ref="D112:F112"/>
    <mergeCell ref="B113:C113"/>
    <mergeCell ref="D113:F113"/>
    <mergeCell ref="B108:C108"/>
    <mergeCell ref="D108:F108"/>
    <mergeCell ref="B109:C109"/>
    <mergeCell ref="D109:F109"/>
    <mergeCell ref="B110:C110"/>
    <mergeCell ref="D110:F110"/>
    <mergeCell ref="B117:C117"/>
    <mergeCell ref="D117:F117"/>
    <mergeCell ref="B118:C118"/>
    <mergeCell ref="D118:F118"/>
    <mergeCell ref="B119:C119"/>
    <mergeCell ref="D119:F119"/>
    <mergeCell ref="B114:C114"/>
    <mergeCell ref="D114:F114"/>
    <mergeCell ref="B115:C115"/>
    <mergeCell ref="D115:F115"/>
    <mergeCell ref="B116:C116"/>
    <mergeCell ref="D116:F116"/>
    <mergeCell ref="B123:C123"/>
    <mergeCell ref="D123:F123"/>
    <mergeCell ref="B124:C124"/>
    <mergeCell ref="D124:F124"/>
    <mergeCell ref="B125:C125"/>
    <mergeCell ref="D125:F125"/>
    <mergeCell ref="B120:C120"/>
    <mergeCell ref="D120:F120"/>
    <mergeCell ref="B121:C121"/>
    <mergeCell ref="D121:F121"/>
    <mergeCell ref="B122:C122"/>
    <mergeCell ref="D122:F122"/>
    <mergeCell ref="B129:C129"/>
    <mergeCell ref="D129:F129"/>
    <mergeCell ref="B130:C130"/>
    <mergeCell ref="D130:F130"/>
    <mergeCell ref="B131:C131"/>
    <mergeCell ref="D131:F131"/>
    <mergeCell ref="B126:C126"/>
    <mergeCell ref="D126:F126"/>
    <mergeCell ref="B127:C127"/>
    <mergeCell ref="D127:F127"/>
    <mergeCell ref="B128:C128"/>
    <mergeCell ref="D128:F128"/>
    <mergeCell ref="O139:P139"/>
    <mergeCell ref="Q139:R139"/>
    <mergeCell ref="B140:K140"/>
    <mergeCell ref="B141:I141"/>
    <mergeCell ref="B142:M142"/>
    <mergeCell ref="B143:M143"/>
    <mergeCell ref="G131:H131"/>
    <mergeCell ref="K131:L131"/>
    <mergeCell ref="B132:M132"/>
    <mergeCell ref="B134:I134"/>
    <mergeCell ref="B137:M137"/>
    <mergeCell ref="B138:M138"/>
    <mergeCell ref="B150:M150"/>
    <mergeCell ref="B151:M151"/>
    <mergeCell ref="B152:M152"/>
    <mergeCell ref="B153:M153"/>
    <mergeCell ref="B154:M154"/>
    <mergeCell ref="B155:M155"/>
    <mergeCell ref="B144:M144"/>
    <mergeCell ref="B145:M145"/>
    <mergeCell ref="B146:M146"/>
    <mergeCell ref="B147:M147"/>
    <mergeCell ref="B148:M148"/>
    <mergeCell ref="B149:M149"/>
    <mergeCell ref="B162:M162"/>
    <mergeCell ref="B163:M163"/>
    <mergeCell ref="B164:M164"/>
    <mergeCell ref="C167:F167"/>
    <mergeCell ref="H167:K167"/>
    <mergeCell ref="B156:M156"/>
    <mergeCell ref="B157:M157"/>
    <mergeCell ref="B158:M158"/>
    <mergeCell ref="B159:M159"/>
    <mergeCell ref="B160:M160"/>
    <mergeCell ref="B161:M161"/>
  </mergeCells>
  <conditionalFormatting sqref="B71:C130 G93:G130 I93:I130">
    <cfRule type="expression" dxfId="70" priority="37" stopIfTrue="1">
      <formula>$O71</formula>
    </cfRule>
  </conditionalFormatting>
  <conditionalFormatting sqref="B141:E164">
    <cfRule type="expression" dxfId="69" priority="33" stopIfTrue="1">
      <formula>A141</formula>
    </cfRule>
  </conditionalFormatting>
  <conditionalFormatting sqref="B70:I70 D71:F130">
    <cfRule type="expression" dxfId="68" priority="31" stopIfTrue="1">
      <formula>$O$70</formula>
    </cfRule>
  </conditionalFormatting>
  <conditionalFormatting sqref="D3:E3 D4">
    <cfRule type="cellIs" dxfId="67" priority="6" stopIfTrue="1" operator="greaterThan">
      <formula>5000</formula>
    </cfRule>
  </conditionalFormatting>
  <conditionalFormatting sqref="D6:E6">
    <cfRule type="expression" dxfId="66" priority="2" stopIfTrue="1">
      <formula>$A$69</formula>
    </cfRule>
  </conditionalFormatting>
  <conditionalFormatting sqref="F141:K164">
    <cfRule type="expression" dxfId="65" priority="32" stopIfTrue="1">
      <formula>D141</formula>
    </cfRule>
  </conditionalFormatting>
  <conditionalFormatting sqref="G3:G4 D5:E5">
    <cfRule type="expression" dxfId="64" priority="3" stopIfTrue="1">
      <formula>$N$50</formula>
    </cfRule>
  </conditionalFormatting>
  <conditionalFormatting sqref="G90 I90">
    <cfRule type="expression" dxfId="63" priority="10" stopIfTrue="1">
      <formula>$O$90</formula>
    </cfRule>
  </conditionalFormatting>
  <conditionalFormatting sqref="G91 I91">
    <cfRule type="expression" dxfId="62" priority="9" stopIfTrue="1">
      <formula>$O$91</formula>
    </cfRule>
  </conditionalFormatting>
  <conditionalFormatting sqref="G92 I92">
    <cfRule type="expression" dxfId="61" priority="8" stopIfTrue="1">
      <formula>$O$92</formula>
    </cfRule>
  </conditionalFormatting>
  <conditionalFormatting sqref="G71:I71">
    <cfRule type="expression" dxfId="60" priority="30" stopIfTrue="1">
      <formula>$O$71</formula>
    </cfRule>
  </conditionalFormatting>
  <conditionalFormatting sqref="G72:I72">
    <cfRule type="expression" dxfId="59" priority="29" stopIfTrue="1">
      <formula>$O$72</formula>
    </cfRule>
  </conditionalFormatting>
  <conditionalFormatting sqref="G73:I73">
    <cfRule type="expression" dxfId="58" priority="28" stopIfTrue="1">
      <formula>$O$73</formula>
    </cfRule>
  </conditionalFormatting>
  <conditionalFormatting sqref="G74:I74">
    <cfRule type="expression" dxfId="57" priority="27" stopIfTrue="1">
      <formula>$O$74</formula>
    </cfRule>
  </conditionalFormatting>
  <conditionalFormatting sqref="G75:I75">
    <cfRule type="expression" dxfId="56" priority="26" stopIfTrue="1">
      <formula>$O$75</formula>
    </cfRule>
  </conditionalFormatting>
  <conditionalFormatting sqref="G76:I76">
    <cfRule type="expression" dxfId="55" priority="25" stopIfTrue="1">
      <formula>$O$76</formula>
    </cfRule>
  </conditionalFormatting>
  <conditionalFormatting sqref="G77:I77">
    <cfRule type="expression" dxfId="54" priority="24" stopIfTrue="1">
      <formula>$O$77</formula>
    </cfRule>
  </conditionalFormatting>
  <conditionalFormatting sqref="G78:I78">
    <cfRule type="expression" dxfId="53" priority="23" stopIfTrue="1">
      <formula>$O$78</formula>
    </cfRule>
  </conditionalFormatting>
  <conditionalFormatting sqref="G79:I79">
    <cfRule type="expression" dxfId="52" priority="22" stopIfTrue="1">
      <formula>$O$79</formula>
    </cfRule>
  </conditionalFormatting>
  <conditionalFormatting sqref="G80:I80">
    <cfRule type="expression" dxfId="51" priority="21" stopIfTrue="1">
      <formula>$O$80</formula>
    </cfRule>
  </conditionalFormatting>
  <conditionalFormatting sqref="G81:I81">
    <cfRule type="expression" dxfId="50" priority="20" stopIfTrue="1">
      <formula>$O$81</formula>
    </cfRule>
  </conditionalFormatting>
  <conditionalFormatting sqref="G82:I82">
    <cfRule type="expression" dxfId="49" priority="19" stopIfTrue="1">
      <formula>$O$82</formula>
    </cfRule>
  </conditionalFormatting>
  <conditionalFormatting sqref="G83:I83">
    <cfRule type="expression" dxfId="48" priority="18" stopIfTrue="1">
      <formula>$O$83</formula>
    </cfRule>
  </conditionalFormatting>
  <conditionalFormatting sqref="G84:I84">
    <cfRule type="expression" dxfId="47" priority="17" stopIfTrue="1">
      <formula>$O$84</formula>
    </cfRule>
  </conditionalFormatting>
  <conditionalFormatting sqref="G85:I85">
    <cfRule type="expression" dxfId="46" priority="16" stopIfTrue="1">
      <formula>$O$85</formula>
    </cfRule>
  </conditionalFormatting>
  <conditionalFormatting sqref="G86:I86">
    <cfRule type="expression" dxfId="45" priority="15" stopIfTrue="1">
      <formula>$O$86</formula>
    </cfRule>
  </conditionalFormatting>
  <conditionalFormatting sqref="G87:I87">
    <cfRule type="expression" dxfId="44" priority="14" stopIfTrue="1">
      <formula>$O$87</formula>
    </cfRule>
  </conditionalFormatting>
  <conditionalFormatting sqref="G88:I88">
    <cfRule type="expression" dxfId="43" priority="12" stopIfTrue="1">
      <formula>$O$88</formula>
    </cfRule>
  </conditionalFormatting>
  <conditionalFormatting sqref="G89:I89 H90:H130">
    <cfRule type="expression" dxfId="42" priority="11" stopIfTrue="1">
      <formula>$O$89</formula>
    </cfRule>
  </conditionalFormatting>
  <conditionalFormatting sqref="H55:M55">
    <cfRule type="expression" dxfId="41" priority="13" stopIfTrue="1">
      <formula>$A$40</formula>
    </cfRule>
  </conditionalFormatting>
  <conditionalFormatting sqref="J69:L69">
    <cfRule type="expression" dxfId="40" priority="5" stopIfTrue="1">
      <formula>#REF!</formula>
    </cfRule>
  </conditionalFormatting>
  <conditionalFormatting sqref="M69">
    <cfRule type="expression" dxfId="39" priority="4" stopIfTrue="1">
      <formula>#REF!</formula>
    </cfRule>
  </conditionalFormatting>
  <conditionalFormatting sqref="J70:M130">
    <cfRule type="expression" dxfId="38" priority="36" stopIfTrue="1">
      <formula>$BA70</formula>
    </cfRule>
  </conditionalFormatting>
  <conditionalFormatting sqref="L141:L164">
    <cfRule type="expression" dxfId="37" priority="34" stopIfTrue="1">
      <formula>I141</formula>
    </cfRule>
  </conditionalFormatting>
  <conditionalFormatting sqref="M141:M164">
    <cfRule type="expression" dxfId="36" priority="35" stopIfTrue="1">
      <formula>I141</formula>
    </cfRule>
  </conditionalFormatting>
  <dataValidations count="1">
    <dataValidation type="list" allowBlank="1" showInputMessage="1" showErrorMessage="1" sqref="D8:F8" xr:uid="{00000000-0002-0000-1400-000000000000}">
      <formula1>$Q$8:$Q$12</formula1>
    </dataValidation>
  </dataValidations>
  <pageMargins left="3.937007874015748E-2" right="3.937007874015748E-2" top="0.19685039370078741" bottom="0.19685039370078741" header="3.937007874015748E-2" footer="3.937007874015748E-2"/>
  <pageSetup paperSize="9" scale="83" fitToWidth="0" orientation="portrait" verticalDpi="300" r:id="rId1"/>
  <rowBreaks count="1" manualBreakCount="1">
    <brk id="4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EM170"/>
  <sheetViews>
    <sheetView topLeftCell="A88" workbookViewId="0">
      <selection activeCell="I178" sqref="I178"/>
    </sheetView>
  </sheetViews>
  <sheetFormatPr defaultRowHeight="12.75"/>
  <cols>
    <col min="1" max="1" width="6.140625" style="21" customWidth="1"/>
    <col min="2" max="2" width="5.7109375" style="21" customWidth="1"/>
    <col min="3" max="3" width="14.5703125" style="21" customWidth="1"/>
    <col min="4" max="4" width="8.42578125" style="21" customWidth="1"/>
    <col min="5" max="5" width="4.140625" style="21" hidden="1" customWidth="1"/>
    <col min="6" max="6" width="11.5703125" style="21" customWidth="1"/>
    <col min="7" max="7" width="13.5703125" style="21" customWidth="1"/>
    <col min="8" max="8" width="16.5703125" style="21" hidden="1" customWidth="1"/>
    <col min="9" max="9" width="13.7109375" style="21" customWidth="1"/>
    <col min="10" max="10" width="12.28515625" style="21" customWidth="1"/>
    <col min="11" max="11" width="12" style="21" customWidth="1"/>
    <col min="12" max="12" width="0.85546875" style="21" hidden="1" customWidth="1"/>
    <col min="13" max="13" width="11.85546875" style="21" customWidth="1"/>
    <col min="14" max="14" width="15.7109375" style="2" customWidth="1"/>
    <col min="15" max="17" width="15.7109375" style="2" hidden="1" customWidth="1"/>
    <col min="18" max="58" width="15.7109375" style="2" customWidth="1"/>
    <col min="59" max="61" width="15.7109375" style="21" customWidth="1"/>
    <col min="62" max="62" width="20.7109375" style="21" customWidth="1"/>
    <col min="63" max="64" width="9.140625" style="21" customWidth="1"/>
    <col min="65" max="70" width="9.140625" style="21"/>
    <col min="71" max="143" width="9.140625" style="20"/>
    <col min="144" max="16384" width="9.140625" style="21"/>
  </cols>
  <sheetData>
    <row r="1" spans="2:143">
      <c r="B1" s="711" t="s">
        <v>2</v>
      </c>
      <c r="C1" s="712"/>
      <c r="D1" s="735" t="s">
        <v>295</v>
      </c>
      <c r="E1" s="736"/>
      <c r="F1" s="736"/>
      <c r="G1" s="737"/>
      <c r="H1" s="241"/>
      <c r="I1" s="241"/>
      <c r="J1" s="241"/>
      <c r="K1" s="241"/>
      <c r="L1" s="241"/>
      <c r="M1" s="24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</row>
    <row r="2" spans="2:143" ht="13.5" hidden="1" thickBot="1">
      <c r="B2" s="709" t="str">
        <f>IF(N41=1,"№ кредитного договора:",IF(N41=2,"№ соглашения:"," "))</f>
        <v>№ соглашения:</v>
      </c>
      <c r="C2" s="710"/>
      <c r="D2" s="738">
        <v>123</v>
      </c>
      <c r="E2" s="739"/>
      <c r="F2" s="739"/>
      <c r="G2" s="740"/>
      <c r="H2" s="241"/>
      <c r="I2" s="241"/>
      <c r="J2" s="241"/>
      <c r="K2" s="241"/>
      <c r="L2" s="241"/>
      <c r="M2" s="24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</row>
    <row r="3" spans="2:143" ht="13.5" thickBot="1">
      <c r="B3" s="245"/>
      <c r="C3" s="245"/>
      <c r="D3" s="246"/>
      <c r="E3" s="246"/>
      <c r="F3" s="246"/>
      <c r="G3" s="246"/>
      <c r="H3" s="241"/>
      <c r="I3" s="241"/>
      <c r="J3" s="241"/>
      <c r="K3" s="241"/>
      <c r="L3" s="241"/>
      <c r="M3" s="24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</row>
    <row r="4" spans="2:143" ht="14.25">
      <c r="B4" s="711" t="str">
        <f>IF(N41=1,"Сумма кредита:",IF(N41=2,"Лимит овердрафта:"," "))</f>
        <v>Лимит овердрафта:</v>
      </c>
      <c r="C4" s="712"/>
      <c r="D4" s="713">
        <v>3000</v>
      </c>
      <c r="E4" s="714"/>
      <c r="F4" s="715"/>
      <c r="G4" s="240" t="s">
        <v>189</v>
      </c>
      <c r="H4" s="241"/>
      <c r="I4" s="241"/>
      <c r="J4" s="241"/>
      <c r="K4" s="241"/>
      <c r="L4" s="241"/>
      <c r="M4" s="24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</row>
    <row r="5" spans="2:143" ht="12.75" customHeight="1">
      <c r="B5" s="701" t="s">
        <v>8</v>
      </c>
      <c r="C5" s="702"/>
      <c r="D5" s="703">
        <v>3</v>
      </c>
      <c r="E5" s="704"/>
      <c r="F5" s="705"/>
      <c r="G5" s="242" t="str">
        <f>IF(D5=0," ","% годовых")</f>
        <v>% годовых</v>
      </c>
      <c r="H5" s="241"/>
      <c r="I5" s="241"/>
      <c r="J5" s="241"/>
      <c r="K5" s="241"/>
      <c r="L5" s="241"/>
      <c r="M5" s="24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</row>
    <row r="6" spans="2:143" ht="14.25" hidden="1">
      <c r="B6" s="701" t="s">
        <v>299</v>
      </c>
      <c r="C6" s="702"/>
      <c r="D6" s="703">
        <v>0</v>
      </c>
      <c r="E6" s="704"/>
      <c r="F6" s="705"/>
      <c r="G6" s="242" t="str">
        <f>IF(D6=0," ","бел.руб.")</f>
        <v xml:space="preserve"> </v>
      </c>
      <c r="H6" s="241"/>
      <c r="I6" s="241"/>
      <c r="J6" s="241"/>
      <c r="K6" s="241"/>
      <c r="L6" s="241"/>
      <c r="M6" s="24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</row>
    <row r="7" spans="2:143">
      <c r="B7" s="716" t="s">
        <v>181</v>
      </c>
      <c r="C7" s="717"/>
      <c r="D7" s="718" t="s">
        <v>183</v>
      </c>
      <c r="E7" s="719"/>
      <c r="F7" s="719"/>
      <c r="G7" s="720"/>
      <c r="H7" s="241"/>
      <c r="I7" s="241"/>
      <c r="J7" s="241"/>
      <c r="K7" s="241"/>
      <c r="L7" s="241"/>
      <c r="M7" s="24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</row>
    <row r="8" spans="2:143" ht="14.25">
      <c r="B8" s="701" t="s">
        <v>13</v>
      </c>
      <c r="C8" s="702"/>
      <c r="D8" s="703">
        <f>36</f>
        <v>36</v>
      </c>
      <c r="E8" s="704"/>
      <c r="F8" s="705"/>
      <c r="G8" s="242" t="str">
        <f>IF(D8=0," ","месяцев")</f>
        <v>месяцев</v>
      </c>
      <c r="H8" s="241"/>
      <c r="I8" s="241"/>
      <c r="J8" s="241"/>
      <c r="K8" s="241"/>
      <c r="L8" s="241"/>
      <c r="M8" s="241"/>
      <c r="N8" s="21"/>
      <c r="O8" s="21"/>
      <c r="P8" s="21">
        <v>3</v>
      </c>
      <c r="Q8" s="21">
        <v>12</v>
      </c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2:143" ht="14.25">
      <c r="B9" s="701" t="s">
        <v>139</v>
      </c>
      <c r="C9" s="702"/>
      <c r="D9" s="732">
        <v>3</v>
      </c>
      <c r="E9" s="733"/>
      <c r="F9" s="734"/>
      <c r="G9" s="242" t="str">
        <f>IF(D9&gt;4,"месяцев",IF(D9&gt;1,"месяца",IF(D9=1,"месяц","месяцев")))</f>
        <v>месяца</v>
      </c>
      <c r="H9" s="241"/>
      <c r="I9" s="241"/>
      <c r="J9" s="241"/>
      <c r="K9" s="241"/>
      <c r="L9" s="241"/>
      <c r="M9" s="241"/>
      <c r="N9" s="21"/>
      <c r="O9" s="21"/>
      <c r="P9" s="21"/>
      <c r="Q9" s="21">
        <v>24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2:143" ht="14.25">
      <c r="B10" s="701" t="s">
        <v>14</v>
      </c>
      <c r="C10" s="702"/>
      <c r="D10" s="706">
        <v>43456</v>
      </c>
      <c r="E10" s="707"/>
      <c r="F10" s="708"/>
      <c r="G10" s="242" t="s">
        <v>15</v>
      </c>
      <c r="H10" s="241"/>
      <c r="I10" s="241"/>
      <c r="J10" s="241"/>
      <c r="K10" s="241"/>
      <c r="L10" s="241"/>
      <c r="M10" s="241"/>
      <c r="N10" s="21"/>
      <c r="O10" s="21"/>
      <c r="P10" s="21"/>
      <c r="Q10" s="21">
        <v>36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2:143" ht="27.75" customHeight="1">
      <c r="B11" s="701" t="s">
        <v>16</v>
      </c>
      <c r="C11" s="702"/>
      <c r="D11" s="729" t="s">
        <v>316</v>
      </c>
      <c r="E11" s="730"/>
      <c r="F11" s="730"/>
      <c r="G11" s="731"/>
      <c r="H11" s="241"/>
      <c r="I11" s="241"/>
      <c r="J11" s="241"/>
      <c r="K11" s="241"/>
      <c r="L11" s="241"/>
      <c r="M11" s="241"/>
      <c r="N11" s="21"/>
      <c r="O11" s="21"/>
      <c r="P11" s="21"/>
      <c r="Q11" s="21">
        <v>48</v>
      </c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</row>
    <row r="12" spans="2:143" ht="13.5" thickBot="1">
      <c r="B12" s="243" t="s">
        <v>214</v>
      </c>
      <c r="C12" s="244"/>
      <c r="D12" s="698" t="s">
        <v>283</v>
      </c>
      <c r="E12" s="699"/>
      <c r="F12" s="699"/>
      <c r="G12" s="700"/>
      <c r="H12" s="241"/>
      <c r="I12" s="241"/>
      <c r="J12" s="241"/>
      <c r="K12" s="241"/>
      <c r="L12" s="241"/>
      <c r="M12" s="241"/>
      <c r="N12" s="21"/>
      <c r="O12" s="21"/>
      <c r="P12" s="21"/>
      <c r="Q12" s="21">
        <v>60</v>
      </c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</row>
    <row r="14" spans="2:143" ht="15.75">
      <c r="B14" s="562" t="s">
        <v>223</v>
      </c>
      <c r="C14" s="562"/>
      <c r="D14" s="562"/>
      <c r="E14" s="562"/>
      <c r="F14" s="562"/>
      <c r="G14" s="562"/>
      <c r="H14" s="562"/>
      <c r="I14" s="562"/>
      <c r="J14" s="562"/>
      <c r="K14" s="562"/>
      <c r="L14" s="562"/>
      <c r="M14" s="562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</row>
    <row r="15" spans="2:143" ht="15.75">
      <c r="B15" s="563" t="str">
        <f>D1</f>
        <v>Иванов Иван Иванович</v>
      </c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</row>
    <row r="16" spans="2:143" ht="15.75">
      <c r="B16" s="562" t="s">
        <v>224</v>
      </c>
      <c r="C16" s="562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</row>
    <row r="17" spans="2:143" ht="15.75">
      <c r="B17" s="509" t="s">
        <v>225</v>
      </c>
      <c r="C17" s="509"/>
      <c r="D17" s="509"/>
      <c r="E17" s="509"/>
      <c r="F17" s="509"/>
      <c r="G17" s="509"/>
      <c r="H17" s="509"/>
      <c r="I17" s="509"/>
      <c r="J17" s="509"/>
      <c r="K17" s="509"/>
      <c r="L17" s="509"/>
      <c r="M17" s="509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</row>
    <row r="18" spans="2:143" ht="15.75">
      <c r="B18" s="183" t="s">
        <v>226</v>
      </c>
      <c r="C18" s="511" t="s">
        <v>227</v>
      </c>
      <c r="D18" s="511"/>
      <c r="E18" s="511"/>
      <c r="F18" s="511"/>
      <c r="G18" s="543" t="s">
        <v>228</v>
      </c>
      <c r="H18" s="543"/>
      <c r="I18" s="543"/>
      <c r="J18" s="543"/>
      <c r="K18" s="543"/>
      <c r="L18" s="543"/>
      <c r="M18" s="543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</row>
    <row r="19" spans="2:143" ht="93.75" customHeight="1">
      <c r="B19" s="184" t="s">
        <v>229</v>
      </c>
      <c r="C19" s="506" t="s">
        <v>230</v>
      </c>
      <c r="D19" s="507"/>
      <c r="E19" s="507"/>
      <c r="F19" s="512"/>
      <c r="G19" s="191">
        <f>D4</f>
        <v>3000</v>
      </c>
      <c r="H19" s="192" t="s">
        <v>231</v>
      </c>
      <c r="I19" s="544" t="s">
        <v>231</v>
      </c>
      <c r="J19" s="544"/>
      <c r="K19" s="544"/>
      <c r="L19" s="544"/>
      <c r="M19" s="54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2:143" ht="15.75" customHeight="1">
      <c r="B20" s="513" t="s">
        <v>232</v>
      </c>
      <c r="C20" s="692" t="s">
        <v>309</v>
      </c>
      <c r="D20" s="693"/>
      <c r="E20" s="693"/>
      <c r="F20" s="694"/>
      <c r="G20" s="193">
        <f>D9</f>
        <v>3</v>
      </c>
      <c r="H20" s="190" t="s">
        <v>234</v>
      </c>
      <c r="I20" s="546" t="s">
        <v>304</v>
      </c>
      <c r="J20" s="547"/>
      <c r="K20" s="547"/>
      <c r="L20" s="547"/>
      <c r="M20" s="548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2:143" ht="110.25" customHeight="1">
      <c r="B21" s="514"/>
      <c r="C21" s="695"/>
      <c r="D21" s="696"/>
      <c r="E21" s="696"/>
      <c r="F21" s="697"/>
      <c r="G21" s="549" t="s">
        <v>312</v>
      </c>
      <c r="H21" s="550"/>
      <c r="I21" s="550"/>
      <c r="J21" s="550"/>
      <c r="K21" s="550"/>
      <c r="L21" s="550"/>
      <c r="M21" s="55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2:143" ht="15.75" customHeight="1">
      <c r="B22" s="513" t="s">
        <v>236</v>
      </c>
      <c r="C22" s="515" t="s">
        <v>237</v>
      </c>
      <c r="D22" s="516"/>
      <c r="E22" s="516"/>
      <c r="F22" s="517"/>
      <c r="G22" s="194">
        <f>D8</f>
        <v>36</v>
      </c>
      <c r="H22" s="544" t="s">
        <v>304</v>
      </c>
      <c r="I22" s="544"/>
      <c r="J22" s="544"/>
      <c r="K22" s="544"/>
      <c r="L22" s="544"/>
      <c r="M22" s="545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</row>
    <row r="23" spans="2:143" ht="112.5" customHeight="1">
      <c r="B23" s="514"/>
      <c r="C23" s="518"/>
      <c r="D23" s="519"/>
      <c r="E23" s="519"/>
      <c r="F23" s="519"/>
      <c r="G23" s="679" t="s">
        <v>314</v>
      </c>
      <c r="H23" s="680"/>
      <c r="I23" s="680"/>
      <c r="J23" s="680"/>
      <c r="K23" s="680"/>
      <c r="L23" s="680"/>
      <c r="M23" s="68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</row>
    <row r="24" spans="2:143" ht="15.75" customHeight="1">
      <c r="B24" s="513" t="s">
        <v>240</v>
      </c>
      <c r="C24" s="664" t="s">
        <v>310</v>
      </c>
      <c r="D24" s="665"/>
      <c r="E24" s="665"/>
      <c r="F24" s="682"/>
      <c r="G24" s="251">
        <f>D5</f>
        <v>3</v>
      </c>
      <c r="H24" s="505" t="s">
        <v>242</v>
      </c>
      <c r="I24" s="505"/>
      <c r="J24" s="505"/>
      <c r="K24" s="505"/>
      <c r="L24" s="505"/>
      <c r="M24" s="505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</row>
    <row r="25" spans="2:143" ht="49.5" customHeight="1">
      <c r="B25" s="663"/>
      <c r="C25" s="666"/>
      <c r="D25" s="667"/>
      <c r="E25" s="667"/>
      <c r="F25" s="683"/>
      <c r="G25" s="687" t="s">
        <v>313</v>
      </c>
      <c r="H25" s="688"/>
      <c r="I25" s="688"/>
      <c r="J25" s="688"/>
      <c r="K25" s="688"/>
      <c r="L25" s="688"/>
      <c r="M25" s="689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</row>
    <row r="26" spans="2:143" ht="78" customHeight="1">
      <c r="B26" s="514"/>
      <c r="C26" s="684"/>
      <c r="D26" s="685"/>
      <c r="E26" s="685"/>
      <c r="F26" s="686"/>
      <c r="G26" s="250">
        <f>G133</f>
        <v>141.80576000000011</v>
      </c>
      <c r="H26" s="252"/>
      <c r="I26" s="690" t="s">
        <v>315</v>
      </c>
      <c r="J26" s="690"/>
      <c r="K26" s="690"/>
      <c r="L26" s="690"/>
      <c r="M26" s="69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</row>
    <row r="27" spans="2:143" ht="65.25" customHeight="1">
      <c r="B27" s="184" t="s">
        <v>244</v>
      </c>
      <c r="C27" s="506" t="s">
        <v>245</v>
      </c>
      <c r="D27" s="507"/>
      <c r="E27" s="507"/>
      <c r="F27" s="508"/>
      <c r="G27" s="676" t="s">
        <v>300</v>
      </c>
      <c r="H27" s="677"/>
      <c r="I27" s="677"/>
      <c r="J27" s="677"/>
      <c r="K27" s="677"/>
      <c r="L27" s="677"/>
      <c r="M27" s="678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</row>
    <row r="28" spans="2:143" ht="96" customHeight="1">
      <c r="B28" s="184" t="s">
        <v>247</v>
      </c>
      <c r="C28" s="506" t="s">
        <v>248</v>
      </c>
      <c r="D28" s="507"/>
      <c r="E28" s="507"/>
      <c r="F28" s="508"/>
      <c r="G28" s="542" t="s">
        <v>305</v>
      </c>
      <c r="H28" s="542"/>
      <c r="I28" s="542"/>
      <c r="J28" s="542"/>
      <c r="K28" s="542"/>
      <c r="L28" s="542"/>
      <c r="M28" s="542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</row>
    <row r="29" spans="2:143" ht="49.5" customHeight="1">
      <c r="B29" s="184" t="s">
        <v>250</v>
      </c>
      <c r="C29" s="506" t="s">
        <v>251</v>
      </c>
      <c r="D29" s="507"/>
      <c r="E29" s="507"/>
      <c r="F29" s="508"/>
      <c r="G29" s="505" t="s">
        <v>301</v>
      </c>
      <c r="H29" s="505"/>
      <c r="I29" s="505"/>
      <c r="J29" s="505"/>
      <c r="K29" s="505"/>
      <c r="L29" s="505"/>
      <c r="M29" s="505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</row>
    <row r="30" spans="2:143" ht="81" customHeight="1">
      <c r="B30" s="184" t="s">
        <v>253</v>
      </c>
      <c r="C30" s="506" t="s">
        <v>254</v>
      </c>
      <c r="D30" s="507"/>
      <c r="E30" s="507"/>
      <c r="F30" s="508"/>
      <c r="G30" s="505" t="str">
        <f>D11</f>
        <v>Неустойка и гарантийный депозит юридического лица</v>
      </c>
      <c r="H30" s="505"/>
      <c r="I30" s="505"/>
      <c r="J30" s="505"/>
      <c r="K30" s="505"/>
      <c r="L30" s="505"/>
      <c r="M30" s="505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</row>
    <row r="31" spans="2:143" ht="31.5" customHeight="1">
      <c r="B31" s="184" t="s">
        <v>255</v>
      </c>
      <c r="C31" s="506" t="s">
        <v>256</v>
      </c>
      <c r="D31" s="507"/>
      <c r="E31" s="507"/>
      <c r="F31" s="508"/>
      <c r="G31" s="505" t="str">
        <f>D12</f>
        <v>Потребительские нужды</v>
      </c>
      <c r="H31" s="505"/>
      <c r="I31" s="505"/>
      <c r="J31" s="505"/>
      <c r="K31" s="505"/>
      <c r="L31" s="505"/>
      <c r="M31" s="505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</row>
    <row r="32" spans="2:143" ht="222" customHeight="1">
      <c r="B32" s="184" t="s">
        <v>258</v>
      </c>
      <c r="C32" s="506" t="s">
        <v>259</v>
      </c>
      <c r="D32" s="507"/>
      <c r="E32" s="507"/>
      <c r="F32" s="508"/>
      <c r="G32" s="675" t="s">
        <v>317</v>
      </c>
      <c r="H32" s="675"/>
      <c r="I32" s="675"/>
      <c r="J32" s="675"/>
      <c r="K32" s="675"/>
      <c r="L32" s="675"/>
      <c r="M32" s="675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</row>
    <row r="33" spans="1:143" ht="33" customHeight="1">
      <c r="B33" s="513" t="s">
        <v>261</v>
      </c>
      <c r="C33" s="664" t="s">
        <v>311</v>
      </c>
      <c r="D33" s="665"/>
      <c r="E33" s="665"/>
      <c r="F33" s="665"/>
      <c r="G33" s="515" t="s">
        <v>266</v>
      </c>
      <c r="H33" s="516"/>
      <c r="I33" s="516"/>
      <c r="J33" s="516"/>
      <c r="K33" s="516"/>
      <c r="L33" s="516"/>
      <c r="M33" s="728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</row>
    <row r="34" spans="1:143" ht="21" hidden="1" customHeight="1">
      <c r="B34" s="663"/>
      <c r="C34" s="666"/>
      <c r="D34" s="667"/>
      <c r="E34" s="667"/>
      <c r="F34" s="667"/>
      <c r="G34" s="549"/>
      <c r="H34" s="550"/>
      <c r="I34" s="550"/>
      <c r="J34" s="550"/>
      <c r="K34" s="550"/>
      <c r="L34" s="550"/>
      <c r="M34" s="55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</row>
    <row r="35" spans="1:143" ht="22.5" customHeight="1">
      <c r="B35" s="663"/>
      <c r="C35" s="666"/>
      <c r="D35" s="667"/>
      <c r="E35" s="667"/>
      <c r="F35" s="667"/>
      <c r="G35" s="549"/>
      <c r="H35" s="550"/>
      <c r="I35" s="550"/>
      <c r="J35" s="550"/>
      <c r="K35" s="550"/>
      <c r="L35" s="550"/>
      <c r="M35" s="55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</row>
    <row r="36" spans="1:143" ht="70.5" customHeight="1">
      <c r="B36" s="514"/>
      <c r="C36" s="668"/>
      <c r="D36" s="669"/>
      <c r="E36" s="669"/>
      <c r="F36" s="669"/>
      <c r="G36" s="526"/>
      <c r="H36" s="527"/>
      <c r="I36" s="527"/>
      <c r="J36" s="527"/>
      <c r="K36" s="527"/>
      <c r="L36" s="527"/>
      <c r="M36" s="528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</row>
    <row r="37" spans="1:143" ht="63.75" customHeight="1">
      <c r="B37" s="184" t="s">
        <v>264</v>
      </c>
      <c r="C37" s="506" t="s">
        <v>265</v>
      </c>
      <c r="D37" s="507"/>
      <c r="E37" s="507"/>
      <c r="F37" s="508"/>
      <c r="G37" s="576" t="s">
        <v>266</v>
      </c>
      <c r="H37" s="576"/>
      <c r="I37" s="576"/>
      <c r="J37" s="576"/>
      <c r="K37" s="576"/>
      <c r="L37" s="576"/>
      <c r="M37" s="576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</row>
    <row r="38" spans="1:143" ht="15.75">
      <c r="B38" s="186"/>
      <c r="C38" s="187"/>
      <c r="D38" s="187"/>
      <c r="E38" s="187"/>
      <c r="F38" s="187"/>
      <c r="G38" s="187"/>
      <c r="H38" s="187"/>
      <c r="I38" s="187"/>
      <c r="J38" s="187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</row>
    <row r="39" spans="1:143" ht="15.75">
      <c r="B39" s="559" t="str">
        <f>D1</f>
        <v>Иванов Иван Иванович</v>
      </c>
      <c r="C39" s="560"/>
      <c r="D39" s="560"/>
      <c r="E39" s="560"/>
      <c r="F39" s="560"/>
      <c r="G39" s="531"/>
      <c r="H39" s="531"/>
      <c r="I39" s="188">
        <f ca="1">TODAY()</f>
        <v>45294</v>
      </c>
      <c r="J39" s="187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</row>
    <row r="40" spans="1:143" ht="15.75">
      <c r="B40" s="555" t="s">
        <v>267</v>
      </c>
      <c r="C40" s="555"/>
      <c r="D40" s="555"/>
      <c r="E40" s="555"/>
      <c r="F40" s="555"/>
      <c r="G40" s="555" t="s">
        <v>268</v>
      </c>
      <c r="H40" s="555"/>
      <c r="I40" s="187"/>
      <c r="J40" s="187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</row>
    <row r="41" spans="1:143" ht="15.6" hidden="1" customHeight="1">
      <c r="A41" s="247">
        <v>1</v>
      </c>
      <c r="B41" s="2"/>
      <c r="C41" s="2"/>
      <c r="D41" s="2"/>
      <c r="E41" s="2"/>
      <c r="F41" s="2"/>
      <c r="G41"/>
      <c r="H41"/>
      <c r="I41"/>
      <c r="J41" s="248"/>
      <c r="K41" s="248"/>
      <c r="L41" s="248"/>
      <c r="M41" s="248"/>
      <c r="N41" s="127">
        <f>IF(I54=1,1,IF(N54=1,2,IF(O54=1,1,0)))</f>
        <v>2</v>
      </c>
      <c r="O41" s="337" t="s">
        <v>0</v>
      </c>
      <c r="P41" s="337"/>
      <c r="Q41" s="337"/>
      <c r="R41" s="337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</row>
    <row r="42" spans="1:143" ht="25.5" customHeight="1">
      <c r="A42" s="2"/>
      <c r="B42" s="2"/>
      <c r="C42" s="2"/>
      <c r="D42" s="2"/>
      <c r="E42" s="2"/>
      <c r="F42"/>
      <c r="G42"/>
      <c r="H42"/>
      <c r="I42"/>
      <c r="J42" s="660" t="s">
        <v>303</v>
      </c>
      <c r="K42" s="661"/>
      <c r="L42" s="661"/>
      <c r="M42" s="661"/>
      <c r="N42" s="129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</row>
    <row r="43" spans="1:143" ht="19.5" customHeight="1">
      <c r="A43" s="2"/>
      <c r="B43" s="2"/>
      <c r="C43" s="2"/>
      <c r="D43" s="2"/>
      <c r="E43" s="2"/>
      <c r="F43"/>
      <c r="G43"/>
      <c r="H43"/>
      <c r="I43"/>
      <c r="J43" s="661"/>
      <c r="K43" s="661"/>
      <c r="L43" s="661"/>
      <c r="M43" s="661"/>
      <c r="N43" s="129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</row>
    <row r="44" spans="1:143" ht="19.5" customHeight="1">
      <c r="A44" s="2"/>
      <c r="B44" s="656" t="s">
        <v>2</v>
      </c>
      <c r="C44" s="656"/>
      <c r="D44" s="656"/>
      <c r="E44" s="662" t="str">
        <f>D1</f>
        <v>Иванов Иван Иванович</v>
      </c>
      <c r="F44" s="379"/>
      <c r="G44" s="379"/>
      <c r="H44"/>
      <c r="I44"/>
      <c r="J44" s="248"/>
      <c r="K44" s="248"/>
      <c r="L44" s="248"/>
      <c r="M44" s="248"/>
      <c r="N44" s="129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</row>
    <row r="45" spans="1:143" ht="19.5" customHeight="1">
      <c r="A45" s="2"/>
      <c r="B45" s="656" t="s">
        <v>306</v>
      </c>
      <c r="C45" s="656"/>
      <c r="D45" s="656"/>
      <c r="E45" s="642">
        <f>D10</f>
        <v>43456</v>
      </c>
      <c r="F45" s="643"/>
      <c r="G45" s="643"/>
      <c r="H45"/>
      <c r="I45"/>
      <c r="J45" s="248"/>
      <c r="K45" s="248"/>
      <c r="L45" s="248"/>
      <c r="M45" s="248"/>
      <c r="N45" s="129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</row>
    <row r="46" spans="1:143" ht="5.25" customHeight="1">
      <c r="A46" s="2"/>
      <c r="B46" s="2"/>
      <c r="C46" s="2"/>
      <c r="D46" s="2"/>
      <c r="E46" s="2"/>
      <c r="F46"/>
      <c r="G46"/>
      <c r="H46"/>
      <c r="I46"/>
      <c r="J46" s="248"/>
      <c r="K46" s="248"/>
      <c r="L46" s="248"/>
      <c r="M46" s="248"/>
      <c r="N46" s="129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</row>
    <row r="47" spans="1:143" ht="19.5" customHeight="1">
      <c r="A47" s="2"/>
      <c r="B47" s="657" t="s">
        <v>307</v>
      </c>
      <c r="C47" s="657"/>
      <c r="D47" s="657"/>
      <c r="E47" s="657"/>
      <c r="F47" s="657"/>
      <c r="G47" s="657"/>
      <c r="H47" s="657"/>
      <c r="I47" s="657"/>
      <c r="J47" s="657"/>
      <c r="K47" s="657"/>
      <c r="L47" s="657"/>
      <c r="M47" s="657"/>
      <c r="N47" s="129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</row>
    <row r="48" spans="1:143" ht="20.25" customHeight="1">
      <c r="A48" s="2"/>
      <c r="B48" s="657"/>
      <c r="C48" s="657"/>
      <c r="D48" s="657"/>
      <c r="E48" s="657"/>
      <c r="F48" s="657"/>
      <c r="G48" s="657"/>
      <c r="H48" s="657"/>
      <c r="I48" s="657"/>
      <c r="J48" s="657"/>
      <c r="K48" s="657"/>
      <c r="L48" s="657"/>
      <c r="M48" s="657"/>
      <c r="N48" s="129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</row>
    <row r="49" spans="1:143" ht="9.75" hidden="1" customHeight="1">
      <c r="A49" s="2"/>
      <c r="B49" s="2"/>
      <c r="C49" s="2"/>
      <c r="D49" s="2"/>
      <c r="E49" s="2"/>
      <c r="F49"/>
      <c r="G49"/>
      <c r="H49"/>
      <c r="I49"/>
      <c r="J49" s="248"/>
      <c r="K49" s="248"/>
      <c r="L49" s="248"/>
      <c r="M49" s="248"/>
      <c r="N49" s="129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</row>
    <row r="50" spans="1:143" ht="2.25" customHeight="1">
      <c r="A50" s="2"/>
      <c r="B50" s="2"/>
      <c r="C50" s="2"/>
      <c r="D50" s="2"/>
      <c r="E50" s="2"/>
      <c r="F50"/>
      <c r="G50"/>
      <c r="H50"/>
      <c r="I50"/>
      <c r="J50" s="248"/>
      <c r="K50" s="248"/>
      <c r="L50" s="248"/>
      <c r="M50" s="248"/>
      <c r="N50" s="129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</row>
    <row r="51" spans="1:143" ht="14.25" customHeight="1">
      <c r="A51" s="6" t="str">
        <f>IF(I54=1,"СП - КП",IF(N54=1,"Экспресс",IF(O54=1,"Спецпроцедура"," ")))</f>
        <v>Экспресс</v>
      </c>
      <c r="B51" s="658" t="s">
        <v>302</v>
      </c>
      <c r="C51" s="658"/>
      <c r="D51" s="658"/>
      <c r="E51" s="658"/>
      <c r="F51" s="658"/>
      <c r="G51" s="658"/>
      <c r="H51" s="658"/>
      <c r="I51" s="658"/>
      <c r="J51" s="658"/>
      <c r="K51" s="659"/>
      <c r="L51" s="659"/>
      <c r="M51" s="659"/>
      <c r="N51" s="2">
        <f>IF(N41=0,1,0)</f>
        <v>0</v>
      </c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</row>
    <row r="52" spans="1:143" ht="2.25" customHeight="1">
      <c r="A52" s="4"/>
      <c r="B52" s="2"/>
      <c r="C52" s="2"/>
      <c r="D52" s="2"/>
      <c r="E52" s="2"/>
      <c r="F52" s="2"/>
      <c r="G52" s="2"/>
      <c r="H52" s="2"/>
      <c r="I52" s="4"/>
      <c r="J52" s="4"/>
      <c r="K52" s="4"/>
      <c r="L52" s="4"/>
      <c r="M52" s="4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</row>
    <row r="53" spans="1:143" ht="15" hidden="1" customHeight="1">
      <c r="A53" s="7"/>
      <c r="H53" s="4"/>
      <c r="I53" s="4" t="s">
        <v>4</v>
      </c>
      <c r="J53" s="4"/>
      <c r="K53" s="4"/>
      <c r="L53" s="4"/>
      <c r="M53" s="4"/>
      <c r="N53" s="2" t="s">
        <v>5</v>
      </c>
      <c r="O53" s="2" t="s">
        <v>6</v>
      </c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</row>
    <row r="54" spans="1:143" ht="15" hidden="1" customHeight="1">
      <c r="A54" s="7"/>
      <c r="H54" s="4"/>
      <c r="I54" s="4">
        <f>IF(D2&gt;288450000000,IF(D2&lt;288499999999,1,IF(D2&gt;288997000000,IF(D2&lt;288997999999,1,0),0)),0)</f>
        <v>0</v>
      </c>
      <c r="J54" s="4"/>
      <c r="K54" s="4"/>
      <c r="L54" s="4"/>
      <c r="M54" s="4"/>
      <c r="N54" s="2">
        <v>1</v>
      </c>
      <c r="O54" s="2">
        <v>0</v>
      </c>
      <c r="P54" s="2">
        <v>0</v>
      </c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</row>
    <row r="55" spans="1:143" ht="6.75" hidden="1" customHeight="1" thickBot="1">
      <c r="A55" s="8"/>
      <c r="H55" s="10"/>
      <c r="I55" s="10"/>
      <c r="J55" s="10"/>
      <c r="K55" s="10"/>
      <c r="L55" s="10"/>
      <c r="M55" s="10"/>
      <c r="P55" s="130"/>
      <c r="AF55" s="2">
        <v>0</v>
      </c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</row>
    <row r="56" spans="1:143" ht="15" hidden="1" customHeight="1" thickBot="1">
      <c r="A56" s="7"/>
      <c r="H56" s="12" t="s">
        <v>7</v>
      </c>
      <c r="I56" s="13">
        <f>G69+H69+A139+D4</f>
        <v>3141.8057600000002</v>
      </c>
      <c r="J56" s="40"/>
      <c r="K56" s="40"/>
      <c r="L56" s="40"/>
      <c r="M56" s="40"/>
      <c r="AE56" s="2">
        <v>6</v>
      </c>
      <c r="AF56" s="2">
        <v>1</v>
      </c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</row>
    <row r="57" spans="1:143" ht="15.75" hidden="1" customHeight="1">
      <c r="A57" s="7"/>
      <c r="H57" s="4"/>
      <c r="I57" s="4"/>
      <c r="J57" s="4"/>
      <c r="K57" s="4"/>
      <c r="L57" s="4"/>
      <c r="M57" s="4"/>
      <c r="N57" s="337" t="s">
        <v>9</v>
      </c>
      <c r="O57" s="337"/>
      <c r="P57" s="337"/>
      <c r="Q57" s="337"/>
      <c r="R57" s="131">
        <f>S57-R58-1</f>
        <v>8</v>
      </c>
      <c r="S57" s="2">
        <f>IF(DAY(D10)=31,31,30)</f>
        <v>30</v>
      </c>
      <c r="AE57" s="2">
        <v>12</v>
      </c>
      <c r="AF57" s="2">
        <v>3</v>
      </c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</row>
    <row r="58" spans="1:143" ht="14.25" hidden="1" customHeight="1">
      <c r="A58" s="7"/>
      <c r="H58" s="4">
        <f>D6*12</f>
        <v>0</v>
      </c>
      <c r="I58" s="4"/>
      <c r="J58" s="4"/>
      <c r="K58" s="4"/>
      <c r="L58" s="4"/>
      <c r="M58" s="4"/>
      <c r="N58" s="337" t="s">
        <v>11</v>
      </c>
      <c r="O58" s="337"/>
      <c r="P58" s="337"/>
      <c r="Q58" s="337"/>
      <c r="R58" s="131">
        <f>DATE(YEAR(0),MONTH(0),DAY(D10)-1)</f>
        <v>21</v>
      </c>
      <c r="AE58" s="2">
        <v>18</v>
      </c>
      <c r="AF58" s="2">
        <v>6</v>
      </c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</row>
    <row r="59" spans="1:143" ht="28.5" hidden="1" customHeight="1">
      <c r="A59" s="16" t="s">
        <v>12</v>
      </c>
      <c r="H59" s="4"/>
      <c r="I59" s="4"/>
      <c r="J59" s="4"/>
      <c r="K59" s="4"/>
      <c r="L59" s="4"/>
      <c r="M59" s="4"/>
      <c r="N59" s="128"/>
      <c r="O59" s="128"/>
      <c r="P59" s="128"/>
      <c r="Q59" s="128"/>
      <c r="R59" s="131"/>
      <c r="AE59" s="2">
        <v>12</v>
      </c>
      <c r="AF59" s="2">
        <v>3</v>
      </c>
    </row>
    <row r="60" spans="1:143" ht="15" hidden="1" customHeight="1">
      <c r="A60" s="17">
        <f>IF(DAY(D10)&lt;=21,D8,D8+1)</f>
        <v>37</v>
      </c>
      <c r="H60" s="4"/>
      <c r="I60" s="4"/>
      <c r="J60" s="4"/>
      <c r="K60" s="4"/>
      <c r="L60" s="4"/>
      <c r="M60" s="4"/>
      <c r="N60" s="2">
        <f>IF(N41=1,IF(G4="USD",0,A60),IF(N41=2,A60," "))</f>
        <v>37</v>
      </c>
      <c r="AE60" s="2">
        <v>24</v>
      </c>
      <c r="AF60" s="2">
        <v>6</v>
      </c>
    </row>
    <row r="61" spans="1:143" ht="15" hidden="1" customHeight="1">
      <c r="A61" s="82"/>
      <c r="H61" s="4"/>
      <c r="I61" s="4"/>
      <c r="J61" s="4"/>
      <c r="K61" s="4"/>
      <c r="L61" s="4"/>
      <c r="M61" s="4"/>
      <c r="AE61" s="2">
        <v>36</v>
      </c>
      <c r="AF61" s="2">
        <v>12</v>
      </c>
    </row>
    <row r="62" spans="1:143" ht="15" hidden="1" customHeight="1">
      <c r="A62" s="7"/>
      <c r="H62" s="10"/>
      <c r="I62" s="10"/>
      <c r="J62" s="10"/>
      <c r="K62" s="10"/>
      <c r="L62" s="10"/>
      <c r="M62" s="10"/>
      <c r="N62" s="132">
        <f>A60-D9</f>
        <v>34</v>
      </c>
      <c r="AE62" s="2">
        <v>48</v>
      </c>
    </row>
    <row r="63" spans="1:143" ht="15.75" hidden="1" customHeight="1">
      <c r="A63" s="4">
        <f>IF(A60&gt;61,1,0)</f>
        <v>0</v>
      </c>
      <c r="H63" s="10"/>
      <c r="I63" s="18"/>
      <c r="J63" s="18"/>
      <c r="K63" s="18"/>
      <c r="L63" s="18"/>
      <c r="M63" s="18"/>
      <c r="AE63" s="2">
        <v>60</v>
      </c>
    </row>
    <row r="64" spans="1:143" ht="15.75" hidden="1" customHeight="1">
      <c r="A64" s="4"/>
      <c r="H64" s="10"/>
      <c r="I64" s="18"/>
      <c r="J64" s="18"/>
      <c r="K64" s="18"/>
      <c r="L64" s="18"/>
      <c r="M64" s="18"/>
    </row>
    <row r="65" spans="1:143" ht="15.75" hidden="1" customHeight="1" thickBot="1">
      <c r="A65" s="4"/>
      <c r="H65" s="4"/>
      <c r="I65" s="4"/>
      <c r="J65" s="4"/>
      <c r="K65" s="4"/>
      <c r="L65" s="4"/>
      <c r="M65" s="4"/>
    </row>
    <row r="66" spans="1:143" ht="12.75" hidden="1" customHeight="1">
      <c r="A66" s="4"/>
      <c r="B66" s="4"/>
      <c r="C66" s="4"/>
      <c r="D66" s="297" t="s">
        <v>79</v>
      </c>
      <c r="E66" s="297"/>
      <c r="F66" s="297"/>
      <c r="G66" s="297"/>
      <c r="H66" s="4"/>
      <c r="I66" s="4"/>
      <c r="J66" s="4"/>
      <c r="K66" s="4"/>
      <c r="L66" s="4"/>
      <c r="M66" s="4"/>
    </row>
    <row r="67" spans="1:143" ht="12.75" hidden="1" customHeight="1">
      <c r="A67" s="4"/>
      <c r="B67" s="4"/>
      <c r="C67" s="4"/>
      <c r="D67" s="272" t="s">
        <v>79</v>
      </c>
      <c r="E67" s="272"/>
      <c r="F67" s="272"/>
      <c r="G67" s="272"/>
      <c r="H67" s="4"/>
      <c r="I67" s="4"/>
      <c r="J67" s="4"/>
      <c r="K67" s="4"/>
      <c r="L67" s="4"/>
      <c r="M67" s="4"/>
    </row>
    <row r="68" spans="1:143" ht="12.75" hidden="1" customHeight="1">
      <c r="A68" s="4"/>
      <c r="B68" s="4"/>
      <c r="C68" s="4"/>
      <c r="D68" s="272" t="s">
        <v>79</v>
      </c>
      <c r="E68" s="272"/>
      <c r="F68" s="272"/>
      <c r="G68" s="272"/>
      <c r="H68" s="4"/>
      <c r="I68" s="4"/>
      <c r="J68" s="4"/>
      <c r="K68" s="4"/>
      <c r="L68" s="4"/>
      <c r="M68" s="4"/>
    </row>
    <row r="69" spans="1:143" ht="12.75" hidden="1" customHeight="1">
      <c r="A69" s="4"/>
      <c r="B69" s="4"/>
      <c r="C69" s="4"/>
      <c r="D69" s="654">
        <f>SUM(D72:F132)/2</f>
        <v>2999.9999999999986</v>
      </c>
      <c r="E69" s="654"/>
      <c r="F69" s="654"/>
      <c r="G69" s="134">
        <f>SUM(G72:G132)/2</f>
        <v>141.80576000000011</v>
      </c>
      <c r="H69" s="134">
        <v>0</v>
      </c>
      <c r="I69" s="134">
        <f>SUM(I72:I119)/2</f>
        <v>3141.8057599999993</v>
      </c>
      <c r="J69" s="134">
        <f>SUM(J72:J96)</f>
        <v>2196.3095798319328</v>
      </c>
      <c r="K69" s="134">
        <f>SUM(K72:K96)</f>
        <v>134.1298000000001</v>
      </c>
      <c r="L69" s="134"/>
      <c r="M69" s="134">
        <f>SUM(M72:M96)</f>
        <v>2330.4393798319334</v>
      </c>
    </row>
    <row r="70" spans="1:143" ht="24" customHeight="1">
      <c r="A70" s="4"/>
      <c r="B70" s="347" t="s">
        <v>21</v>
      </c>
      <c r="C70" s="348"/>
      <c r="D70" s="573" t="s">
        <v>140</v>
      </c>
      <c r="E70" s="574"/>
      <c r="F70" s="574"/>
      <c r="G70" s="574"/>
      <c r="H70" s="574"/>
      <c r="I70" s="575"/>
      <c r="J70" s="570" t="s">
        <v>141</v>
      </c>
      <c r="K70" s="571"/>
      <c r="L70" s="571"/>
      <c r="M70" s="571"/>
    </row>
    <row r="71" spans="1:143" ht="51" customHeight="1">
      <c r="A71" s="4">
        <f>IF(ABS(A60-D8)&gt;(D9),1,0)</f>
        <v>0</v>
      </c>
      <c r="B71" s="349"/>
      <c r="C71" s="350"/>
      <c r="D71" s="273" t="s">
        <v>22</v>
      </c>
      <c r="E71" s="572"/>
      <c r="F71" s="274"/>
      <c r="G71" s="88" t="s">
        <v>23</v>
      </c>
      <c r="H71" s="88" t="s">
        <v>24</v>
      </c>
      <c r="I71" s="89" t="s">
        <v>25</v>
      </c>
      <c r="J71" s="76" t="s">
        <v>22</v>
      </c>
      <c r="K71" s="76" t="s">
        <v>23</v>
      </c>
      <c r="L71" s="76" t="s">
        <v>24</v>
      </c>
      <c r="M71" s="76" t="s">
        <v>25</v>
      </c>
      <c r="O71" s="133" t="s">
        <v>26</v>
      </c>
      <c r="P71" s="133" t="s">
        <v>27</v>
      </c>
      <c r="Q71" s="133" t="s">
        <v>28</v>
      </c>
      <c r="R71" s="133" t="s">
        <v>29</v>
      </c>
      <c r="S71" s="133" t="s">
        <v>30</v>
      </c>
      <c r="T71" s="133">
        <v>2</v>
      </c>
      <c r="U71" s="133"/>
      <c r="V71" s="133" t="s">
        <v>31</v>
      </c>
      <c r="W71" s="133" t="s">
        <v>32</v>
      </c>
      <c r="X71" s="133" t="s">
        <v>142</v>
      </c>
      <c r="Y71" s="133" t="s">
        <v>142</v>
      </c>
      <c r="Z71" s="133"/>
      <c r="AA71" s="133"/>
      <c r="AB71" s="133"/>
      <c r="AC71" s="133" t="s">
        <v>33</v>
      </c>
      <c r="AD71" s="133" t="s">
        <v>186</v>
      </c>
      <c r="AE71" s="133" t="s">
        <v>28</v>
      </c>
      <c r="AF71" s="133" t="s">
        <v>29</v>
      </c>
      <c r="AG71" s="133" t="s">
        <v>143</v>
      </c>
      <c r="AH71" s="133" t="s">
        <v>143</v>
      </c>
      <c r="AI71" s="133"/>
      <c r="AJ71" s="133"/>
      <c r="AK71" s="133" t="s">
        <v>30</v>
      </c>
      <c r="AL71" s="133" t="s">
        <v>31</v>
      </c>
      <c r="AM71" s="133" t="s">
        <v>32</v>
      </c>
    </row>
    <row r="72" spans="1:143" s="24" customFormat="1" ht="15" customHeight="1">
      <c r="A72" s="4">
        <v>1</v>
      </c>
      <c r="B72" s="317">
        <f>IF(O72=0,IF(O71=1,"ИТОГО"," "),DATE(YEAR(D10),MONTH(D10)+1,P72))</f>
        <v>43485</v>
      </c>
      <c r="C72" s="317"/>
      <c r="D72" s="318">
        <f>IF(O72=0,0,IF(G4="USD",ROUND(D4/N60,0),IF(G4="бел. рублей",IF(AY72&lt;=5,AW72,AW72)," ")))</f>
        <v>81.08</v>
      </c>
      <c r="E72" s="318"/>
      <c r="F72" s="318"/>
      <c r="G72" s="87">
        <f>IF(N41=1,Q72,IF(N41=2,R72," "))</f>
        <v>2</v>
      </c>
      <c r="H72" s="87">
        <v>0</v>
      </c>
      <c r="I72" s="87">
        <f>SUM(D72:H72)+A134</f>
        <v>83.08</v>
      </c>
      <c r="J72" s="87">
        <f>U72</f>
        <v>81.08</v>
      </c>
      <c r="K72" s="87">
        <f t="shared" ref="K72:K132" si="0">AB72</f>
        <v>2</v>
      </c>
      <c r="L72" s="87">
        <v>0</v>
      </c>
      <c r="M72" s="87">
        <f>SUM(J72:L72)+A134</f>
        <v>83.08</v>
      </c>
      <c r="N72" s="2">
        <v>1</v>
      </c>
      <c r="O72" s="2">
        <f>IF(N41=1,IF(N60&gt;0,1,0),IF(N41=2,IF(N60&gt;0,1,0),0))</f>
        <v>1</v>
      </c>
      <c r="P72" s="2">
        <f t="shared" ref="P72:P132" si="1">IF(D$8+1=A$60,IF(N72=A$60,IF(DATE(YEAR(0),MONTH(0),DAY(D$10)-1)&gt;AT72,DATE(YEAR(0),MONTH(0),DAY(D$10)-1),AT72),AT72),IF(N72=A$60,IF(DATE(YEAR(0),MONTH(0),DAY(D$10)-1)&lt;AT72,DATE(YEAR(0),MONTH(0),DAY(D$10)-1),AT72),AT72))</f>
        <v>20</v>
      </c>
      <c r="Q72" s="134">
        <f t="shared" ref="Q72:R103" si="2">V72</f>
        <v>2</v>
      </c>
      <c r="R72" s="134">
        <f t="shared" si="2"/>
        <v>2</v>
      </c>
      <c r="S72" s="134">
        <f>D4</f>
        <v>3000</v>
      </c>
      <c r="T72" s="134">
        <f>IF(N73&lt;=D$9,D$4/(D$8-N72),D73)</f>
        <v>85.714285714285708</v>
      </c>
      <c r="U72" s="134">
        <f>AW72</f>
        <v>81.08</v>
      </c>
      <c r="V72" s="134">
        <f>S72*R57*D5/36000</f>
        <v>2</v>
      </c>
      <c r="W72" s="134">
        <f>S72*R57*D5/36000</f>
        <v>2</v>
      </c>
      <c r="X72" s="134">
        <f>IF(D4*R57*D5/36000&lt;&gt;0,IF(VALUE(RIGHT(ROUND(D4*R57*D5/36000,0)))&lt;=5,ROUND(D4*R57*D5/36000,0)-VALUE(RIGHT(ROUND(D4*R57*D5/36000,0))),ROUND(D4*R57*D5/36000,0)+10-VALUE(RIGHT(ROUND(D4*R57*D5/36000,0)))),0)</f>
        <v>0</v>
      </c>
      <c r="Y72" s="134">
        <f>IF(D4*R57*D5/36000&lt;&gt;0,IF(VALUE(RIGHT(ROUND(D4*R57*D5/36000,0)))&lt;=5,ROUND(D4*R57*D5/36000,0)-VALUE(RIGHT(ROUND(D4*R57*D5/36000,0))),ROUND(D4*R57*D5/36000,0)+10-VALUE(RIGHT(ROUND(D4*R57*D5/36000,0)))),0)</f>
        <v>0</v>
      </c>
      <c r="Z72" s="134">
        <f t="shared" ref="Z72:Z132" si="3">IF(N72&lt;=(D$9+1),D$4,Z71-J71)</f>
        <v>3000</v>
      </c>
      <c r="AA72" s="134">
        <f>Z72*R57*D5/36000</f>
        <v>2</v>
      </c>
      <c r="AB72" s="134">
        <f t="shared" ref="AB72:AB132" si="4">AA72</f>
        <v>2</v>
      </c>
      <c r="AC72" s="134">
        <f>S72*R57</f>
        <v>24000</v>
      </c>
      <c r="AD72" s="134">
        <f>Z72*R57</f>
        <v>24000</v>
      </c>
      <c r="AE72" s="134">
        <f t="shared" ref="AE72:AF103" si="5">IF(AL72&lt;&gt;0,IF(VALUE(RIGHT(ROUND(AL72,0)))&lt;=5,ROUND(AL72,0)-VALUE(RIGHT(ROUND(AL72,0))),ROUND(AL72,0)+10-VALUE(RIGHT(ROUND(AL72,0)))),0)</f>
        <v>0</v>
      </c>
      <c r="AF72" s="134">
        <f t="shared" si="5"/>
        <v>0</v>
      </c>
      <c r="AG72" s="134">
        <f>AK72*R57*H58/36000</f>
        <v>0</v>
      </c>
      <c r="AH72" s="134">
        <f t="shared" ref="AH72:AH132" si="6">IF(AG72&lt;&gt;0,IF(VALUE(RIGHT(ROUND(AG72,0)))&lt;=5,ROUND(AG72,0)-VALUE(RIGHT(ROUND(AG72,0))),ROUND(AG72,0)+10-VALUE(RIGHT(ROUND(AG72,0)))),0)</f>
        <v>0</v>
      </c>
      <c r="AI72" s="134">
        <f>Z72*R57*H58/36000</f>
        <v>0</v>
      </c>
      <c r="AJ72" s="134">
        <f t="shared" ref="AJ72:AJ132" si="7">IF(AI72&lt;&gt;0,IF(VALUE(RIGHT(ROUND(AI72,0)))&lt;=5,ROUND(AI72,0)-VALUE(RIGHT(ROUND(AI72,0))),ROUND(AI72,0)+10-VALUE(RIGHT(ROUND(AI72,0)))),0)</f>
        <v>0</v>
      </c>
      <c r="AK72" s="134">
        <f t="shared" ref="AK72:AK132" si="8">S72</f>
        <v>3000</v>
      </c>
      <c r="AL72" s="134">
        <f>AK72*R57*H58/36000</f>
        <v>0</v>
      </c>
      <c r="AM72" s="134">
        <f>AK72*R57*H58/36000</f>
        <v>0</v>
      </c>
      <c r="AN72" s="132">
        <f>IF(O72=0,0,MONTH(D10)+1)</f>
        <v>13</v>
      </c>
      <c r="AO72" s="132">
        <f t="shared" ref="AO72:AO132" si="9">IF(AN72=13,1,AN72)</f>
        <v>1</v>
      </c>
      <c r="AP72" s="2">
        <f>IF(O72=0,0,YEAR(D10))</f>
        <v>2018</v>
      </c>
      <c r="AQ72" s="2">
        <f t="shared" ref="AQ72:AQ132" si="10">IF(AO72=1,AP72+1,AP72)</f>
        <v>2019</v>
      </c>
      <c r="AR72" s="2">
        <f t="shared" ref="AR72:AR132" si="11">IF((AP72/2012)=1,1,IF((AP72/2016)=1,1,IF((AP72/2020)=1,1,IF((AP72/2024)=1,1,IF((AP72/2028)=1,1,IF((AP72/2032)=1,1,0))))))</f>
        <v>0</v>
      </c>
      <c r="AS72" s="2">
        <f t="shared" ref="AS72:AS132" si="12">IF(AO72=2,IF(AR72=1,29,28),30)</f>
        <v>30</v>
      </c>
      <c r="AT72" s="2">
        <f t="shared" ref="AT72:AT132" si="13">IF(C$71=30,AS72,20)</f>
        <v>20</v>
      </c>
      <c r="AU72" s="2"/>
      <c r="AV72" s="2"/>
      <c r="AW72" s="142">
        <f>ROUND(IF(O72=0,0,IF(G4="USD",ROUND(D4/N60,2),IF(G4="бел. рублей",D4/N60," "))),2)</f>
        <v>81.08</v>
      </c>
      <c r="AX72" s="132" t="str">
        <f>RIGHT(AW72)</f>
        <v>8</v>
      </c>
      <c r="AY72" s="2">
        <f>VALUE(AX72)</f>
        <v>8</v>
      </c>
      <c r="AZ72" s="2">
        <f>10-AY72</f>
        <v>2</v>
      </c>
      <c r="BA72" s="2">
        <f t="shared" ref="BA72:BA132" si="14">IF(D$9=0,0,IF(O72=1,1,0))</f>
        <v>1</v>
      </c>
      <c r="BB72" s="2"/>
      <c r="BC72" s="2"/>
      <c r="BD72" s="2"/>
      <c r="BE72" s="2"/>
      <c r="BF72" s="2"/>
      <c r="BG72" s="21"/>
      <c r="BH72" s="143">
        <f>ROUND((D4-D72*(N60-1)),2)</f>
        <v>81.12</v>
      </c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</row>
    <row r="73" spans="1:143" s="24" customFormat="1" ht="15" customHeight="1">
      <c r="A73" s="4">
        <f t="shared" ref="A73:A95" si="15">A72+1</f>
        <v>2</v>
      </c>
      <c r="B73" s="268">
        <f t="shared" ref="B73:B132" si="16">IF(O73=0,IF(O72=1,"ИТОГО"," "),IF(A$60=D$8+1,IF(N73=A$60,IF(MONTH(B72)=2,IF(DAY(D$10)&gt;29,DATE(YEAR(B72),MONTH(B72),AU73),DATE(YEAR(B72),MONTH(B72),P73)),DATE(YEAR(B72),MONTH(B72),P73)),DATE(YEAR(B72),MONTH(B72)+1,P73)),DATE(YEAR(B72),MONTH(B72)+1,P73)))</f>
        <v>43516</v>
      </c>
      <c r="C73" s="268"/>
      <c r="D73" s="269">
        <f>IF(O73=0,IF(O72=1,D72," "),IF(O73=0,0,IF(O74=1,D72,IF(O74=0,ROUNDUP(D4-D72*(N60-1),2)," "))))</f>
        <v>81.08</v>
      </c>
      <c r="E73" s="269"/>
      <c r="F73" s="269"/>
      <c r="G73" s="87">
        <f>IF(O73=0,IF(O72=1,G72," "),IF(N41=1,Q73,IF(N41=2,R73," ")))</f>
        <v>7.4324333333333339</v>
      </c>
      <c r="H73" s="87">
        <v>0</v>
      </c>
      <c r="I73" s="87">
        <f t="shared" ref="I73:I132" si="17">IF(SUM(D73:H73)=0," ",SUM(D73:H73))</f>
        <v>88.512433333333334</v>
      </c>
      <c r="J73" s="87">
        <f t="shared" ref="J73:J132" si="18">IF(O73=1,IF(O74=1,IF(N73&lt;=D$9,U73,AX$73),D$4-AX$73*N$62+AX$73),0)</f>
        <v>85.714285714285708</v>
      </c>
      <c r="K73" s="87">
        <f t="shared" si="0"/>
        <v>7.5</v>
      </c>
      <c r="L73" s="87">
        <v>0</v>
      </c>
      <c r="M73" s="87">
        <f t="shared" ref="M73:M132" si="19">IF(SUM(J73:L73)=0," ",SUM(J73:L73))</f>
        <v>93.214285714285708</v>
      </c>
      <c r="N73" s="2">
        <f t="shared" ref="N73:N95" si="20">N72+1</f>
        <v>2</v>
      </c>
      <c r="O73" s="2">
        <f>IF(N41=1,IF(N60&gt;1,1,0),IF(N41=2,IF(N60&gt;1,1,0),0))</f>
        <v>1</v>
      </c>
      <c r="P73" s="2">
        <f t="shared" si="1"/>
        <v>20</v>
      </c>
      <c r="Q73" s="134">
        <f t="shared" si="2"/>
        <v>7.4324333333333339</v>
      </c>
      <c r="R73" s="134">
        <f t="shared" si="2"/>
        <v>7.4324333333333339</v>
      </c>
      <c r="S73" s="134">
        <f t="shared" ref="S73:S132" si="21">IF(O73=0,0,S72-D72)</f>
        <v>2918.92</v>
      </c>
      <c r="T73" s="134">
        <f t="shared" ref="T73:T132" si="22">IF(N73&lt;=D$9,D$4/(D$8-N72),D73)</f>
        <v>85.714285714285708</v>
      </c>
      <c r="U73" s="134">
        <f t="shared" ref="U73:U132" si="23">T73</f>
        <v>85.714285714285708</v>
      </c>
      <c r="V73" s="134">
        <f>IF(O74=1,S72*D5*20/36000+S73*D5*10/36000,IF(O74=0,IF(O73=0,0,S73*D5*R58/36000+S72*D5*20/36000+S73*D5*10/36000)))</f>
        <v>7.4324333333333339</v>
      </c>
      <c r="W73" s="134">
        <f>IF(O74=1,S72*D5*20/36000+S73*D5*10/36000,IF(O74=0,IF(O73=0,0,S73*D5*R58/36000+S72*D5*20/36000+S73*D5*10/36000)))</f>
        <v>7.4324333333333339</v>
      </c>
      <c r="X73" s="134">
        <f t="shared" ref="X73:X131" si="24">IF(O74=1,$D$4*$D$5*20/36000+$D$4*$D$5*10/36000,IF(O74=0,IF(O73=0,0,$D$4*$D$5*$R$58/36000+$D$4*$D$5*20/36000+$D$4*$D$5*10/36000)))</f>
        <v>7.5</v>
      </c>
      <c r="Y73" s="134">
        <f t="shared" ref="Y73:Y132" si="25">IF(X73&lt;&gt;0,IF(VALUE(RIGHT(ROUND(X73,0)))&lt;=5,ROUND(X73,0)-VALUE(RIGHT(ROUND(X73,0))),ROUND(X73,0)+10-VALUE(RIGHT(ROUND(X73,0)))),0)</f>
        <v>10</v>
      </c>
      <c r="Z73" s="134">
        <f t="shared" si="3"/>
        <v>3000</v>
      </c>
      <c r="AA73" s="134">
        <f>IF(O74=1,Z72*D$5*20/36000+Z73*D$5*10/36000,IF(O74=0,IF(O73=0,0,Z73*D$5*R$58/36000+Z72*D$5*20/36000+Z73*D$5*10/36000)))</f>
        <v>7.5</v>
      </c>
      <c r="AB73" s="134">
        <f t="shared" si="4"/>
        <v>7.5</v>
      </c>
      <c r="AC73" s="134">
        <f>IF(S74=0,S73*R58,(S72*20+S73*10))</f>
        <v>89189.2</v>
      </c>
      <c r="AD73" s="134">
        <f t="shared" ref="AD73:AD78" si="26">IF(Z74=0,Z73*R58,(Z72*20+Z73*10))</f>
        <v>90000</v>
      </c>
      <c r="AE73" s="134">
        <f t="shared" si="5"/>
        <v>0</v>
      </c>
      <c r="AF73" s="134">
        <f t="shared" si="5"/>
        <v>0</v>
      </c>
      <c r="AG73" s="134">
        <f t="shared" ref="AG73:AG131" si="27">IF(O74=1,D$4*H$58*20/36000+D$4*H$58*10/36000,IF(O74=0,IF(O73=0,0,D$4*H$58*R$58/36000+D$4*H$58*20/36000+D$4*H$58*10/36000)))</f>
        <v>0</v>
      </c>
      <c r="AH73" s="134">
        <f t="shared" si="6"/>
        <v>0</v>
      </c>
      <c r="AI73" s="134">
        <f t="shared" ref="AI73:AI131" si="28">IF(O74=1,Z72*H$58*20/36000+Z73*H$58*10/36000,IF(O74=0,IF(O73=0,0,Z73*H$58*R$58/36000+Z72*H$58*20/36000+Z73*H$58*10/36000)))</f>
        <v>0</v>
      </c>
      <c r="AJ73" s="134">
        <f t="shared" si="7"/>
        <v>0</v>
      </c>
      <c r="AK73" s="134">
        <f t="shared" si="8"/>
        <v>2918.92</v>
      </c>
      <c r="AL73" s="134">
        <f>IF(O74=1,AK72*H58*20/36000+AK73*H58*10/36000,IF(O74=0,IF(O73=0,0,AK73*H58*R58/36000+AK72*H58*20/36000+AK73*H58*10/36000)))</f>
        <v>0</v>
      </c>
      <c r="AM73" s="134">
        <f>IF(O74=1,AK72*H58*20/36000+AK73*H58*10/36000,IF(O74=0,IF(O73=0,0,AK73*H58*R58/36000+AK72*H58*20/36000+AK73*H58*10/36000)))</f>
        <v>0</v>
      </c>
      <c r="AN73" s="132">
        <f t="shared" ref="AN73:AN132" si="29">IF(O73=0,0,MONTH(B72)+1)</f>
        <v>2</v>
      </c>
      <c r="AO73" s="132">
        <f t="shared" si="9"/>
        <v>2</v>
      </c>
      <c r="AP73" s="2">
        <f t="shared" ref="AP73:AP132" si="30">IF(O73=0,0,YEAR(B72))</f>
        <v>2019</v>
      </c>
      <c r="AQ73" s="2">
        <f t="shared" si="10"/>
        <v>2019</v>
      </c>
      <c r="AR73" s="2">
        <f t="shared" si="11"/>
        <v>0</v>
      </c>
      <c r="AS73" s="2">
        <f t="shared" si="12"/>
        <v>28</v>
      </c>
      <c r="AT73" s="2">
        <f t="shared" si="13"/>
        <v>20</v>
      </c>
      <c r="AU73" s="2">
        <f t="shared" ref="AU73:AU132" si="31">AS72</f>
        <v>30</v>
      </c>
      <c r="AV73" s="2"/>
      <c r="AW73" s="142">
        <f>D$4/(A$60-D$9)</f>
        <v>88.235294117647058</v>
      </c>
      <c r="AX73" s="144">
        <f>ROUNDUP(AW73,2)</f>
        <v>88.240000000000009</v>
      </c>
      <c r="AY73" s="2"/>
      <c r="AZ73" s="2"/>
      <c r="BA73" s="2">
        <f t="shared" si="14"/>
        <v>1</v>
      </c>
      <c r="BB73" s="2"/>
      <c r="BC73" s="2"/>
      <c r="BD73" s="2"/>
      <c r="BE73" s="2"/>
      <c r="BF73" s="2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</row>
    <row r="74" spans="1:143" s="24" customFormat="1" ht="15" customHeight="1">
      <c r="A74" s="4">
        <f t="shared" si="15"/>
        <v>3</v>
      </c>
      <c r="B74" s="268">
        <f t="shared" si="16"/>
        <v>43544</v>
      </c>
      <c r="C74" s="268"/>
      <c r="D74" s="269">
        <f>IF(O74=0,IF(O73=1,D72+D73," "),IF(O74=0,0,IF(O75=1,D72,IF(O75=0,D4-D72*(N60-1)," "))))</f>
        <v>81.08</v>
      </c>
      <c r="E74" s="269"/>
      <c r="F74" s="269"/>
      <c r="G74" s="87">
        <f>IF(O74=0,IF(O73=1,G72+G73," "),IF(N41=1,Q74,IF(N41=2,R74," ")))</f>
        <v>7.2297333333333338</v>
      </c>
      <c r="H74" s="87">
        <v>0</v>
      </c>
      <c r="I74" s="87">
        <f t="shared" si="17"/>
        <v>88.309733333333327</v>
      </c>
      <c r="J74" s="87">
        <f t="shared" si="18"/>
        <v>88.235294117647058</v>
      </c>
      <c r="K74" s="87">
        <f t="shared" si="0"/>
        <v>7.5</v>
      </c>
      <c r="L74" s="87">
        <v>0</v>
      </c>
      <c r="M74" s="87">
        <f t="shared" si="19"/>
        <v>95.735294117647058</v>
      </c>
      <c r="N74" s="2">
        <f t="shared" si="20"/>
        <v>3</v>
      </c>
      <c r="O74" s="2">
        <f>IF(N41=1,IF(N60&gt;2,1,0),IF(N41=2,IF(N60&gt;2,1,0),0))</f>
        <v>1</v>
      </c>
      <c r="P74" s="2">
        <f t="shared" si="1"/>
        <v>20</v>
      </c>
      <c r="Q74" s="134">
        <f t="shared" si="2"/>
        <v>7.2297333333333338</v>
      </c>
      <c r="R74" s="134">
        <f t="shared" si="2"/>
        <v>7.2297333333333338</v>
      </c>
      <c r="S74" s="134">
        <f t="shared" si="21"/>
        <v>2837.84</v>
      </c>
      <c r="T74" s="134">
        <f t="shared" si="22"/>
        <v>88.235294117647058</v>
      </c>
      <c r="U74" s="134">
        <f t="shared" si="23"/>
        <v>88.235294117647058</v>
      </c>
      <c r="V74" s="134">
        <f>IF(O75=1,S73*D5*20/36000+S74*D5*10/36000,IF(O75=0,IF(O74=0,0,S74*D5*R58/36000+S73*D5*20/36000+S74*D5*10/36000)))</f>
        <v>7.2297333333333338</v>
      </c>
      <c r="W74" s="134">
        <f>IF(O75=1,S73*D5*20/36000+S74*D5*10/36000,IF(O75=0,IF(O74=0,0,S74*D5*R58/36000+S73*D5*20/36000+S74*D5*10/36000)))</f>
        <v>7.2297333333333338</v>
      </c>
      <c r="X74" s="134">
        <f t="shared" si="24"/>
        <v>7.5</v>
      </c>
      <c r="Y74" s="134">
        <f t="shared" si="25"/>
        <v>10</v>
      </c>
      <c r="Z74" s="134">
        <f t="shared" si="3"/>
        <v>3000</v>
      </c>
      <c r="AA74" s="134">
        <f>IF(O75=1,Z73*D$5*20/36000+Z74*D$5*10/36000,IF(O75=0,IF(O74=0,0,Z74*D$5*R$58/36000+Z73*D$5*20/36000+Z74*D$5*10/36000)))</f>
        <v>7.5</v>
      </c>
      <c r="AB74" s="134">
        <f t="shared" si="4"/>
        <v>7.5</v>
      </c>
      <c r="AC74" s="134">
        <f>IF(S75=0,S74*R58,(S73*20+S74*10))</f>
        <v>86756.800000000003</v>
      </c>
      <c r="AD74" s="134">
        <f t="shared" si="26"/>
        <v>90000</v>
      </c>
      <c r="AE74" s="134">
        <f t="shared" si="5"/>
        <v>0</v>
      </c>
      <c r="AF74" s="134">
        <f t="shared" si="5"/>
        <v>0</v>
      </c>
      <c r="AG74" s="134">
        <f t="shared" si="27"/>
        <v>0</v>
      </c>
      <c r="AH74" s="134">
        <f t="shared" si="6"/>
        <v>0</v>
      </c>
      <c r="AI74" s="134">
        <f t="shared" si="28"/>
        <v>0</v>
      </c>
      <c r="AJ74" s="134">
        <f t="shared" si="7"/>
        <v>0</v>
      </c>
      <c r="AK74" s="134">
        <f t="shared" si="8"/>
        <v>2837.84</v>
      </c>
      <c r="AL74" s="134">
        <f>IF(O75=1,AK73*H58*20/36000+AK74*H58*10/36000,IF(O75=0,IF(O74=0,0,AK74*H58*R58/36000+AK73*H58*20/36000+AK74*H58*10/36000)))</f>
        <v>0</v>
      </c>
      <c r="AM74" s="134">
        <f>IF(O75=1,AK73*H58*20/36000+AK74*H58*10/36000,IF(O75=0,IF(O74=0,0,AK74*H58*R58/36000+AK73*H58*20/36000+AK74*H58*10/36000)))</f>
        <v>0</v>
      </c>
      <c r="AN74" s="132">
        <f t="shared" si="29"/>
        <v>3</v>
      </c>
      <c r="AO74" s="132">
        <f t="shared" si="9"/>
        <v>3</v>
      </c>
      <c r="AP74" s="2">
        <f t="shared" si="30"/>
        <v>2019</v>
      </c>
      <c r="AQ74" s="2">
        <f t="shared" si="10"/>
        <v>2019</v>
      </c>
      <c r="AR74" s="2">
        <f t="shared" si="11"/>
        <v>0</v>
      </c>
      <c r="AS74" s="2">
        <f t="shared" si="12"/>
        <v>30</v>
      </c>
      <c r="AT74" s="2">
        <f t="shared" si="13"/>
        <v>20</v>
      </c>
      <c r="AU74" s="2">
        <f t="shared" si="31"/>
        <v>28</v>
      </c>
      <c r="AV74" s="2"/>
      <c r="AW74" s="2"/>
      <c r="AX74" s="2"/>
      <c r="AY74" s="2"/>
      <c r="AZ74" s="2"/>
      <c r="BA74" s="2">
        <f t="shared" si="14"/>
        <v>1</v>
      </c>
      <c r="BB74" s="2"/>
      <c r="BC74" s="2"/>
      <c r="BD74" s="2"/>
      <c r="BE74" s="2"/>
      <c r="BF74" s="2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</row>
    <row r="75" spans="1:143" s="24" customFormat="1" ht="15" customHeight="1">
      <c r="A75" s="4">
        <f t="shared" si="15"/>
        <v>4</v>
      </c>
      <c r="B75" s="268">
        <f t="shared" si="16"/>
        <v>43575</v>
      </c>
      <c r="C75" s="268"/>
      <c r="D75" s="269">
        <f>IF(O75=0,IF(O74=1,D72+D73+D74," "),IF(O75=0,0,IF(O76=1,D72,IF(O76=0,D4-D72*(N60-1)," "))))</f>
        <v>81.08</v>
      </c>
      <c r="E75" s="269"/>
      <c r="F75" s="269"/>
      <c r="G75" s="87">
        <f>IF(O75=0,IF(O74=1,G72+G73+G74," "),IF(N41=1,Q75,IF(N41=2,R75," ")))</f>
        <v>7.0270333333333337</v>
      </c>
      <c r="H75" s="87">
        <v>0</v>
      </c>
      <c r="I75" s="87">
        <f t="shared" si="17"/>
        <v>88.107033333333334</v>
      </c>
      <c r="J75" s="87">
        <f t="shared" si="18"/>
        <v>88.240000000000009</v>
      </c>
      <c r="K75" s="87">
        <f t="shared" si="0"/>
        <v>7.5</v>
      </c>
      <c r="L75" s="87">
        <v>0</v>
      </c>
      <c r="M75" s="87">
        <f t="shared" si="19"/>
        <v>95.740000000000009</v>
      </c>
      <c r="N75" s="2">
        <f t="shared" si="20"/>
        <v>4</v>
      </c>
      <c r="O75" s="2">
        <f>IF(N41=1,IF(N60&gt;3,1,0),IF(N41=2,IF(N60&gt;3,1,0),0))</f>
        <v>1</v>
      </c>
      <c r="P75" s="2">
        <f t="shared" si="1"/>
        <v>20</v>
      </c>
      <c r="Q75" s="134">
        <f t="shared" si="2"/>
        <v>7.0270333333333337</v>
      </c>
      <c r="R75" s="134">
        <f t="shared" si="2"/>
        <v>7.0270333333333337</v>
      </c>
      <c r="S75" s="134">
        <f t="shared" si="21"/>
        <v>2756.76</v>
      </c>
      <c r="T75" s="134">
        <f t="shared" si="22"/>
        <v>81.08</v>
      </c>
      <c r="U75" s="134">
        <f t="shared" si="23"/>
        <v>81.08</v>
      </c>
      <c r="V75" s="134">
        <f>IF(O76=1,S74*D5*20/36000+S75*D5*10/36000,IF(O76=0,IF(O75=0,0,S75*D5*R58/36000+S74*D5*20/36000+S75*D5*10/36000)))</f>
        <v>7.0270333333333337</v>
      </c>
      <c r="W75" s="134">
        <f>IF(O76=1,S74*D5*20/36000+S75*D5*10/36000,IF(O76=0,IF(O75=0,0,S75*D5*R58/36000+S74*D5*20/36000+S75*D5*10/36000)))</f>
        <v>7.0270333333333337</v>
      </c>
      <c r="X75" s="134">
        <f t="shared" si="24"/>
        <v>7.5</v>
      </c>
      <c r="Y75" s="134">
        <f t="shared" si="25"/>
        <v>10</v>
      </c>
      <c r="Z75" s="134">
        <f t="shared" si="3"/>
        <v>3000</v>
      </c>
      <c r="AA75" s="134">
        <f>IF(O76=1,Z74*D$5*20/36000+Z75*D$5*10/36000,IF(O76=0,IF(O75=0,0,Z75*D$5*R$58/36000+Z74*D$5*20/36000+Z75*D$5*10/36000)))</f>
        <v>7.5</v>
      </c>
      <c r="AB75" s="134">
        <f t="shared" si="4"/>
        <v>7.5</v>
      </c>
      <c r="AC75" s="134">
        <f>IF(S76=0,S75*R58,(S74*20+S75*10))</f>
        <v>84324.400000000009</v>
      </c>
      <c r="AD75" s="134">
        <f t="shared" si="26"/>
        <v>90000</v>
      </c>
      <c r="AE75" s="134">
        <f t="shared" si="5"/>
        <v>0</v>
      </c>
      <c r="AF75" s="134">
        <f t="shared" si="5"/>
        <v>0</v>
      </c>
      <c r="AG75" s="134">
        <f t="shared" si="27"/>
        <v>0</v>
      </c>
      <c r="AH75" s="134">
        <f t="shared" si="6"/>
        <v>0</v>
      </c>
      <c r="AI75" s="134">
        <f t="shared" si="28"/>
        <v>0</v>
      </c>
      <c r="AJ75" s="134">
        <f t="shared" si="7"/>
        <v>0</v>
      </c>
      <c r="AK75" s="134">
        <f t="shared" si="8"/>
        <v>2756.76</v>
      </c>
      <c r="AL75" s="134">
        <f>IF(O76=1,AK74*H58*20/36000+AK75*H58*10/36000,IF(O76=0,IF(O75=0,0,AK75*H58*R58/36000+AK74*H58*20/36000+AK75*H58*10/36000)))</f>
        <v>0</v>
      </c>
      <c r="AM75" s="134">
        <f>IF(O76=1,AK74*H58*20/36000+AK75*H58*10/36000,IF(O76=0,IF(O75=0,0,AK75*H58*R58/36000+AK74*H58*20/36000+AK75*H58*10/36000)))</f>
        <v>0</v>
      </c>
      <c r="AN75" s="132">
        <f t="shared" si="29"/>
        <v>4</v>
      </c>
      <c r="AO75" s="132">
        <f t="shared" si="9"/>
        <v>4</v>
      </c>
      <c r="AP75" s="2">
        <f t="shared" si="30"/>
        <v>2019</v>
      </c>
      <c r="AQ75" s="2">
        <f t="shared" si="10"/>
        <v>2019</v>
      </c>
      <c r="AR75" s="2">
        <f t="shared" si="11"/>
        <v>0</v>
      </c>
      <c r="AS75" s="2">
        <f t="shared" si="12"/>
        <v>30</v>
      </c>
      <c r="AT75" s="2">
        <f t="shared" si="13"/>
        <v>20</v>
      </c>
      <c r="AU75" s="2">
        <f t="shared" si="31"/>
        <v>30</v>
      </c>
      <c r="AV75" s="2"/>
      <c r="AW75" s="2"/>
      <c r="AX75" s="2"/>
      <c r="AY75" s="2"/>
      <c r="AZ75" s="2"/>
      <c r="BA75" s="2">
        <f t="shared" si="14"/>
        <v>1</v>
      </c>
      <c r="BB75" s="2"/>
      <c r="BC75" s="2"/>
      <c r="BD75" s="2"/>
      <c r="BE75" s="2"/>
      <c r="BF75" s="2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</row>
    <row r="76" spans="1:143" s="24" customFormat="1" ht="15" customHeight="1">
      <c r="A76" s="4">
        <f t="shared" si="15"/>
        <v>5</v>
      </c>
      <c r="B76" s="268">
        <f t="shared" si="16"/>
        <v>43605</v>
      </c>
      <c r="C76" s="268"/>
      <c r="D76" s="269">
        <f>IF(O76=0,IF(O75=1,D72+D73+D74+D75," "),IF(O76=0,0,IF(O77=1,D72,IF(O77=0,D4-D72*(N60-1)," "))))</f>
        <v>81.08</v>
      </c>
      <c r="E76" s="269"/>
      <c r="F76" s="269"/>
      <c r="G76" s="87">
        <f>IF(O76=0,IF(O75=1,G72+G73+G74+G75," "),IF(N41=1,Q76,IF(N41=2,R76," ")))</f>
        <v>6.8243333333333336</v>
      </c>
      <c r="H76" s="87">
        <v>0</v>
      </c>
      <c r="I76" s="87">
        <f t="shared" si="17"/>
        <v>87.904333333333327</v>
      </c>
      <c r="J76" s="87">
        <f t="shared" si="18"/>
        <v>88.240000000000009</v>
      </c>
      <c r="K76" s="87">
        <f t="shared" si="0"/>
        <v>7.4264666666666663</v>
      </c>
      <c r="L76" s="87">
        <v>0</v>
      </c>
      <c r="M76" s="87">
        <f t="shared" si="19"/>
        <v>95.666466666666679</v>
      </c>
      <c r="N76" s="2">
        <f t="shared" si="20"/>
        <v>5</v>
      </c>
      <c r="O76" s="2">
        <f>IF(N41=1,IF(N60&gt;4,1,0),IF(N41=2,IF(N60&gt;4,1,0),0))</f>
        <v>1</v>
      </c>
      <c r="P76" s="2">
        <f t="shared" si="1"/>
        <v>20</v>
      </c>
      <c r="Q76" s="134">
        <f t="shared" si="2"/>
        <v>6.8243333333333336</v>
      </c>
      <c r="R76" s="134">
        <f t="shared" si="2"/>
        <v>6.8243333333333336</v>
      </c>
      <c r="S76" s="134">
        <f t="shared" si="21"/>
        <v>2675.6800000000003</v>
      </c>
      <c r="T76" s="134">
        <f t="shared" si="22"/>
        <v>81.08</v>
      </c>
      <c r="U76" s="134">
        <f t="shared" si="23"/>
        <v>81.08</v>
      </c>
      <c r="V76" s="134">
        <f>IF(O77=1,S75*D5*20/36000+S76*D5*10/36000,IF(O77=0,IF(O76=0,0,S76*D5*R58/36000+S75*D5*20/36000+S76*D5*10/36000)))</f>
        <v>6.8243333333333336</v>
      </c>
      <c r="W76" s="134">
        <f>IF(O77=1,S75*D5*20/36000+S76*D5*10/36000,IF(O77=0,IF(O76=0,0,S76*D5*R58/36000+S75*D5*20/36000+S76*D5*10/36000)))</f>
        <v>6.8243333333333336</v>
      </c>
      <c r="X76" s="134">
        <f t="shared" si="24"/>
        <v>7.5</v>
      </c>
      <c r="Y76" s="134">
        <f t="shared" si="25"/>
        <v>10</v>
      </c>
      <c r="Z76" s="134">
        <f t="shared" si="3"/>
        <v>2911.76</v>
      </c>
      <c r="AA76" s="134">
        <f>IF(O77=1,Z75*D$5*20/36000+Z76*D$5*10/36000,IF(O77=0,IF(O76=0,0,Z76*D$5*R$58/36000+Z75*D$5*20/36000+Z76*D$5*10/36000)))</f>
        <v>7.4264666666666663</v>
      </c>
      <c r="AB76" s="134">
        <f t="shared" si="4"/>
        <v>7.4264666666666663</v>
      </c>
      <c r="AC76" s="134">
        <f>IF(S77=0,S76*R58,(S75*20+S76*10))</f>
        <v>81892</v>
      </c>
      <c r="AD76" s="134">
        <f t="shared" si="26"/>
        <v>89117.6</v>
      </c>
      <c r="AE76" s="134">
        <f t="shared" si="5"/>
        <v>0</v>
      </c>
      <c r="AF76" s="134">
        <f t="shared" si="5"/>
        <v>0</v>
      </c>
      <c r="AG76" s="134">
        <f t="shared" si="27"/>
        <v>0</v>
      </c>
      <c r="AH76" s="134">
        <f t="shared" si="6"/>
        <v>0</v>
      </c>
      <c r="AI76" s="134">
        <f t="shared" si="28"/>
        <v>0</v>
      </c>
      <c r="AJ76" s="134">
        <f t="shared" si="7"/>
        <v>0</v>
      </c>
      <c r="AK76" s="134">
        <f t="shared" si="8"/>
        <v>2675.6800000000003</v>
      </c>
      <c r="AL76" s="134">
        <f>IF(O77=1,AK75*H58*20/36000+AK76*H58*10/36000,IF(O77=0,IF(O76=0,0,AK76*H58*R58/36000+AK75*H58*20/36000+AK76*H58*10/36000)))</f>
        <v>0</v>
      </c>
      <c r="AM76" s="134">
        <f>IF(O77=1,AK75*H58*20/36000+AK76*H58*10/36000,IF(O77=0,IF(O76=0,0,AK76*H58*R58/36000+AK75*H58*20/36000+AK76*H58*10/36000)))</f>
        <v>0</v>
      </c>
      <c r="AN76" s="132">
        <f t="shared" si="29"/>
        <v>5</v>
      </c>
      <c r="AO76" s="132">
        <f t="shared" si="9"/>
        <v>5</v>
      </c>
      <c r="AP76" s="2">
        <f t="shared" si="30"/>
        <v>2019</v>
      </c>
      <c r="AQ76" s="2">
        <f t="shared" si="10"/>
        <v>2019</v>
      </c>
      <c r="AR76" s="2">
        <f t="shared" si="11"/>
        <v>0</v>
      </c>
      <c r="AS76" s="2">
        <f t="shared" si="12"/>
        <v>30</v>
      </c>
      <c r="AT76" s="2">
        <f t="shared" si="13"/>
        <v>20</v>
      </c>
      <c r="AU76" s="2">
        <f t="shared" si="31"/>
        <v>30</v>
      </c>
      <c r="AV76" s="2"/>
      <c r="AW76" s="2"/>
      <c r="AX76" s="2"/>
      <c r="AY76" s="2"/>
      <c r="AZ76" s="2"/>
      <c r="BA76" s="2">
        <f t="shared" si="14"/>
        <v>1</v>
      </c>
      <c r="BB76" s="2"/>
      <c r="BC76" s="2"/>
      <c r="BD76" s="2"/>
      <c r="BE76" s="2"/>
      <c r="BF76" s="2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</row>
    <row r="77" spans="1:143" s="24" customFormat="1" ht="15" customHeight="1">
      <c r="A77" s="4">
        <f t="shared" si="15"/>
        <v>6</v>
      </c>
      <c r="B77" s="268">
        <f t="shared" si="16"/>
        <v>43636</v>
      </c>
      <c r="C77" s="268"/>
      <c r="D77" s="269">
        <f>IF(O77=0,IF(O76=1,D72+D73+D74+D75+D76," "),IF(O77=0,0,IF(O78=1,D72,IF(O78=0,ROUNDUP((D4-D72*(N60-1)),2)," "))))</f>
        <v>81.08</v>
      </c>
      <c r="E77" s="269"/>
      <c r="F77" s="269"/>
      <c r="G77" s="87">
        <f>IF(O77=0,IF(O76=1,G72+G73+G74+G75+G76," "),IF(N41=1,Q77,IF(N41=2,R77," ")))</f>
        <v>6.6216333333333353</v>
      </c>
      <c r="H77" s="87">
        <v>0</v>
      </c>
      <c r="I77" s="87">
        <f t="shared" si="17"/>
        <v>87.701633333333334</v>
      </c>
      <c r="J77" s="87">
        <f t="shared" si="18"/>
        <v>88.240000000000009</v>
      </c>
      <c r="K77" s="87">
        <f t="shared" si="0"/>
        <v>7.2058666666666671</v>
      </c>
      <c r="L77" s="87">
        <v>0</v>
      </c>
      <c r="M77" s="87">
        <f t="shared" si="19"/>
        <v>95.445866666666674</v>
      </c>
      <c r="N77" s="2">
        <f t="shared" si="20"/>
        <v>6</v>
      </c>
      <c r="O77" s="2">
        <f>IF(N41=1,IF(N60&gt;5,1,0),IF(N41=2,IF(N60&gt;5,1,0),0))</f>
        <v>1</v>
      </c>
      <c r="P77" s="2">
        <f t="shared" si="1"/>
        <v>20</v>
      </c>
      <c r="Q77" s="134">
        <f t="shared" si="2"/>
        <v>6.6216333333333353</v>
      </c>
      <c r="R77" s="134">
        <f t="shared" si="2"/>
        <v>6.6216333333333353</v>
      </c>
      <c r="S77" s="134">
        <f t="shared" si="21"/>
        <v>2594.6000000000004</v>
      </c>
      <c r="T77" s="134">
        <f t="shared" si="22"/>
        <v>81.08</v>
      </c>
      <c r="U77" s="134">
        <f t="shared" si="23"/>
        <v>81.08</v>
      </c>
      <c r="V77" s="134">
        <f>IF(O78=1,S76*D5*20/36000+S77*D5*10/36000,IF(O78=0,IF(O77=0,0,S77*D5*R58/36000+S76*D5*20/36000+S77*D5*10/36000)))</f>
        <v>6.6216333333333353</v>
      </c>
      <c r="W77" s="134">
        <f>IF(O78=1,S76*D5*20/36000+S77*D5*10/36000,IF(O78=0,IF(O77=0,0,S77*D5*R58/36000+S76*D5*20/36000+S77*D5*10/36000)))</f>
        <v>6.6216333333333353</v>
      </c>
      <c r="X77" s="134">
        <f t="shared" si="24"/>
        <v>7.5</v>
      </c>
      <c r="Y77" s="134">
        <f t="shared" si="25"/>
        <v>10</v>
      </c>
      <c r="Z77" s="134">
        <f t="shared" si="3"/>
        <v>2823.5200000000004</v>
      </c>
      <c r="AA77" s="134">
        <f>IF(O78=1,Z76*D$5*20/36000+Z77*D$5*10/36000,IF(O78=0,IF(O77=0,0,Z77*D$5*R$58/36000+Z76*D$5*20/36000+Z77*D$5*10/36000)))</f>
        <v>7.2058666666666671</v>
      </c>
      <c r="AB77" s="134">
        <f t="shared" si="4"/>
        <v>7.2058666666666671</v>
      </c>
      <c r="AC77" s="134">
        <f>IF(S78=0,S77*R58,(S76*20+S77*10))</f>
        <v>79459.600000000006</v>
      </c>
      <c r="AD77" s="134">
        <f t="shared" si="26"/>
        <v>86470.400000000009</v>
      </c>
      <c r="AE77" s="134">
        <f t="shared" si="5"/>
        <v>0</v>
      </c>
      <c r="AF77" s="134">
        <f t="shared" si="5"/>
        <v>0</v>
      </c>
      <c r="AG77" s="134">
        <f t="shared" si="27"/>
        <v>0</v>
      </c>
      <c r="AH77" s="134">
        <f t="shared" si="6"/>
        <v>0</v>
      </c>
      <c r="AI77" s="134">
        <f t="shared" si="28"/>
        <v>0</v>
      </c>
      <c r="AJ77" s="134">
        <f t="shared" si="7"/>
        <v>0</v>
      </c>
      <c r="AK77" s="134">
        <f t="shared" si="8"/>
        <v>2594.6000000000004</v>
      </c>
      <c r="AL77" s="134">
        <f>IF(O78=1,AK76*H58*20/36000+AK77*H58*10/36000,IF(O78=0,IF(O77=0,0,AK77*H58*R58/36000+AK76*H58*20/36000+AK77*H58*10/36000)))</f>
        <v>0</v>
      </c>
      <c r="AM77" s="134">
        <f>IF(O78=1,AK76*H58*20/36000+AK77*H58*10/36000,IF(O78=0,IF(O77=0,0,AK77*H58*R58/36000+AK76*H58*20/36000+AK77*H58*10/36000)))</f>
        <v>0</v>
      </c>
      <c r="AN77" s="132">
        <f t="shared" si="29"/>
        <v>6</v>
      </c>
      <c r="AO77" s="132">
        <f t="shared" si="9"/>
        <v>6</v>
      </c>
      <c r="AP77" s="2">
        <f t="shared" si="30"/>
        <v>2019</v>
      </c>
      <c r="AQ77" s="2">
        <f t="shared" si="10"/>
        <v>2019</v>
      </c>
      <c r="AR77" s="2">
        <f t="shared" si="11"/>
        <v>0</v>
      </c>
      <c r="AS77" s="2">
        <f t="shared" si="12"/>
        <v>30</v>
      </c>
      <c r="AT77" s="2">
        <f t="shared" si="13"/>
        <v>20</v>
      </c>
      <c r="AU77" s="2">
        <f t="shared" si="31"/>
        <v>30</v>
      </c>
      <c r="AV77" s="2"/>
      <c r="AW77" s="2"/>
      <c r="AX77" s="2"/>
      <c r="AY77" s="2"/>
      <c r="AZ77" s="2"/>
      <c r="BA77" s="2">
        <f t="shared" si="14"/>
        <v>1</v>
      </c>
      <c r="BB77" s="2"/>
      <c r="BC77" s="2"/>
      <c r="BD77" s="2"/>
      <c r="BE77" s="2"/>
      <c r="BF77" s="2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</row>
    <row r="78" spans="1:143" s="24" customFormat="1" ht="15" customHeight="1">
      <c r="A78" s="19">
        <f t="shared" si="15"/>
        <v>7</v>
      </c>
      <c r="B78" s="268">
        <f t="shared" si="16"/>
        <v>43666</v>
      </c>
      <c r="C78" s="268"/>
      <c r="D78" s="269">
        <f>IF(O78=0,IF(O77=1,D72+D73+D74+D75+D76+D77," "),IF(O78=0," ",IF(O79=1,D72,IF(O79=0,ROUNDUP((D4-D72*(N60-1)),2)," "))))</f>
        <v>81.08</v>
      </c>
      <c r="E78" s="269"/>
      <c r="F78" s="269"/>
      <c r="G78" s="87">
        <f>IF(O78=0,IF(O77=1,G72+G73+G74+G75+G76+G77," "),IF(N41=1,Q78,IF(N41=2,R78," ")))</f>
        <v>6.4189333333333352</v>
      </c>
      <c r="H78" s="87">
        <v>0</v>
      </c>
      <c r="I78" s="87">
        <f t="shared" si="17"/>
        <v>87.498933333333326</v>
      </c>
      <c r="J78" s="87">
        <f t="shared" si="18"/>
        <v>88.240000000000009</v>
      </c>
      <c r="K78" s="87">
        <f t="shared" si="0"/>
        <v>6.9852666666666678</v>
      </c>
      <c r="L78" s="87">
        <v>0</v>
      </c>
      <c r="M78" s="87">
        <f t="shared" si="19"/>
        <v>95.22526666666667</v>
      </c>
      <c r="N78" s="2">
        <f t="shared" si="20"/>
        <v>7</v>
      </c>
      <c r="O78" s="2">
        <f>IF(N41=1,IF(N60&gt;6,1,0),IF(N41=2,IF(N60&gt;6,1,0),0))</f>
        <v>1</v>
      </c>
      <c r="P78" s="2">
        <f t="shared" si="1"/>
        <v>20</v>
      </c>
      <c r="Q78" s="134">
        <f t="shared" si="2"/>
        <v>6.4189333333333352</v>
      </c>
      <c r="R78" s="134">
        <f t="shared" si="2"/>
        <v>6.4189333333333352</v>
      </c>
      <c r="S78" s="134">
        <f t="shared" si="21"/>
        <v>2513.5200000000004</v>
      </c>
      <c r="T78" s="134">
        <f t="shared" si="22"/>
        <v>81.08</v>
      </c>
      <c r="U78" s="134">
        <f t="shared" si="23"/>
        <v>81.08</v>
      </c>
      <c r="V78" s="134">
        <f>IF(O79=1,S77*D$5*20/36000+S78*D$5*10/36000,IF(O79=0,IF(O78=0,0,IF(D$10&gt;20,S77*D$5*20/36000+S78*D$5*(R$58-20)/36000,S78*D$5*R$58/36000))))</f>
        <v>6.4189333333333352</v>
      </c>
      <c r="W78" s="134">
        <f>IF(O79=1,S77*D5*20/36000+S78*D5*10/36000,IF(O79=0,IF(O78=0,0,IF(D10&gt;20,S77*D$5*20/36000+S78*D$5*(R$58-20)/36000,S78*D$5*R$58/36000))))</f>
        <v>6.4189333333333352</v>
      </c>
      <c r="X78" s="134">
        <f t="shared" si="24"/>
        <v>7.5</v>
      </c>
      <c r="Y78" s="134">
        <f t="shared" si="25"/>
        <v>10</v>
      </c>
      <c r="Z78" s="134">
        <f t="shared" si="3"/>
        <v>2735.2800000000007</v>
      </c>
      <c r="AA78" s="134">
        <f>IF(O79=1,Z77*D$5*20/36000+Z78*D$5*10/36000,IF(O79=0,IF(O78=0,0,IF(D$10&gt;20,Z77*D$5*20/36000+Z78*D$5*(R$58-20)/36000,Z78*D$5*R$58/36000))))</f>
        <v>6.9852666666666678</v>
      </c>
      <c r="AB78" s="134">
        <f t="shared" si="4"/>
        <v>6.9852666666666678</v>
      </c>
      <c r="AC78" s="134">
        <f>IF(S79=0,S78*R58,(S77*20+S78*10))</f>
        <v>77027.200000000012</v>
      </c>
      <c r="AD78" s="134">
        <f t="shared" si="26"/>
        <v>83823.200000000012</v>
      </c>
      <c r="AE78" s="134">
        <f t="shared" si="5"/>
        <v>0</v>
      </c>
      <c r="AF78" s="134">
        <f t="shared" si="5"/>
        <v>0</v>
      </c>
      <c r="AG78" s="134">
        <f t="shared" si="27"/>
        <v>0</v>
      </c>
      <c r="AH78" s="134">
        <f t="shared" si="6"/>
        <v>0</v>
      </c>
      <c r="AI78" s="134">
        <f t="shared" si="28"/>
        <v>0</v>
      </c>
      <c r="AJ78" s="134">
        <f t="shared" si="7"/>
        <v>0</v>
      </c>
      <c r="AK78" s="134">
        <f t="shared" si="8"/>
        <v>2513.5200000000004</v>
      </c>
      <c r="AL78" s="134">
        <f>IF(O79=1,AK77*H$58*20/36000+AK78*H$58*10/36000,IF(O79=0,IF(O78=0,0,AK78*H$58*R$58/36000)))</f>
        <v>0</v>
      </c>
      <c r="AM78" s="134">
        <f>IF(O79=1,AK77*H$58*20/36000+AK78*H$58*10/36000,IF(O79=0,IF(O78=0,0,AK78*H$58*R$58/36000)))</f>
        <v>0</v>
      </c>
      <c r="AN78" s="132">
        <f t="shared" si="29"/>
        <v>7</v>
      </c>
      <c r="AO78" s="132">
        <f t="shared" si="9"/>
        <v>7</v>
      </c>
      <c r="AP78" s="2">
        <f t="shared" si="30"/>
        <v>2019</v>
      </c>
      <c r="AQ78" s="2">
        <f t="shared" si="10"/>
        <v>2019</v>
      </c>
      <c r="AR78" s="2">
        <f t="shared" si="11"/>
        <v>0</v>
      </c>
      <c r="AS78" s="2">
        <f t="shared" si="12"/>
        <v>30</v>
      </c>
      <c r="AT78" s="2">
        <f t="shared" si="13"/>
        <v>20</v>
      </c>
      <c r="AU78" s="2">
        <f t="shared" si="31"/>
        <v>30</v>
      </c>
      <c r="AV78" s="2"/>
      <c r="AW78" s="2"/>
      <c r="AX78" s="2"/>
      <c r="AY78" s="2"/>
      <c r="AZ78" s="2"/>
      <c r="BA78" s="2">
        <f t="shared" si="14"/>
        <v>1</v>
      </c>
      <c r="BB78" s="2"/>
      <c r="BC78" s="2"/>
      <c r="BD78" s="2"/>
      <c r="BE78" s="2"/>
      <c r="BF78" s="2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</row>
    <row r="79" spans="1:143" s="24" customFormat="1" ht="15" customHeight="1">
      <c r="A79" s="4">
        <f t="shared" si="15"/>
        <v>8</v>
      </c>
      <c r="B79" s="268">
        <f t="shared" si="16"/>
        <v>43697</v>
      </c>
      <c r="C79" s="268"/>
      <c r="D79" s="269">
        <f>IF(O79=0,IF(O78=1,D72+D73+D74+D75+D76+D77+D78," "),IF(O79=0," ",IF(O80=1,D72,IF(O80=0,ROUNDUP((D4-D72*(N60-1)),2)," "))))</f>
        <v>81.08</v>
      </c>
      <c r="E79" s="269"/>
      <c r="F79" s="269"/>
      <c r="G79" s="87">
        <f>IF(O79=0,IF(O78=1,G72+G73+G74+G75+G76+G77+G78," "),IF(N41=1,Q79,IF(N41=2,R79," ")))</f>
        <v>6.2162333333333342</v>
      </c>
      <c r="H79" s="87">
        <v>0</v>
      </c>
      <c r="I79" s="87">
        <f t="shared" si="17"/>
        <v>87.296233333333333</v>
      </c>
      <c r="J79" s="87">
        <f t="shared" si="18"/>
        <v>88.240000000000009</v>
      </c>
      <c r="K79" s="87">
        <f t="shared" si="0"/>
        <v>6.7646666666666686</v>
      </c>
      <c r="L79" s="87">
        <v>0</v>
      </c>
      <c r="M79" s="87">
        <f t="shared" si="19"/>
        <v>95.004666666666679</v>
      </c>
      <c r="N79" s="2">
        <f t="shared" si="20"/>
        <v>8</v>
      </c>
      <c r="O79" s="2">
        <f>IF(N41=1,IF(N60&gt;7,1,0),IF(N41=2,IF(N60&gt;7,1,0),0))</f>
        <v>1</v>
      </c>
      <c r="P79" s="2">
        <f t="shared" si="1"/>
        <v>20</v>
      </c>
      <c r="Q79" s="134">
        <f t="shared" si="2"/>
        <v>6.2162333333333342</v>
      </c>
      <c r="R79" s="134">
        <f t="shared" si="2"/>
        <v>6.2162333333333342</v>
      </c>
      <c r="S79" s="134">
        <f t="shared" si="21"/>
        <v>2432.4400000000005</v>
      </c>
      <c r="T79" s="134">
        <f t="shared" si="22"/>
        <v>81.08</v>
      </c>
      <c r="U79" s="134">
        <f t="shared" si="23"/>
        <v>81.08</v>
      </c>
      <c r="V79" s="134">
        <f>IF(O80=1,S78*D5*20/36000+S79*D5*10/36000,IF(O80=0,IF(O79=0,0,S79*D5*R58/36000+S78*D5*20/36000+S79*D5*10/36000)))</f>
        <v>6.2162333333333342</v>
      </c>
      <c r="W79" s="134">
        <f>IF(O80=1,S78*D5*20/36000+S79*D5*10/36000,IF(O80=0,IF(O79=0,0,S79*D5*R58/36000+S78*D5*20/36000+S79*D5*10/36000)))</f>
        <v>6.2162333333333342</v>
      </c>
      <c r="X79" s="134">
        <f t="shared" si="24"/>
        <v>7.5</v>
      </c>
      <c r="Y79" s="134">
        <f t="shared" si="25"/>
        <v>10</v>
      </c>
      <c r="Z79" s="134">
        <f t="shared" si="3"/>
        <v>2647.0400000000009</v>
      </c>
      <c r="AA79" s="134">
        <f>IF(O80=1,Z78*D$5*20/36000+Z79*D$5*10/36000,IF(O80=0,IF(O79=0,0,Z79*D$5*R$58/36000+Z78*D$5*20/36000+Z79*D$5*10/36000)))</f>
        <v>6.7646666666666686</v>
      </c>
      <c r="AB79" s="134">
        <f t="shared" si="4"/>
        <v>6.7646666666666686</v>
      </c>
      <c r="AC79" s="134">
        <f>IF(S80=0,S79*R58,(S78*20+S79*10))</f>
        <v>74594.800000000017</v>
      </c>
      <c r="AD79" s="134">
        <f>IF(Z80=0,Z79*R65,(Z78*20+Z79*10))</f>
        <v>81176.000000000029</v>
      </c>
      <c r="AE79" s="134">
        <f t="shared" si="5"/>
        <v>0</v>
      </c>
      <c r="AF79" s="134">
        <f t="shared" si="5"/>
        <v>0</v>
      </c>
      <c r="AG79" s="134">
        <f t="shared" si="27"/>
        <v>0</v>
      </c>
      <c r="AH79" s="134">
        <f t="shared" si="6"/>
        <v>0</v>
      </c>
      <c r="AI79" s="134">
        <f t="shared" si="28"/>
        <v>0</v>
      </c>
      <c r="AJ79" s="134">
        <f t="shared" si="7"/>
        <v>0</v>
      </c>
      <c r="AK79" s="134">
        <f t="shared" si="8"/>
        <v>2432.4400000000005</v>
      </c>
      <c r="AL79" s="134">
        <f>IF(O80=1,AK78*H58*20/36000+AK79*H58*10/36000,IF(O80=0,IF(O79=0,0,AK79*H58*R58/36000+AK78*H58*20/36000+AK79*H58*10/36000)))</f>
        <v>0</v>
      </c>
      <c r="AM79" s="134">
        <f>IF(O80=1,AK78*H58*20/36000+AK79*H58*10/36000,IF(O80=0,IF(O79=0,0,AK79*H58*R58/36000+AK78*H58*20/36000+AK79*H58*10/36000)))</f>
        <v>0</v>
      </c>
      <c r="AN79" s="132">
        <f t="shared" si="29"/>
        <v>8</v>
      </c>
      <c r="AO79" s="132">
        <f t="shared" si="9"/>
        <v>8</v>
      </c>
      <c r="AP79" s="2">
        <f t="shared" si="30"/>
        <v>2019</v>
      </c>
      <c r="AQ79" s="2">
        <f t="shared" si="10"/>
        <v>2019</v>
      </c>
      <c r="AR79" s="2">
        <f t="shared" si="11"/>
        <v>0</v>
      </c>
      <c r="AS79" s="2">
        <f t="shared" si="12"/>
        <v>30</v>
      </c>
      <c r="AT79" s="2">
        <f t="shared" si="13"/>
        <v>20</v>
      </c>
      <c r="AU79" s="2">
        <f t="shared" si="31"/>
        <v>30</v>
      </c>
      <c r="AV79" s="2"/>
      <c r="AW79" s="2"/>
      <c r="AX79" s="2"/>
      <c r="AY79" s="2"/>
      <c r="AZ79" s="2"/>
      <c r="BA79" s="2">
        <f t="shared" si="14"/>
        <v>1</v>
      </c>
      <c r="BB79" s="2"/>
      <c r="BC79" s="2"/>
      <c r="BD79" s="2"/>
      <c r="BE79" s="2"/>
      <c r="BF79" s="2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</row>
    <row r="80" spans="1:143" s="24" customFormat="1" ht="15" customHeight="1">
      <c r="A80" s="4">
        <f t="shared" si="15"/>
        <v>9</v>
      </c>
      <c r="B80" s="268">
        <f t="shared" si="16"/>
        <v>43728</v>
      </c>
      <c r="C80" s="268"/>
      <c r="D80" s="269">
        <f>IF(O80=0,IF(O79=1,D72+D73+D74+D75+D76+D77+D78+D79," "),IF(O80=0," ",IF(O81=1,D72,IF(O81=0,D4-D72*(N60-1)," "))))</f>
        <v>81.08</v>
      </c>
      <c r="E80" s="269"/>
      <c r="F80" s="269"/>
      <c r="G80" s="87">
        <f>IF(O80=0,IF(O79=1,G72+G73+G74+G75+G76+G77+G78+G79," "),IF(N41=1,Q80,IF(N41=2,R80," ")))</f>
        <v>6.013533333333335</v>
      </c>
      <c r="H80" s="87">
        <v>0</v>
      </c>
      <c r="I80" s="87">
        <f t="shared" si="17"/>
        <v>87.09353333333334</v>
      </c>
      <c r="J80" s="87">
        <f t="shared" si="18"/>
        <v>88.240000000000009</v>
      </c>
      <c r="K80" s="87">
        <f t="shared" si="0"/>
        <v>6.5440666666666694</v>
      </c>
      <c r="L80" s="87">
        <v>0</v>
      </c>
      <c r="M80" s="87">
        <f t="shared" si="19"/>
        <v>94.784066666666675</v>
      </c>
      <c r="N80" s="2">
        <f t="shared" si="20"/>
        <v>9</v>
      </c>
      <c r="O80" s="2">
        <f>IF(N41=1,IF(N60&gt;8,1,0),IF(N41=2,IF(N60&gt;8,1,0),0))</f>
        <v>1</v>
      </c>
      <c r="P80" s="2">
        <f t="shared" si="1"/>
        <v>20</v>
      </c>
      <c r="Q80" s="134">
        <f t="shared" si="2"/>
        <v>6.013533333333335</v>
      </c>
      <c r="R80" s="134">
        <f t="shared" si="2"/>
        <v>6.013533333333335</v>
      </c>
      <c r="S80" s="134">
        <f t="shared" si="21"/>
        <v>2351.3600000000006</v>
      </c>
      <c r="T80" s="134">
        <f t="shared" si="22"/>
        <v>81.08</v>
      </c>
      <c r="U80" s="134">
        <f t="shared" si="23"/>
        <v>81.08</v>
      </c>
      <c r="V80" s="134">
        <f>IF(O81=1,S79*D5*20/36000+S80*D5*10/36000,IF(O81=0,IF(O80=0,0,S80*D5*R58/36000+S79*D5*20/36000+S80*D5*10/36000)))</f>
        <v>6.013533333333335</v>
      </c>
      <c r="W80" s="134">
        <f>IF(O81=1,S79*D5*20/36000+S80*D5*10/36000,IF(O81=0,IF(O80=0,0,S80*D5*R58/36000+S79*D5*20/36000+S80*D5*10/36000)))</f>
        <v>6.013533333333335</v>
      </c>
      <c r="X80" s="134">
        <f t="shared" si="24"/>
        <v>7.5</v>
      </c>
      <c r="Y80" s="134">
        <f t="shared" si="25"/>
        <v>10</v>
      </c>
      <c r="Z80" s="134">
        <f t="shared" si="3"/>
        <v>2558.8000000000011</v>
      </c>
      <c r="AA80" s="134">
        <f>IF(O81=1,Z79*D$5*20/36000+Z80*D$5*10/36000,IF(O81=0,IF(O80=0,0,Z80*D$5*R$58/36000+Z79*D$5*20/36000+Z80*D$5*10/36000)))</f>
        <v>6.5440666666666694</v>
      </c>
      <c r="AB80" s="134">
        <f t="shared" si="4"/>
        <v>6.5440666666666694</v>
      </c>
      <c r="AC80" s="134">
        <f>IF(S81=0,S80*R58,(S79*20+S80*10))</f>
        <v>72162.400000000023</v>
      </c>
      <c r="AD80" s="134">
        <f>IF(Z81=0,Z80*R66,(Z79*20+Z80*10))</f>
        <v>78528.800000000032</v>
      </c>
      <c r="AE80" s="134">
        <f t="shared" si="5"/>
        <v>0</v>
      </c>
      <c r="AF80" s="134">
        <f t="shared" si="5"/>
        <v>0</v>
      </c>
      <c r="AG80" s="134">
        <f t="shared" si="27"/>
        <v>0</v>
      </c>
      <c r="AH80" s="134">
        <f t="shared" si="6"/>
        <v>0</v>
      </c>
      <c r="AI80" s="134">
        <f t="shared" si="28"/>
        <v>0</v>
      </c>
      <c r="AJ80" s="134">
        <f t="shared" si="7"/>
        <v>0</v>
      </c>
      <c r="AK80" s="134">
        <f t="shared" si="8"/>
        <v>2351.3600000000006</v>
      </c>
      <c r="AL80" s="134">
        <f>IF(O81=1,AK79*H58*20/36000+AK80*H58*10/36000,IF(O81=0,IF(O80=0,0,AK80*H58*R58/36000+AK79*H58*20/36000+AK80*H58*10/36000)))</f>
        <v>0</v>
      </c>
      <c r="AM80" s="134">
        <f>IF(O81=1,AK79*H58*20/36000+AK80*H58*10/36000,IF(O81=0,IF(O80=0,0,AK80*H58*R58/36000+AK79*H58*20/36000+AK80*H58*10/36000)))</f>
        <v>0</v>
      </c>
      <c r="AN80" s="132">
        <f t="shared" si="29"/>
        <v>9</v>
      </c>
      <c r="AO80" s="132">
        <f t="shared" si="9"/>
        <v>9</v>
      </c>
      <c r="AP80" s="2">
        <f t="shared" si="30"/>
        <v>2019</v>
      </c>
      <c r="AQ80" s="2">
        <f t="shared" si="10"/>
        <v>2019</v>
      </c>
      <c r="AR80" s="2">
        <f t="shared" si="11"/>
        <v>0</v>
      </c>
      <c r="AS80" s="2">
        <f t="shared" si="12"/>
        <v>30</v>
      </c>
      <c r="AT80" s="2">
        <f t="shared" si="13"/>
        <v>20</v>
      </c>
      <c r="AU80" s="2">
        <f t="shared" si="31"/>
        <v>30</v>
      </c>
      <c r="AV80" s="2"/>
      <c r="AW80" s="2"/>
      <c r="AX80" s="2"/>
      <c r="AY80" s="2"/>
      <c r="AZ80" s="2"/>
      <c r="BA80" s="2">
        <f t="shared" si="14"/>
        <v>1</v>
      </c>
      <c r="BB80" s="2"/>
      <c r="BC80" s="2"/>
      <c r="BD80" s="2"/>
      <c r="BE80" s="2"/>
      <c r="BF80" s="2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</row>
    <row r="81" spans="1:143" s="24" customFormat="1" ht="15" customHeight="1">
      <c r="A81" s="4">
        <f t="shared" si="15"/>
        <v>10</v>
      </c>
      <c r="B81" s="268">
        <f t="shared" si="16"/>
        <v>43758</v>
      </c>
      <c r="C81" s="268"/>
      <c r="D81" s="269">
        <f>IF(O81=0,IF(O80=1,D72+D73+D74+D75+D76+D77+D78+D79+D80," "),IF(O81=0," ",IF(O82=1,D72,IF(O82=0,D4-D72*(N60-1)," "))))</f>
        <v>81.08</v>
      </c>
      <c r="E81" s="269"/>
      <c r="F81" s="269"/>
      <c r="G81" s="87">
        <f>IF(O81=0,IF(O80=1,G72+G73+G74+G75+G76+G77+G78+G79+G80," "),IF(N41=1,Q81,IF(N41=2,R81," ")))</f>
        <v>5.8108333333333348</v>
      </c>
      <c r="H81" s="87">
        <v>0</v>
      </c>
      <c r="I81" s="87">
        <f t="shared" si="17"/>
        <v>86.890833333333333</v>
      </c>
      <c r="J81" s="87">
        <f t="shared" si="18"/>
        <v>88.240000000000009</v>
      </c>
      <c r="K81" s="87">
        <f t="shared" si="0"/>
        <v>6.3234666666666701</v>
      </c>
      <c r="L81" s="87">
        <v>0</v>
      </c>
      <c r="M81" s="87">
        <f t="shared" si="19"/>
        <v>94.563466666666685</v>
      </c>
      <c r="N81" s="2">
        <f t="shared" si="20"/>
        <v>10</v>
      </c>
      <c r="O81" s="2">
        <f>IF(N41=1,IF(N60&gt;9,1,0),IF(N41=2,IF(N60&gt;9,1,0),0))</f>
        <v>1</v>
      </c>
      <c r="P81" s="2">
        <f t="shared" si="1"/>
        <v>20</v>
      </c>
      <c r="Q81" s="134">
        <f t="shared" si="2"/>
        <v>5.8108333333333348</v>
      </c>
      <c r="R81" s="134">
        <f t="shared" si="2"/>
        <v>5.8108333333333348</v>
      </c>
      <c r="S81" s="134">
        <f t="shared" si="21"/>
        <v>2270.2800000000007</v>
      </c>
      <c r="T81" s="134">
        <f t="shared" si="22"/>
        <v>81.08</v>
      </c>
      <c r="U81" s="134">
        <f t="shared" si="23"/>
        <v>81.08</v>
      </c>
      <c r="V81" s="134">
        <f>IF(O82=1,S80*D5*20/36000+S81*D5*10/36000,IF(O82=0,IF(O81=0,0,S81*D5*R58/36000+29*D5*20/36000+S81*D5*10/36000)))</f>
        <v>5.8108333333333348</v>
      </c>
      <c r="W81" s="134">
        <f>IF(O82=1,S80*D5*20/36000+S81*D5*10/36000,IF(O82=0,IF(O81=0,0,S81*D5*R58/36000+29*D5*20/36000+S81*D5*10/36000)))</f>
        <v>5.8108333333333348</v>
      </c>
      <c r="X81" s="134">
        <f t="shared" si="24"/>
        <v>7.5</v>
      </c>
      <c r="Y81" s="134">
        <f t="shared" si="25"/>
        <v>10</v>
      </c>
      <c r="Z81" s="134">
        <f t="shared" si="3"/>
        <v>2470.5600000000013</v>
      </c>
      <c r="AA81" s="134">
        <f>IF(O82=1,Z80*D$5*20/36000+Z81*D$5*10/36000,IF(O82=0,IF(O81=0,0,Z81*D$5*R$58/36000+Z80*D$5*20/36000+Z81*D$5*10/36000)))</f>
        <v>6.3234666666666701</v>
      </c>
      <c r="AB81" s="134">
        <f t="shared" si="4"/>
        <v>6.3234666666666701</v>
      </c>
      <c r="AC81" s="134">
        <f>IF(S82=0,S81*R58,(S80*20+S81*10))</f>
        <v>69730.000000000015</v>
      </c>
      <c r="AD81" s="134">
        <f>IF(Z82=0,Z81*R67,(Z80*20+Z81*10))</f>
        <v>75881.600000000035</v>
      </c>
      <c r="AE81" s="134">
        <f t="shared" si="5"/>
        <v>0</v>
      </c>
      <c r="AF81" s="134">
        <f t="shared" si="5"/>
        <v>0</v>
      </c>
      <c r="AG81" s="134">
        <f t="shared" si="27"/>
        <v>0</v>
      </c>
      <c r="AH81" s="134">
        <f t="shared" si="6"/>
        <v>0</v>
      </c>
      <c r="AI81" s="134">
        <f t="shared" si="28"/>
        <v>0</v>
      </c>
      <c r="AJ81" s="134">
        <f t="shared" si="7"/>
        <v>0</v>
      </c>
      <c r="AK81" s="134">
        <f t="shared" si="8"/>
        <v>2270.2800000000007</v>
      </c>
      <c r="AL81" s="134">
        <f>IF(O82=1,AK80*H58*20/36000+AK81*H58*10/36000,IF(O82=0,IF(O81=0,0,AK81*H58*R58/36000+29*H58*20/36000+AK81*H58*10/36000)))</f>
        <v>0</v>
      </c>
      <c r="AM81" s="134">
        <f>IF(O82=1,AK80*H58*20/36000+AK81*H58*10/36000,IF(O82=0,IF(O81=0,0,AK81*H58*R58/36000+29*H58*20/36000+AK81*H58*10/36000)))</f>
        <v>0</v>
      </c>
      <c r="AN81" s="132">
        <f t="shared" si="29"/>
        <v>10</v>
      </c>
      <c r="AO81" s="132">
        <f t="shared" si="9"/>
        <v>10</v>
      </c>
      <c r="AP81" s="2">
        <f t="shared" si="30"/>
        <v>2019</v>
      </c>
      <c r="AQ81" s="2">
        <f t="shared" si="10"/>
        <v>2019</v>
      </c>
      <c r="AR81" s="2">
        <f t="shared" si="11"/>
        <v>0</v>
      </c>
      <c r="AS81" s="2">
        <f t="shared" si="12"/>
        <v>30</v>
      </c>
      <c r="AT81" s="2">
        <f t="shared" si="13"/>
        <v>20</v>
      </c>
      <c r="AU81" s="2">
        <f t="shared" si="31"/>
        <v>30</v>
      </c>
      <c r="AV81" s="2"/>
      <c r="AW81" s="2"/>
      <c r="AX81" s="2"/>
      <c r="AY81" s="2"/>
      <c r="AZ81" s="2"/>
      <c r="BA81" s="2">
        <f t="shared" si="14"/>
        <v>1</v>
      </c>
      <c r="BB81" s="2"/>
      <c r="BC81" s="2"/>
      <c r="BD81" s="2"/>
      <c r="BE81" s="2"/>
      <c r="BF81" s="2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</row>
    <row r="82" spans="1:143" s="24" customFormat="1" ht="15" customHeight="1">
      <c r="A82" s="4">
        <f t="shared" si="15"/>
        <v>11</v>
      </c>
      <c r="B82" s="268">
        <f t="shared" si="16"/>
        <v>43789</v>
      </c>
      <c r="C82" s="268"/>
      <c r="D82" s="269">
        <f>IF(O82=0,IF(O81=1,D72+D73+D74+D75+D76+D77+D78+D79+D80+D81," "),IF(O82=0," ",IF(O83=1,D72,IF(O83=0,D4-D72*(N60-1)," "))))</f>
        <v>81.08</v>
      </c>
      <c r="E82" s="269"/>
      <c r="F82" s="269"/>
      <c r="G82" s="87">
        <f>IF(O82=0,IF(O81=1,G72+G73+G74+G75+G76+G77+G78+G79+G80+G81," "),IF(N41=1,Q82,IF(N41=2,R82," ")))</f>
        <v>5.6081333333333356</v>
      </c>
      <c r="H82" s="87">
        <v>0</v>
      </c>
      <c r="I82" s="87">
        <f t="shared" si="17"/>
        <v>86.68813333333334</v>
      </c>
      <c r="J82" s="87">
        <f t="shared" si="18"/>
        <v>88.240000000000009</v>
      </c>
      <c r="K82" s="87">
        <f t="shared" si="0"/>
        <v>6.10286666666667</v>
      </c>
      <c r="L82" s="87">
        <v>0</v>
      </c>
      <c r="M82" s="87">
        <f t="shared" si="19"/>
        <v>94.34286666666668</v>
      </c>
      <c r="N82" s="2">
        <f t="shared" si="20"/>
        <v>11</v>
      </c>
      <c r="O82" s="2">
        <f>IF(N41=1,IF(N60&gt;10,1,0),IF(N41=2,IF(N60&gt;10,1,0),0))</f>
        <v>1</v>
      </c>
      <c r="P82" s="2">
        <f t="shared" si="1"/>
        <v>20</v>
      </c>
      <c r="Q82" s="134">
        <f t="shared" si="2"/>
        <v>5.6081333333333356</v>
      </c>
      <c r="R82" s="134">
        <f t="shared" si="2"/>
        <v>5.6081333333333356</v>
      </c>
      <c r="S82" s="134">
        <f t="shared" si="21"/>
        <v>2189.2000000000007</v>
      </c>
      <c r="T82" s="134">
        <f t="shared" si="22"/>
        <v>81.08</v>
      </c>
      <c r="U82" s="134">
        <f t="shared" si="23"/>
        <v>81.08</v>
      </c>
      <c r="V82" s="134">
        <f>IF(O83=1,S81*D5*20/36000+S82*D5*10/36000,IF(O83=0,IF(O82=0,0,S82*D5*R58/36000+S81*D5*20/36000+S82*D5*10/36000)))</f>
        <v>5.6081333333333356</v>
      </c>
      <c r="W82" s="134">
        <f>IF(O83=1,S81*D5*20/36000+S82*D5*10/36000,IF(O83=0,IF(O82=0,0,S82*D5*R58/36000+S81*D5*20/36000+S82*D5*10/36000)))</f>
        <v>5.6081333333333356</v>
      </c>
      <c r="X82" s="134">
        <f t="shared" si="24"/>
        <v>7.5</v>
      </c>
      <c r="Y82" s="134">
        <f t="shared" si="25"/>
        <v>10</v>
      </c>
      <c r="Z82" s="134">
        <f t="shared" si="3"/>
        <v>2382.3200000000015</v>
      </c>
      <c r="AA82" s="134">
        <f>IF(O83=1,Z81*D$5*20/36000+Z82*D$5*10/36000,IF(O83=0,IF(O82=0,0,Z82*D$5*R$58/36000+Z81*D$5*20/36000+Z82*D$5*10/36000)))</f>
        <v>6.10286666666667</v>
      </c>
      <c r="AB82" s="134">
        <f t="shared" si="4"/>
        <v>6.10286666666667</v>
      </c>
      <c r="AC82" s="134">
        <f>IF(S83=0,S82*R58,(S81*20+S82*10))</f>
        <v>67297.60000000002</v>
      </c>
      <c r="AD82" s="134"/>
      <c r="AE82" s="134">
        <f t="shared" si="5"/>
        <v>0</v>
      </c>
      <c r="AF82" s="134">
        <f t="shared" si="5"/>
        <v>0</v>
      </c>
      <c r="AG82" s="134">
        <f t="shared" si="27"/>
        <v>0</v>
      </c>
      <c r="AH82" s="134">
        <f t="shared" si="6"/>
        <v>0</v>
      </c>
      <c r="AI82" s="134">
        <f t="shared" si="28"/>
        <v>0</v>
      </c>
      <c r="AJ82" s="134">
        <f t="shared" si="7"/>
        <v>0</v>
      </c>
      <c r="AK82" s="134">
        <f t="shared" si="8"/>
        <v>2189.2000000000007</v>
      </c>
      <c r="AL82" s="134">
        <f>IF(O83=1,AK81*H58*20/36000+AK82*H58*10/36000,IF(O83=0,IF(O82=0,0,AK82*H58*R58/36000+AK81*H58*20/36000+AK82*H58*10/36000)))</f>
        <v>0</v>
      </c>
      <c r="AM82" s="134">
        <f>IF(O83=1,AK81*H58*20/36000+AK82*H58*10/36000,IF(O83=0,IF(O82=0,0,AK82*H58*R58/36000+AK81*H58*20/36000+AK82*H58*10/36000)))</f>
        <v>0</v>
      </c>
      <c r="AN82" s="132">
        <f t="shared" si="29"/>
        <v>11</v>
      </c>
      <c r="AO82" s="132">
        <f t="shared" si="9"/>
        <v>11</v>
      </c>
      <c r="AP82" s="2">
        <f t="shared" si="30"/>
        <v>2019</v>
      </c>
      <c r="AQ82" s="2">
        <f t="shared" si="10"/>
        <v>2019</v>
      </c>
      <c r="AR82" s="2">
        <f t="shared" si="11"/>
        <v>0</v>
      </c>
      <c r="AS82" s="2">
        <f t="shared" si="12"/>
        <v>30</v>
      </c>
      <c r="AT82" s="2">
        <f t="shared" si="13"/>
        <v>20</v>
      </c>
      <c r="AU82" s="2">
        <f t="shared" si="31"/>
        <v>30</v>
      </c>
      <c r="AV82" s="2"/>
      <c r="AW82" s="2"/>
      <c r="AX82" s="2"/>
      <c r="AY82" s="2"/>
      <c r="AZ82" s="2"/>
      <c r="BA82" s="2">
        <f t="shared" si="14"/>
        <v>1</v>
      </c>
      <c r="BB82" s="2"/>
      <c r="BC82" s="2"/>
      <c r="BD82" s="2"/>
      <c r="BE82" s="2"/>
      <c r="BF82" s="2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</row>
    <row r="83" spans="1:143" s="24" customFormat="1" ht="15" customHeight="1">
      <c r="A83" s="4">
        <f t="shared" si="15"/>
        <v>12</v>
      </c>
      <c r="B83" s="268">
        <f t="shared" si="16"/>
        <v>43819</v>
      </c>
      <c r="C83" s="268"/>
      <c r="D83" s="269">
        <f>IF(O83=0,IF(O82=1,D72+D73+D74+D75+D76+D77+D78+D79+D80+D81+D82," "),IF(O83=0," ",IF(O84=1,D72,IF(O84=0,D4-D72*(N60-1)," "))))</f>
        <v>81.08</v>
      </c>
      <c r="E83" s="269"/>
      <c r="F83" s="269"/>
      <c r="G83" s="87">
        <f>IF(O83=0,IF(O82=1,G72+G73+G74+G75+G76+G77+G78+G79+G80+G81+G82," "),IF(N41=1,Q83,IF(N41=2,R83," ")))</f>
        <v>5.4054333333333355</v>
      </c>
      <c r="H83" s="87">
        <v>0</v>
      </c>
      <c r="I83" s="87">
        <f t="shared" si="17"/>
        <v>86.485433333333333</v>
      </c>
      <c r="J83" s="87">
        <f t="shared" si="18"/>
        <v>88.240000000000009</v>
      </c>
      <c r="K83" s="87">
        <f t="shared" si="0"/>
        <v>5.8822666666666708</v>
      </c>
      <c r="L83" s="87">
        <v>0</v>
      </c>
      <c r="M83" s="87">
        <f t="shared" si="19"/>
        <v>94.122266666666675</v>
      </c>
      <c r="N83" s="2">
        <f t="shared" si="20"/>
        <v>12</v>
      </c>
      <c r="O83" s="2">
        <f>IF(N41=1,IF(N60&gt;11,1,0),IF(N41=2,IF(N60&gt;11,1,0),0))</f>
        <v>1</v>
      </c>
      <c r="P83" s="2">
        <f t="shared" si="1"/>
        <v>20</v>
      </c>
      <c r="Q83" s="134">
        <f t="shared" si="2"/>
        <v>5.4054333333333355</v>
      </c>
      <c r="R83" s="134">
        <f t="shared" si="2"/>
        <v>5.4054333333333355</v>
      </c>
      <c r="S83" s="134">
        <f t="shared" si="21"/>
        <v>2108.1200000000008</v>
      </c>
      <c r="T83" s="134">
        <f t="shared" si="22"/>
        <v>81.08</v>
      </c>
      <c r="U83" s="134">
        <f t="shared" si="23"/>
        <v>81.08</v>
      </c>
      <c r="V83" s="134">
        <f>IF(O84=1,S82*D5*20/36000+S83*D5*10/36000,IF(O84=0,IF(O83=0,0,S83*D5*R58/36000+S82*D5*20/36000+S83*D5*10/36000)))</f>
        <v>5.4054333333333355</v>
      </c>
      <c r="W83" s="134">
        <f>IF(O84=1,S82*D5*20/36000+S83*D5*10/36000,IF(O84=0,IF(O83=0,0,S83*D5*R58/36000+S82*D5*20/36000+S83*D5*10/36000)))</f>
        <v>5.4054333333333355</v>
      </c>
      <c r="X83" s="134">
        <f t="shared" si="24"/>
        <v>7.5</v>
      </c>
      <c r="Y83" s="134">
        <f t="shared" si="25"/>
        <v>10</v>
      </c>
      <c r="Z83" s="134">
        <f t="shared" si="3"/>
        <v>2294.0800000000017</v>
      </c>
      <c r="AA83" s="134">
        <f>IF(O84=1,Z82*D$5*20/36000+Z83*D$5*10/36000,IF(O84=0,IF(O83=0,0,Z83*D$5*R$58/36000+Z82*D$5*20/36000+Z83*D$5*10/36000)))</f>
        <v>5.8822666666666708</v>
      </c>
      <c r="AB83" s="134">
        <f t="shared" si="4"/>
        <v>5.8822666666666708</v>
      </c>
      <c r="AC83" s="134">
        <f>IF(S84=0,S83*R58,(S82*20+S83*10))</f>
        <v>64865.200000000026</v>
      </c>
      <c r="AD83" s="134"/>
      <c r="AE83" s="134">
        <f t="shared" si="5"/>
        <v>0</v>
      </c>
      <c r="AF83" s="134">
        <f t="shared" si="5"/>
        <v>0</v>
      </c>
      <c r="AG83" s="134">
        <f t="shared" si="27"/>
        <v>0</v>
      </c>
      <c r="AH83" s="134">
        <f t="shared" si="6"/>
        <v>0</v>
      </c>
      <c r="AI83" s="134">
        <f t="shared" si="28"/>
        <v>0</v>
      </c>
      <c r="AJ83" s="134">
        <f t="shared" si="7"/>
        <v>0</v>
      </c>
      <c r="AK83" s="134">
        <f t="shared" si="8"/>
        <v>2108.1200000000008</v>
      </c>
      <c r="AL83" s="134">
        <f>IF(O84=1,AK82*H58*20/36000+AK83*H58*10/36000,IF(O84=0,IF(O83=0,0,AK83*H58*R58/36000+AK82*H58*20/36000+AK83*H58*10/36000)))</f>
        <v>0</v>
      </c>
      <c r="AM83" s="134">
        <f>IF(O84=1,AK82*H58*20/36000+AK83*H58*10/36000,IF(O84=0,IF(O83=0,0,AK83*H58*R58/36000+AK82*H58*20/36000+AK83*H58*10/36000)))</f>
        <v>0</v>
      </c>
      <c r="AN83" s="132">
        <f t="shared" si="29"/>
        <v>12</v>
      </c>
      <c r="AO83" s="132">
        <f t="shared" si="9"/>
        <v>12</v>
      </c>
      <c r="AP83" s="2">
        <f t="shared" si="30"/>
        <v>2019</v>
      </c>
      <c r="AQ83" s="2">
        <f t="shared" si="10"/>
        <v>2019</v>
      </c>
      <c r="AR83" s="2">
        <f t="shared" si="11"/>
        <v>0</v>
      </c>
      <c r="AS83" s="2">
        <f t="shared" si="12"/>
        <v>30</v>
      </c>
      <c r="AT83" s="2">
        <f t="shared" si="13"/>
        <v>20</v>
      </c>
      <c r="AU83" s="2">
        <f t="shared" si="31"/>
        <v>30</v>
      </c>
      <c r="AV83" s="2"/>
      <c r="AW83" s="2"/>
      <c r="AX83" s="2"/>
      <c r="AY83" s="2"/>
      <c r="AZ83" s="2"/>
      <c r="BA83" s="2">
        <f t="shared" si="14"/>
        <v>1</v>
      </c>
      <c r="BB83" s="2"/>
      <c r="BC83" s="2"/>
      <c r="BD83" s="2"/>
      <c r="BE83" s="2"/>
      <c r="BF83" s="2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</row>
    <row r="84" spans="1:143" s="24" customFormat="1" ht="15" customHeight="1">
      <c r="A84" s="19">
        <f t="shared" si="15"/>
        <v>13</v>
      </c>
      <c r="B84" s="268">
        <f t="shared" si="16"/>
        <v>43850</v>
      </c>
      <c r="C84" s="268"/>
      <c r="D84" s="269">
        <f>IF(O84=0,IF(O83=1,D72+D73+D74+D75+D76+D77+D78+D79+D80+D81+D82+D83," "),IF(O84=0," ",IF(O85=1,D72,IF(O85=0,D4-D72*(N60-1)," "))))</f>
        <v>81.08</v>
      </c>
      <c r="E84" s="269"/>
      <c r="F84" s="269"/>
      <c r="G84" s="87">
        <f>IF(O84=0,IF(O83=1,G72+G73+G74+G75+G76+G77+G78+G79+G80+G81+G82+G83," "),IF(N41=1,Q84,IF(N41=2,R84," ")))</f>
        <v>5.2027333333333354</v>
      </c>
      <c r="H84" s="87">
        <v>0</v>
      </c>
      <c r="I84" s="87">
        <f t="shared" si="17"/>
        <v>86.28273333333334</v>
      </c>
      <c r="J84" s="87">
        <f t="shared" si="18"/>
        <v>88.240000000000009</v>
      </c>
      <c r="K84" s="87">
        <f t="shared" si="0"/>
        <v>5.6616666666666715</v>
      </c>
      <c r="L84" s="87">
        <v>0</v>
      </c>
      <c r="M84" s="87">
        <f t="shared" si="19"/>
        <v>93.901666666666685</v>
      </c>
      <c r="N84" s="2">
        <f t="shared" si="20"/>
        <v>13</v>
      </c>
      <c r="O84" s="2">
        <f>IF(N41=1,IF(N60&gt;12,1,0),IF(N41=2,IF(N60&gt;12,1,0),0))</f>
        <v>1</v>
      </c>
      <c r="P84" s="2">
        <f t="shared" si="1"/>
        <v>20</v>
      </c>
      <c r="Q84" s="134">
        <f t="shared" si="2"/>
        <v>5.2027333333333354</v>
      </c>
      <c r="R84" s="134">
        <f t="shared" si="2"/>
        <v>5.2027333333333354</v>
      </c>
      <c r="S84" s="134">
        <f t="shared" si="21"/>
        <v>2027.0400000000009</v>
      </c>
      <c r="T84" s="134">
        <f t="shared" si="22"/>
        <v>81.08</v>
      </c>
      <c r="U84" s="134">
        <f t="shared" si="23"/>
        <v>81.08</v>
      </c>
      <c r="V84" s="134">
        <f>IF(O85=1,S83*D$5*20/36000+S84*D$5*10/36000,IF(O85=0,IF(O84=0,0,IF(D10&gt;20,S83*D$5*20/36000+S84*D$5*(R$58-20)/36000,S84*D$5*R$58/36000))))</f>
        <v>5.2027333333333354</v>
      </c>
      <c r="W84" s="134">
        <f>IF(O85=1,S83*D$5*20/36000+S84*D$5*10/36000,IF(O85=0,IF(O84=0,0,IF(D10&gt;20,S83*D$5*20/36000+S84*D$5*(R$58-20)/36000,S84*D$5*R$58/36000))))</f>
        <v>5.2027333333333354</v>
      </c>
      <c r="X84" s="134">
        <f t="shared" si="24"/>
        <v>7.5</v>
      </c>
      <c r="Y84" s="134">
        <f t="shared" si="25"/>
        <v>10</v>
      </c>
      <c r="Z84" s="134">
        <f t="shared" si="3"/>
        <v>2205.840000000002</v>
      </c>
      <c r="AA84" s="134">
        <f>IF(O85=1,Z83*D$5*20/36000+Z84*D$5*10/36000,IF(O85=0,IF(O84=0,0,IF(D$10&gt;20,Z83*D$5*20/36000+Z84*D$5*(R$58-20)/36000,Z84*D$5*R$58/36000))))</f>
        <v>5.6616666666666715</v>
      </c>
      <c r="AB84" s="134">
        <f t="shared" si="4"/>
        <v>5.6616666666666715</v>
      </c>
      <c r="AC84" s="134">
        <f>IF(S85=0,S84*R58,(S83*20+S84*10))</f>
        <v>62432.800000000025</v>
      </c>
      <c r="AD84" s="134"/>
      <c r="AE84" s="134">
        <f t="shared" si="5"/>
        <v>0</v>
      </c>
      <c r="AF84" s="134">
        <f t="shared" si="5"/>
        <v>0</v>
      </c>
      <c r="AG84" s="134">
        <f t="shared" si="27"/>
        <v>0</v>
      </c>
      <c r="AH84" s="134">
        <f t="shared" si="6"/>
        <v>0</v>
      </c>
      <c r="AI84" s="134">
        <f t="shared" si="28"/>
        <v>0</v>
      </c>
      <c r="AJ84" s="134">
        <f t="shared" si="7"/>
        <v>0</v>
      </c>
      <c r="AK84" s="134">
        <f t="shared" si="8"/>
        <v>2027.0400000000009</v>
      </c>
      <c r="AL84" s="134">
        <f>IF(O85=1,AK83*H58*20/36000+AK84*H58*10/36000,IF(O85=0,IF(O84=0,0,AK84*H58*R58/36000)))</f>
        <v>0</v>
      </c>
      <c r="AM84" s="134">
        <f>IF(O85=1,AK83*H58*20/36000+AK84*H58*10/36000,IF(O85=0,IF(O84=0,0,AK84*H58*R58/36000)))</f>
        <v>0</v>
      </c>
      <c r="AN84" s="132">
        <f t="shared" si="29"/>
        <v>13</v>
      </c>
      <c r="AO84" s="132">
        <f t="shared" si="9"/>
        <v>1</v>
      </c>
      <c r="AP84" s="2">
        <f t="shared" si="30"/>
        <v>2019</v>
      </c>
      <c r="AQ84" s="2">
        <f t="shared" si="10"/>
        <v>2020</v>
      </c>
      <c r="AR84" s="2">
        <f t="shared" si="11"/>
        <v>0</v>
      </c>
      <c r="AS84" s="2">
        <f t="shared" si="12"/>
        <v>30</v>
      </c>
      <c r="AT84" s="2">
        <f t="shared" si="13"/>
        <v>20</v>
      </c>
      <c r="AU84" s="2">
        <f t="shared" si="31"/>
        <v>30</v>
      </c>
      <c r="AV84" s="2"/>
      <c r="AW84" s="2"/>
      <c r="AX84" s="2"/>
      <c r="AY84" s="2"/>
      <c r="AZ84" s="2"/>
      <c r="BA84" s="2">
        <f t="shared" si="14"/>
        <v>1</v>
      </c>
      <c r="BB84" s="2"/>
      <c r="BC84" s="2"/>
      <c r="BD84" s="2"/>
      <c r="BE84" s="2"/>
      <c r="BF84" s="2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</row>
    <row r="85" spans="1:143" s="24" customFormat="1" ht="15" customHeight="1">
      <c r="A85" s="4">
        <f t="shared" si="15"/>
        <v>14</v>
      </c>
      <c r="B85" s="650">
        <f t="shared" si="16"/>
        <v>43881</v>
      </c>
      <c r="C85" s="650"/>
      <c r="D85" s="727">
        <f>IF(O85=0,IF(O84=1,D72+D73+D74+D75+D76+D77+D78+D79+D80+D81+D82+D83+D84," "),IF(O85=0," ",IF(O86=1,D72,IF(O86=0,D4-D72*(N60-1)," "))))</f>
        <v>81.08</v>
      </c>
      <c r="E85" s="727"/>
      <c r="F85" s="727"/>
      <c r="G85" s="254">
        <f>IF(O85=0,IF(O84=1,G72+G73+G74+G75+G76+G77+G78+G79+G80+G81+G82+G83+G84," "),IF(N41=1,Q85,IF(N41=2,R85," ")))</f>
        <v>5.0000333333333353</v>
      </c>
      <c r="H85" s="254">
        <v>0</v>
      </c>
      <c r="I85" s="254">
        <f t="shared" si="17"/>
        <v>86.080033333333333</v>
      </c>
      <c r="J85" s="87">
        <f t="shared" si="18"/>
        <v>88.240000000000009</v>
      </c>
      <c r="K85" s="87">
        <f t="shared" si="0"/>
        <v>5.4410666666666714</v>
      </c>
      <c r="L85" s="87">
        <v>0</v>
      </c>
      <c r="M85" s="87">
        <f t="shared" si="19"/>
        <v>93.68106666666668</v>
      </c>
      <c r="N85" s="2">
        <f t="shared" si="20"/>
        <v>14</v>
      </c>
      <c r="O85" s="2">
        <f>IF(N41=1,IF(N60&gt;13,1,0),IF(N41=2,IF(N60&gt;13,1,0),0))</f>
        <v>1</v>
      </c>
      <c r="P85" s="2">
        <f t="shared" si="1"/>
        <v>20</v>
      </c>
      <c r="Q85" s="134">
        <f t="shared" si="2"/>
        <v>5.0000333333333353</v>
      </c>
      <c r="R85" s="134">
        <f t="shared" si="2"/>
        <v>5.0000333333333353</v>
      </c>
      <c r="S85" s="134">
        <f t="shared" si="21"/>
        <v>1945.9600000000009</v>
      </c>
      <c r="T85" s="134">
        <f t="shared" si="22"/>
        <v>81.08</v>
      </c>
      <c r="U85" s="134">
        <f t="shared" si="23"/>
        <v>81.08</v>
      </c>
      <c r="V85" s="134">
        <f>IF(O86=1,S84*D5*20/36000+S85*D5*10/36000,IF(O86=0,IF(O85=0,0,S85*D5*R58/36000+S84*D5*20/36000+S85*D5*10/36000)))</f>
        <v>5.0000333333333353</v>
      </c>
      <c r="W85" s="134">
        <f>IF(O86=1,S84*D5*20/36000+S85*D5*10/36000,IF(O86=0,IF(O85=0,0,S85*D5*R58/36000+S84*D5*20/36000+S85*D5*10/36000)))</f>
        <v>5.0000333333333353</v>
      </c>
      <c r="X85" s="134">
        <f t="shared" si="24"/>
        <v>7.5</v>
      </c>
      <c r="Y85" s="134">
        <f t="shared" si="25"/>
        <v>10</v>
      </c>
      <c r="Z85" s="134">
        <f t="shared" si="3"/>
        <v>2117.6000000000022</v>
      </c>
      <c r="AA85" s="134">
        <f>IF(O86=1,Z84*D$5*20/36000+Z85*D$5*10/36000,IF(O86=0,IF(O85=0,0,Z85*D$5*R$58/36000+Z84*D$5*20/36000+Z85*D$5*10/36000)))</f>
        <v>5.4410666666666714</v>
      </c>
      <c r="AB85" s="134">
        <f t="shared" si="4"/>
        <v>5.4410666666666714</v>
      </c>
      <c r="AC85" s="134">
        <f>IF(S86=0,S85*R58,(S84*20+S85*10))</f>
        <v>60000.400000000023</v>
      </c>
      <c r="AD85" s="134"/>
      <c r="AE85" s="134">
        <f t="shared" si="5"/>
        <v>0</v>
      </c>
      <c r="AF85" s="134">
        <f t="shared" si="5"/>
        <v>0</v>
      </c>
      <c r="AG85" s="134">
        <f t="shared" si="27"/>
        <v>0</v>
      </c>
      <c r="AH85" s="134">
        <f t="shared" si="6"/>
        <v>0</v>
      </c>
      <c r="AI85" s="134">
        <f t="shared" si="28"/>
        <v>0</v>
      </c>
      <c r="AJ85" s="134">
        <f t="shared" si="7"/>
        <v>0</v>
      </c>
      <c r="AK85" s="134">
        <f t="shared" si="8"/>
        <v>1945.9600000000009</v>
      </c>
      <c r="AL85" s="134">
        <f>IF(O86=1,AK84*H58*20/36000+AK85*H58*10/36000,IF(O86=0,IF(O85=0,0,AK85*H58*R58/36000+AK84*H58*20/36000+AK85*H58*10/36000)))</f>
        <v>0</v>
      </c>
      <c r="AM85" s="134">
        <f>IF(O86=1,AK84*H58*20/36000+AK85*H58*10/36000,IF(O86=0,IF(O85=0,0,AK85*H58*R58/36000+AK84*H58*20/36000+AK85*H58*10/36000)))</f>
        <v>0</v>
      </c>
      <c r="AN85" s="132">
        <f t="shared" si="29"/>
        <v>2</v>
      </c>
      <c r="AO85" s="132">
        <f t="shared" si="9"/>
        <v>2</v>
      </c>
      <c r="AP85" s="2">
        <f t="shared" si="30"/>
        <v>2020</v>
      </c>
      <c r="AQ85" s="2">
        <f t="shared" si="10"/>
        <v>2020</v>
      </c>
      <c r="AR85" s="2">
        <f t="shared" si="11"/>
        <v>1</v>
      </c>
      <c r="AS85" s="2">
        <f t="shared" si="12"/>
        <v>29</v>
      </c>
      <c r="AT85" s="2">
        <f t="shared" si="13"/>
        <v>20</v>
      </c>
      <c r="AU85" s="2">
        <f t="shared" si="31"/>
        <v>30</v>
      </c>
      <c r="AV85" s="2"/>
      <c r="AW85" s="2"/>
      <c r="AX85" s="2"/>
      <c r="AY85" s="2"/>
      <c r="AZ85" s="2"/>
      <c r="BA85" s="2">
        <f t="shared" si="14"/>
        <v>1</v>
      </c>
      <c r="BB85" s="2"/>
      <c r="BC85" s="2"/>
      <c r="BD85" s="2"/>
      <c r="BE85" s="2"/>
      <c r="BF85" s="2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</row>
    <row r="86" spans="1:143" s="24" customFormat="1" ht="15" customHeight="1">
      <c r="A86" s="4">
        <f t="shared" si="15"/>
        <v>15</v>
      </c>
      <c r="B86" s="268">
        <f t="shared" si="16"/>
        <v>43910</v>
      </c>
      <c r="C86" s="268"/>
      <c r="D86" s="269">
        <f>IF(O86=0,IF(O85=1,D72+D73+D74+D75+D76+D77+D78+D79+D80+D81+D82+D83+D84+D85," "),IF(O86=0," ",IF(O87=1,D72,IF(O87=0,D4-D72*(N60-1)," "))))</f>
        <v>81.08</v>
      </c>
      <c r="E86" s="269"/>
      <c r="F86" s="269"/>
      <c r="G86" s="87">
        <f>IF(O86=0,IF(O85=1,G72+G73+G74+G75+G76+G77+G78+G79+G80+G81+G82+G83+G84+G85," "),IF(N41=1,Q86,IF(N41=2,R86," ")))</f>
        <v>4.7973333333333361</v>
      </c>
      <c r="H86" s="87">
        <v>0</v>
      </c>
      <c r="I86" s="87">
        <f t="shared" si="17"/>
        <v>85.87733333333334</v>
      </c>
      <c r="J86" s="87">
        <f t="shared" si="18"/>
        <v>88.240000000000009</v>
      </c>
      <c r="K86" s="87">
        <f t="shared" si="0"/>
        <v>5.2204666666666721</v>
      </c>
      <c r="L86" s="87">
        <v>0</v>
      </c>
      <c r="M86" s="87">
        <f t="shared" si="19"/>
        <v>93.460466666666676</v>
      </c>
      <c r="N86" s="2">
        <f t="shared" si="20"/>
        <v>15</v>
      </c>
      <c r="O86" s="2">
        <f>IF(N41=1,IF(N60&gt;14,1,0),IF(N41=2,IF(N60&gt;14,1,0),0))</f>
        <v>1</v>
      </c>
      <c r="P86" s="2">
        <f t="shared" si="1"/>
        <v>20</v>
      </c>
      <c r="Q86" s="134">
        <f t="shared" si="2"/>
        <v>4.7973333333333361</v>
      </c>
      <c r="R86" s="134">
        <f t="shared" si="2"/>
        <v>4.7973333333333361</v>
      </c>
      <c r="S86" s="134">
        <f t="shared" si="21"/>
        <v>1864.880000000001</v>
      </c>
      <c r="T86" s="134">
        <f t="shared" si="22"/>
        <v>81.08</v>
      </c>
      <c r="U86" s="134">
        <f t="shared" si="23"/>
        <v>81.08</v>
      </c>
      <c r="V86" s="134">
        <f>IF(O87=1,S85*D5*20/36000+S86*D5*10/36000,IF(O87=0,IF(O86=0,0,S86*D5*R58/36000+S85*D5*20/36000+S86*D5*10/36000)))</f>
        <v>4.7973333333333361</v>
      </c>
      <c r="W86" s="134">
        <f>IF(O87=1,S85*D5*20/36000+S86*D5*10/36000,IF(O87=0,IF(O86=0,0,S86*D5*R58/36000+S85*D5*20/36000+S86*D5*10/36000)))</f>
        <v>4.7973333333333361</v>
      </c>
      <c r="X86" s="134">
        <f t="shared" si="24"/>
        <v>7.5</v>
      </c>
      <c r="Y86" s="134">
        <f t="shared" si="25"/>
        <v>10</v>
      </c>
      <c r="Z86" s="134">
        <f t="shared" si="3"/>
        <v>2029.3600000000022</v>
      </c>
      <c r="AA86" s="134">
        <f>IF(O87=1,Z85*D$5*20/36000+Z86*D$5*10/36000,IF(O87=0,IF(O86=0,0,Z86*D$5*R$58/36000+Z85*D$5*20/36000+Z86*D$5*10/36000)))</f>
        <v>5.2204666666666721</v>
      </c>
      <c r="AB86" s="134">
        <f t="shared" si="4"/>
        <v>5.2204666666666721</v>
      </c>
      <c r="AC86" s="134">
        <f>IF(S87=0,S86*R58,(S85*20+S86*10))</f>
        <v>57568.000000000029</v>
      </c>
      <c r="AD86" s="134"/>
      <c r="AE86" s="134">
        <f t="shared" si="5"/>
        <v>0</v>
      </c>
      <c r="AF86" s="134">
        <f t="shared" si="5"/>
        <v>0</v>
      </c>
      <c r="AG86" s="134">
        <f t="shared" si="27"/>
        <v>0</v>
      </c>
      <c r="AH86" s="134">
        <f t="shared" si="6"/>
        <v>0</v>
      </c>
      <c r="AI86" s="134">
        <f t="shared" si="28"/>
        <v>0</v>
      </c>
      <c r="AJ86" s="134">
        <f t="shared" si="7"/>
        <v>0</v>
      </c>
      <c r="AK86" s="134">
        <f t="shared" si="8"/>
        <v>1864.880000000001</v>
      </c>
      <c r="AL86" s="134">
        <f>IF(O87=1,AK85*H58*20/36000+AK86*H58*10/36000,IF(O87=0,IF(O86=0,0,AK86*H58*R58/36000+AK85*H58*20/36000+AK86*H58*10/36000)))</f>
        <v>0</v>
      </c>
      <c r="AM86" s="134">
        <f>IF(O87=1,AK85*H58*20/36000+AK86*H58*10/36000,IF(O87=0,IF(O86=0,0,AK86*H58*R58/36000+AK85*H58*20/36000+AK86*H58*10/36000)))</f>
        <v>0</v>
      </c>
      <c r="AN86" s="132">
        <f t="shared" si="29"/>
        <v>3</v>
      </c>
      <c r="AO86" s="132">
        <f t="shared" si="9"/>
        <v>3</v>
      </c>
      <c r="AP86" s="2">
        <f t="shared" si="30"/>
        <v>2020</v>
      </c>
      <c r="AQ86" s="2">
        <f t="shared" si="10"/>
        <v>2020</v>
      </c>
      <c r="AR86" s="2">
        <f t="shared" si="11"/>
        <v>1</v>
      </c>
      <c r="AS86" s="2">
        <f t="shared" si="12"/>
        <v>30</v>
      </c>
      <c r="AT86" s="2">
        <f t="shared" si="13"/>
        <v>20</v>
      </c>
      <c r="AU86" s="2">
        <f t="shared" si="31"/>
        <v>29</v>
      </c>
      <c r="AV86" s="2"/>
      <c r="AW86" s="2"/>
      <c r="AX86" s="2"/>
      <c r="AY86" s="2"/>
      <c r="AZ86" s="2"/>
      <c r="BA86" s="2">
        <f t="shared" si="14"/>
        <v>1</v>
      </c>
      <c r="BB86" s="2"/>
      <c r="BC86" s="2"/>
      <c r="BD86" s="2"/>
      <c r="BE86" s="2"/>
      <c r="BF86" s="2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</row>
    <row r="87" spans="1:143" s="24" customFormat="1" ht="15" customHeight="1">
      <c r="A87" s="4">
        <f t="shared" si="15"/>
        <v>16</v>
      </c>
      <c r="B87" s="268">
        <f t="shared" si="16"/>
        <v>43941</v>
      </c>
      <c r="C87" s="268"/>
      <c r="D87" s="269">
        <f>IF(O87=0,IF(O86=1,D72+D73+D74+D75+D76+D77+D78+D79+D80+D81+D82+D83+D84+D85+D86," "),IF(O87=0," ",IF(O88=1,D72,IF(O88=0,D4-D72*(N60-1)," "))))</f>
        <v>81.08</v>
      </c>
      <c r="E87" s="269"/>
      <c r="F87" s="269"/>
      <c r="G87" s="87">
        <f>IF(O87=0,IF(O86=1,G72+G73+G74+G75+G76+G77+G78+G79+G80+G81+G82+G83+G84+G85+G86," "),IF(N41=1,Q87,IF(N41=2,R87," ")))</f>
        <v>4.594633333333336</v>
      </c>
      <c r="H87" s="87">
        <v>0</v>
      </c>
      <c r="I87" s="87">
        <f t="shared" si="17"/>
        <v>85.674633333333333</v>
      </c>
      <c r="J87" s="87">
        <f t="shared" si="18"/>
        <v>88.240000000000009</v>
      </c>
      <c r="K87" s="87">
        <f t="shared" si="0"/>
        <v>4.9998666666666711</v>
      </c>
      <c r="L87" s="87">
        <v>0</v>
      </c>
      <c r="M87" s="87">
        <f t="shared" si="19"/>
        <v>93.239866666666686</v>
      </c>
      <c r="N87" s="2">
        <f t="shared" si="20"/>
        <v>16</v>
      </c>
      <c r="O87" s="2">
        <f>IF(N41=1,IF(N60&gt;15,1,0),IF(N41=2,IF(N60&gt;15,1,0),0))</f>
        <v>1</v>
      </c>
      <c r="P87" s="2">
        <f t="shared" si="1"/>
        <v>20</v>
      </c>
      <c r="Q87" s="134">
        <f t="shared" si="2"/>
        <v>4.594633333333336</v>
      </c>
      <c r="R87" s="134">
        <f t="shared" si="2"/>
        <v>4.594633333333336</v>
      </c>
      <c r="S87" s="134">
        <f t="shared" si="21"/>
        <v>1783.8000000000011</v>
      </c>
      <c r="T87" s="134">
        <f t="shared" si="22"/>
        <v>81.08</v>
      </c>
      <c r="U87" s="134">
        <f t="shared" si="23"/>
        <v>81.08</v>
      </c>
      <c r="V87" s="134">
        <f>IF(O88=1,S86*D5*20/36000+S87*D5*10/36000,IF(O88=0,IF(O87=0,0,S87*D5*R58/36000+S86*D5*20/36000+S87*D5*10/36000)))</f>
        <v>4.594633333333336</v>
      </c>
      <c r="W87" s="134">
        <f>IF(O88=1,S86*D5*20/36000+S87*D5*10/36000,IF(O88=0,IF(O87=0,0,S87*D5*R58/36000+S86*D5*20/36000+S87*D5*10/36000)))</f>
        <v>4.594633333333336</v>
      </c>
      <c r="X87" s="134">
        <f t="shared" si="24"/>
        <v>7.5</v>
      </c>
      <c r="Y87" s="134">
        <f t="shared" si="25"/>
        <v>10</v>
      </c>
      <c r="Z87" s="134">
        <f t="shared" si="3"/>
        <v>1941.1200000000022</v>
      </c>
      <c r="AA87" s="134">
        <f>IF(O88=1,Z86*D$5*20/36000+Z87*D$5*10/36000,IF(O88=0,IF(O87=0,0,Z87*D$5*R$58/36000+Z86*D$5*20/36000+Z87*D$5*10/36000)))</f>
        <v>4.9998666666666711</v>
      </c>
      <c r="AB87" s="134">
        <f t="shared" si="4"/>
        <v>4.9998666666666711</v>
      </c>
      <c r="AC87" s="134">
        <f>IF(S88=0,S87*R58,(S86*20+S87*10))</f>
        <v>55135.600000000035</v>
      </c>
      <c r="AD87" s="134"/>
      <c r="AE87" s="134">
        <f t="shared" si="5"/>
        <v>0</v>
      </c>
      <c r="AF87" s="134">
        <f t="shared" si="5"/>
        <v>0</v>
      </c>
      <c r="AG87" s="134">
        <f t="shared" si="27"/>
        <v>0</v>
      </c>
      <c r="AH87" s="134">
        <f t="shared" si="6"/>
        <v>0</v>
      </c>
      <c r="AI87" s="134">
        <f t="shared" si="28"/>
        <v>0</v>
      </c>
      <c r="AJ87" s="134">
        <f t="shared" si="7"/>
        <v>0</v>
      </c>
      <c r="AK87" s="134">
        <f t="shared" si="8"/>
        <v>1783.8000000000011</v>
      </c>
      <c r="AL87" s="134">
        <f>IF(O88=1,AK86*H58*20/36000+AK87*H58*10/36000,IF(O88=0,IF(O87=0,0,AK87*H58*R58/36000+AK86*H58*20/36000+AK87*H58*10/36000)))</f>
        <v>0</v>
      </c>
      <c r="AM87" s="134">
        <f>IF(O88=1,AK86*H58*20/36000+AK87*H58*10/36000,IF(O88=0,IF(O87=0,0,AK87*H58*R58/36000+AK86*H58*20/36000+AK87*H58*10/36000)))</f>
        <v>0</v>
      </c>
      <c r="AN87" s="132">
        <f t="shared" si="29"/>
        <v>4</v>
      </c>
      <c r="AO87" s="132">
        <f t="shared" si="9"/>
        <v>4</v>
      </c>
      <c r="AP87" s="2">
        <f t="shared" si="30"/>
        <v>2020</v>
      </c>
      <c r="AQ87" s="2">
        <f t="shared" si="10"/>
        <v>2020</v>
      </c>
      <c r="AR87" s="2">
        <f t="shared" si="11"/>
        <v>1</v>
      </c>
      <c r="AS87" s="2">
        <f t="shared" si="12"/>
        <v>30</v>
      </c>
      <c r="AT87" s="2">
        <f t="shared" si="13"/>
        <v>20</v>
      </c>
      <c r="AU87" s="2">
        <f t="shared" si="31"/>
        <v>30</v>
      </c>
      <c r="AV87" s="2"/>
      <c r="AW87" s="2"/>
      <c r="AX87" s="2"/>
      <c r="AY87" s="2"/>
      <c r="AZ87" s="2"/>
      <c r="BA87" s="2">
        <f t="shared" si="14"/>
        <v>1</v>
      </c>
      <c r="BB87" s="2"/>
      <c r="BC87" s="2"/>
      <c r="BD87" s="2"/>
      <c r="BE87" s="2"/>
      <c r="BF87" s="2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</row>
    <row r="88" spans="1:143" s="24" customFormat="1" ht="15" customHeight="1">
      <c r="A88" s="4">
        <f t="shared" si="15"/>
        <v>17</v>
      </c>
      <c r="B88" s="268">
        <f t="shared" si="16"/>
        <v>43971</v>
      </c>
      <c r="C88" s="268"/>
      <c r="D88" s="269">
        <f>IF(O88=0,IF(O87=1,D72+D73+D74+D75+D76+D77+D78+D79+D80+D81+D82+D83+D84+D85+D86+D87," "),IF(O88=0," ",IF(O89=1,D72,IF(O89=0,D4-D72*(N60-1)," "))))</f>
        <v>81.08</v>
      </c>
      <c r="E88" s="269"/>
      <c r="F88" s="269"/>
      <c r="G88" s="87">
        <f>IF(O88=0,IF(O87=1,G72+G73+G74+G75+G76+G77+G78+G79+G80+G81+G83+G82+G84+G85+G86+G87," "),IF(N41=1,Q88,IF(N41=2,R88," ")))</f>
        <v>4.3919333333333359</v>
      </c>
      <c r="H88" s="87">
        <v>0</v>
      </c>
      <c r="I88" s="87">
        <f t="shared" si="17"/>
        <v>85.47193333333334</v>
      </c>
      <c r="J88" s="87">
        <f t="shared" si="18"/>
        <v>88.240000000000009</v>
      </c>
      <c r="K88" s="87">
        <f t="shared" si="0"/>
        <v>4.7792666666666719</v>
      </c>
      <c r="L88" s="87">
        <v>0</v>
      </c>
      <c r="M88" s="87">
        <f t="shared" si="19"/>
        <v>93.019266666666681</v>
      </c>
      <c r="N88" s="2">
        <f t="shared" si="20"/>
        <v>17</v>
      </c>
      <c r="O88" s="2">
        <f>IF(N41=1,IF(N60&gt;16,1,0),IF(N41=2,IF(N60&gt;16,1,0),0))</f>
        <v>1</v>
      </c>
      <c r="P88" s="2">
        <f t="shared" si="1"/>
        <v>20</v>
      </c>
      <c r="Q88" s="134">
        <f t="shared" si="2"/>
        <v>4.3919333333333359</v>
      </c>
      <c r="R88" s="134">
        <f t="shared" si="2"/>
        <v>4.3919333333333359</v>
      </c>
      <c r="S88" s="134">
        <f t="shared" si="21"/>
        <v>1702.7200000000012</v>
      </c>
      <c r="T88" s="134">
        <f t="shared" si="22"/>
        <v>81.08</v>
      </c>
      <c r="U88" s="134">
        <f t="shared" si="23"/>
        <v>81.08</v>
      </c>
      <c r="V88" s="134">
        <f>IF(O89=1,S87*D5*20/36000+S88*D5*10/36000,IF(O89=0,IF(O88=0,0,S88*D5*R58/36000+S87*D5*20/36000+S88*D5*10/36000)))</f>
        <v>4.3919333333333359</v>
      </c>
      <c r="W88" s="134">
        <f>IF(O89=1,S87*D5*20/36000+S88*D5*10/36000,IF(O89=0,IF(O88=0,0,S88*D5*R58/36000+S87*D5*20/36000+S88*D5*10/36000)))</f>
        <v>4.3919333333333359</v>
      </c>
      <c r="X88" s="134">
        <f t="shared" si="24"/>
        <v>7.5</v>
      </c>
      <c r="Y88" s="134">
        <f t="shared" si="25"/>
        <v>10</v>
      </c>
      <c r="Z88" s="134">
        <f t="shared" si="3"/>
        <v>1852.8800000000022</v>
      </c>
      <c r="AA88" s="134">
        <f>IF(O89=1,Z87*D$5*20/36000+Z88*D$5*10/36000,IF(O89=0,IF(O88=0,0,Z88*D$5*R$58/36000+Z87*D$5*20/36000+Z88*D$5*10/36000)))</f>
        <v>4.7792666666666719</v>
      </c>
      <c r="AB88" s="134">
        <f t="shared" si="4"/>
        <v>4.7792666666666719</v>
      </c>
      <c r="AC88" s="134">
        <f>IF(S89=0,S88*R58,(S87*20+S88*10))</f>
        <v>52703.200000000033</v>
      </c>
      <c r="AD88" s="134"/>
      <c r="AE88" s="134">
        <f t="shared" si="5"/>
        <v>0</v>
      </c>
      <c r="AF88" s="134">
        <f t="shared" si="5"/>
        <v>0</v>
      </c>
      <c r="AG88" s="134">
        <f t="shared" si="27"/>
        <v>0</v>
      </c>
      <c r="AH88" s="134">
        <f t="shared" si="6"/>
        <v>0</v>
      </c>
      <c r="AI88" s="134">
        <f t="shared" si="28"/>
        <v>0</v>
      </c>
      <c r="AJ88" s="134">
        <f t="shared" si="7"/>
        <v>0</v>
      </c>
      <c r="AK88" s="134">
        <f t="shared" si="8"/>
        <v>1702.7200000000012</v>
      </c>
      <c r="AL88" s="134">
        <f>IF(O89=1,AK87*H58*20/36000+AK88*H58*10/36000,IF(O89=0,IF(O88=0,0,AK88*H58*R58/36000+AK87*H58*20/36000+AK88*H58*10/36000)))</f>
        <v>0</v>
      </c>
      <c r="AM88" s="134">
        <f>IF(O89=1,AK87*H58*20/36000+AK88*H58*10/36000,IF(O89=0,IF(O88=0,0,AK88*H58*R58/36000+AK87*H58*20/36000+AK88*H58*10/36000)))</f>
        <v>0</v>
      </c>
      <c r="AN88" s="132">
        <f t="shared" si="29"/>
        <v>5</v>
      </c>
      <c r="AO88" s="132">
        <f t="shared" si="9"/>
        <v>5</v>
      </c>
      <c r="AP88" s="2">
        <f t="shared" si="30"/>
        <v>2020</v>
      </c>
      <c r="AQ88" s="2">
        <f t="shared" si="10"/>
        <v>2020</v>
      </c>
      <c r="AR88" s="2">
        <f t="shared" si="11"/>
        <v>1</v>
      </c>
      <c r="AS88" s="2">
        <f t="shared" si="12"/>
        <v>30</v>
      </c>
      <c r="AT88" s="2">
        <f t="shared" si="13"/>
        <v>20</v>
      </c>
      <c r="AU88" s="2">
        <f t="shared" si="31"/>
        <v>30</v>
      </c>
      <c r="AV88" s="2"/>
      <c r="AW88" s="2"/>
      <c r="AX88" s="2"/>
      <c r="AY88" s="2"/>
      <c r="AZ88" s="2"/>
      <c r="BA88" s="2">
        <f t="shared" si="14"/>
        <v>1</v>
      </c>
      <c r="BB88" s="2"/>
      <c r="BC88" s="2"/>
      <c r="BD88" s="2"/>
      <c r="BE88" s="2"/>
      <c r="BF88" s="2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</row>
    <row r="89" spans="1:143" s="24" customFormat="1" ht="15" customHeight="1">
      <c r="A89" s="4">
        <f t="shared" si="15"/>
        <v>18</v>
      </c>
      <c r="B89" s="268">
        <f t="shared" si="16"/>
        <v>44002</v>
      </c>
      <c r="C89" s="268"/>
      <c r="D89" s="269">
        <f>IF(O89=0,IF(O88=1,D72+D73+D74+D75+D76+D77+D78+D79+D80+D81+D82+D83+D84+D85+D86+D87+D88," "),IF(O89=0," ",IF(O90=1,D72,IF(O90=0,D4-D72*(N60-1)," "))))</f>
        <v>81.08</v>
      </c>
      <c r="E89" s="269"/>
      <c r="F89" s="269"/>
      <c r="G89" s="87">
        <f>IF(O89=0,IF(O88=1,G72+G73+G74+G75+G76+G77+G78+G79+G80+G81+G82+G83+G84+G85+G86+G87+G88," "),IF(N41=1,Q89,IF(N41=2,R89," ")))</f>
        <v>4.1892333333333358</v>
      </c>
      <c r="H89" s="87">
        <v>0</v>
      </c>
      <c r="I89" s="87">
        <f t="shared" si="17"/>
        <v>85.269233333333332</v>
      </c>
      <c r="J89" s="87">
        <f t="shared" si="18"/>
        <v>88.240000000000009</v>
      </c>
      <c r="K89" s="87">
        <f t="shared" si="0"/>
        <v>4.5586666666666718</v>
      </c>
      <c r="L89" s="87">
        <v>0</v>
      </c>
      <c r="M89" s="87">
        <f t="shared" si="19"/>
        <v>92.798666666666676</v>
      </c>
      <c r="N89" s="2">
        <f t="shared" si="20"/>
        <v>18</v>
      </c>
      <c r="O89" s="2">
        <f>IF(N41=1,IF(N60&gt;17,1,0),IF(N41=2,IF(N60&gt;17,1,0),0))</f>
        <v>1</v>
      </c>
      <c r="P89" s="2">
        <f t="shared" si="1"/>
        <v>20</v>
      </c>
      <c r="Q89" s="134">
        <f t="shared" si="2"/>
        <v>4.1892333333333358</v>
      </c>
      <c r="R89" s="134">
        <f t="shared" si="2"/>
        <v>4.1892333333333358</v>
      </c>
      <c r="S89" s="134">
        <f t="shared" si="21"/>
        <v>1621.6400000000012</v>
      </c>
      <c r="T89" s="134">
        <f t="shared" si="22"/>
        <v>81.08</v>
      </c>
      <c r="U89" s="134">
        <f t="shared" si="23"/>
        <v>81.08</v>
      </c>
      <c r="V89" s="134">
        <f>IF(O90=1,S88*D5*20/36000+S89*D5*10/36000,IF(O90=0,IF(O89=0,0,S89*D5*R58/36000+S88*D5*20/36000+S89*D5*10/36000)))</f>
        <v>4.1892333333333358</v>
      </c>
      <c r="W89" s="134">
        <f>IF(O90=1,S88*D5*20/36000+S89*D5*10/36000,IF(O90=0,IF(O89=0,0,S89*D5*R58/36000+S88*D5*20/36000+S89*D5*10/36000)))</f>
        <v>4.1892333333333358</v>
      </c>
      <c r="X89" s="134">
        <f t="shared" si="24"/>
        <v>7.5</v>
      </c>
      <c r="Y89" s="134">
        <f t="shared" si="25"/>
        <v>10</v>
      </c>
      <c r="Z89" s="134">
        <f t="shared" si="3"/>
        <v>1764.6400000000021</v>
      </c>
      <c r="AA89" s="134">
        <f>IF(O90=1,Z88*D$5*20/36000+Z89*D$5*10/36000,IF(O90=0,IF(O89=0,0,Z89*D$5*R$58/36000+Z88*D$5*20/36000+Z89*D$5*10/36000)))</f>
        <v>4.5586666666666718</v>
      </c>
      <c r="AB89" s="134">
        <f t="shared" si="4"/>
        <v>4.5586666666666718</v>
      </c>
      <c r="AC89" s="134">
        <f>IF(S90=0,S89*R58,(S88*20+S89*10))</f>
        <v>50270.800000000032</v>
      </c>
      <c r="AD89" s="134"/>
      <c r="AE89" s="134">
        <f t="shared" si="5"/>
        <v>0</v>
      </c>
      <c r="AF89" s="134">
        <f t="shared" si="5"/>
        <v>0</v>
      </c>
      <c r="AG89" s="134">
        <f t="shared" si="27"/>
        <v>0</v>
      </c>
      <c r="AH89" s="134">
        <f t="shared" si="6"/>
        <v>0</v>
      </c>
      <c r="AI89" s="134">
        <f t="shared" si="28"/>
        <v>0</v>
      </c>
      <c r="AJ89" s="134">
        <f t="shared" si="7"/>
        <v>0</v>
      </c>
      <c r="AK89" s="134">
        <f t="shared" si="8"/>
        <v>1621.6400000000012</v>
      </c>
      <c r="AL89" s="134">
        <f>IF(O90=1,AK88*H58*20/36000+AK89*H58*10/36000,IF(O90=0,IF(O89=0,0,AK89*H58*R58/36000+AK88*H58*20/36000+AK89*H58*10/36000)))</f>
        <v>0</v>
      </c>
      <c r="AM89" s="134">
        <f>IF(O90=1,AK88*H58*20/36000+AK89*H58*10/36000,IF(O90=0,IF(O89=0,0,AK89*H58*R58/36000+AK88*H58*20/36000+AK89*H58*10/36000)))</f>
        <v>0</v>
      </c>
      <c r="AN89" s="132">
        <f t="shared" si="29"/>
        <v>6</v>
      </c>
      <c r="AO89" s="132">
        <f t="shared" si="9"/>
        <v>6</v>
      </c>
      <c r="AP89" s="2">
        <f t="shared" si="30"/>
        <v>2020</v>
      </c>
      <c r="AQ89" s="2">
        <f t="shared" si="10"/>
        <v>2020</v>
      </c>
      <c r="AR89" s="2">
        <f t="shared" si="11"/>
        <v>1</v>
      </c>
      <c r="AS89" s="2">
        <f t="shared" si="12"/>
        <v>30</v>
      </c>
      <c r="AT89" s="2">
        <f t="shared" si="13"/>
        <v>20</v>
      </c>
      <c r="AU89" s="2">
        <f t="shared" si="31"/>
        <v>30</v>
      </c>
      <c r="AV89" s="2"/>
      <c r="AW89" s="2"/>
      <c r="AX89" s="2"/>
      <c r="AY89" s="2"/>
      <c r="AZ89" s="2"/>
      <c r="BA89" s="2">
        <f t="shared" si="14"/>
        <v>1</v>
      </c>
      <c r="BB89" s="2"/>
      <c r="BC89" s="2"/>
      <c r="BD89" s="2"/>
      <c r="BE89" s="2"/>
      <c r="BF89" s="2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</row>
    <row r="90" spans="1:143" s="24" customFormat="1" ht="15" customHeight="1">
      <c r="A90" s="19">
        <f t="shared" si="15"/>
        <v>19</v>
      </c>
      <c r="B90" s="268">
        <f t="shared" si="16"/>
        <v>44032</v>
      </c>
      <c r="C90" s="268"/>
      <c r="D90" s="269">
        <f>IF(O90=0,IF(O89=1,D72+D73+D74+D75+D76+D77+D78+D79+D80+D81+D82+D83+D84+D85+D86+D87+D88+D89," "),IF(O90=0," ",IF(O91=1,D72,IF(O91=0,D4-D72*(N60-1)," "))))</f>
        <v>81.08</v>
      </c>
      <c r="E90" s="269"/>
      <c r="F90" s="269"/>
      <c r="G90" s="87">
        <f>IF(O90=0,IF(O89=1,G72+G73+G74+G75+G76+G77+G78+G79+G80+G81+G82+G83+G84+G85+G86+G87+G88+G89," "),IF(N41=1,Q90,IF(N41=2,R90," ")))</f>
        <v>3.9865333333333366</v>
      </c>
      <c r="H90" s="87">
        <v>0</v>
      </c>
      <c r="I90" s="87">
        <f t="shared" si="17"/>
        <v>85.066533333333339</v>
      </c>
      <c r="J90" s="87">
        <f t="shared" si="18"/>
        <v>88.240000000000009</v>
      </c>
      <c r="K90" s="87">
        <f t="shared" si="0"/>
        <v>4.3380666666666716</v>
      </c>
      <c r="L90" s="87">
        <v>0</v>
      </c>
      <c r="M90" s="87">
        <f t="shared" si="19"/>
        <v>92.578066666666686</v>
      </c>
      <c r="N90" s="2">
        <f t="shared" si="20"/>
        <v>19</v>
      </c>
      <c r="O90" s="2">
        <f>IF(N41=1,IF(N60&gt;18,1,0),IF(N41=2,IF(N60&gt;18,1,0),0))</f>
        <v>1</v>
      </c>
      <c r="P90" s="2">
        <f t="shared" si="1"/>
        <v>20</v>
      </c>
      <c r="Q90" s="134">
        <f t="shared" si="2"/>
        <v>3.9865333333333366</v>
      </c>
      <c r="R90" s="134">
        <f t="shared" si="2"/>
        <v>3.9865333333333366</v>
      </c>
      <c r="S90" s="134">
        <f t="shared" si="21"/>
        <v>1540.5600000000013</v>
      </c>
      <c r="T90" s="134">
        <f t="shared" si="22"/>
        <v>81.08</v>
      </c>
      <c r="U90" s="134">
        <f t="shared" si="23"/>
        <v>81.08</v>
      </c>
      <c r="V90" s="134">
        <f>IF(O91=1,S89*D$5*20/36000+S90*D$5*10/36000,IF(O91=0,IF(O90=0,0,IF(D10&gt;20,S89*D$5*20/36000+S90*D$5*(R$58-20)/36000,S90*D$5*R$58/36000))))</f>
        <v>3.9865333333333366</v>
      </c>
      <c r="W90" s="134">
        <f>IF(O91=1,S89*D$5*20/36000+S90*D$5*10/36000,IF(O91=0,IF(O90=0,0,IF(D10&gt;20,S89*D$5*20/36000+S90*D$5*(R$58-20)/36000,S90*D$5*R$58/36000))))</f>
        <v>3.9865333333333366</v>
      </c>
      <c r="X90" s="134">
        <f t="shared" si="24"/>
        <v>7.5</v>
      </c>
      <c r="Y90" s="134">
        <f t="shared" si="25"/>
        <v>10</v>
      </c>
      <c r="Z90" s="134">
        <f t="shared" si="3"/>
        <v>1676.4000000000021</v>
      </c>
      <c r="AA90" s="134">
        <f>IF(O91=1,Z89*D$5*20/36000+Z90*D$5*10/36000,IF(O91=0,IF(O90=0,0,IF(D$10&gt;20,Z89*D$5*20/36000+Z90*D$5*(R$58-20)/36000,Z90*D$5*R$58/36000))))</f>
        <v>4.3380666666666716</v>
      </c>
      <c r="AB90" s="134">
        <f t="shared" si="4"/>
        <v>4.3380666666666716</v>
      </c>
      <c r="AC90" s="134">
        <f>IF(S91=0,S90*R58,(S89*20+S90*10))</f>
        <v>47838.400000000038</v>
      </c>
      <c r="AD90" s="134"/>
      <c r="AE90" s="134">
        <f t="shared" si="5"/>
        <v>0</v>
      </c>
      <c r="AF90" s="134">
        <f t="shared" si="5"/>
        <v>0</v>
      </c>
      <c r="AG90" s="134">
        <f t="shared" si="27"/>
        <v>0</v>
      </c>
      <c r="AH90" s="134">
        <f t="shared" si="6"/>
        <v>0</v>
      </c>
      <c r="AI90" s="134">
        <f t="shared" si="28"/>
        <v>0</v>
      </c>
      <c r="AJ90" s="134">
        <f t="shared" si="7"/>
        <v>0</v>
      </c>
      <c r="AK90" s="134">
        <f t="shared" si="8"/>
        <v>1540.5600000000013</v>
      </c>
      <c r="AL90" s="134">
        <f>IF(O91=1,AK89*H$58*20/36000+AK90*H$58*10/36000,IF(O91=0,IF(O90=0,0,AK90*H$58*R$58/36000)))</f>
        <v>0</v>
      </c>
      <c r="AM90" s="134">
        <f>IF(O91=1,AK89*H$58*20/36000+AK90*H$58*10/36000,IF(O91=0,IF(O90=0,0,AK90*H$58*R$58/36000)))</f>
        <v>0</v>
      </c>
      <c r="AN90" s="132">
        <f t="shared" si="29"/>
        <v>7</v>
      </c>
      <c r="AO90" s="132">
        <f t="shared" si="9"/>
        <v>7</v>
      </c>
      <c r="AP90" s="2">
        <f t="shared" si="30"/>
        <v>2020</v>
      </c>
      <c r="AQ90" s="2">
        <f t="shared" si="10"/>
        <v>2020</v>
      </c>
      <c r="AR90" s="2">
        <f t="shared" si="11"/>
        <v>1</v>
      </c>
      <c r="AS90" s="2">
        <f t="shared" si="12"/>
        <v>30</v>
      </c>
      <c r="AT90" s="2">
        <f t="shared" si="13"/>
        <v>20</v>
      </c>
      <c r="AU90" s="2">
        <f t="shared" si="31"/>
        <v>30</v>
      </c>
      <c r="AV90" s="2"/>
      <c r="AW90" s="2"/>
      <c r="AX90" s="2"/>
      <c r="AY90" s="2"/>
      <c r="AZ90" s="2"/>
      <c r="BA90" s="2">
        <f t="shared" si="14"/>
        <v>1</v>
      </c>
      <c r="BB90" s="2"/>
      <c r="BC90" s="2"/>
      <c r="BD90" s="2"/>
      <c r="BE90" s="2"/>
      <c r="BF90" s="2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</row>
    <row r="91" spans="1:143" s="24" customFormat="1" ht="15" customHeight="1">
      <c r="A91" s="4">
        <f t="shared" si="15"/>
        <v>20</v>
      </c>
      <c r="B91" s="268">
        <f t="shared" si="16"/>
        <v>44063</v>
      </c>
      <c r="C91" s="268"/>
      <c r="D91" s="269">
        <f>IF(O91=0,IF(O90=1,D72+D73+D74+D75+D76+D77+D78+D79+D80+D81+D82+D83+D84+D85+D86+D87+D88+D89+D90," "),IF(O91=0," ",IF(O92=1,D72,IF(O92=0,D4-D72*(N60-1)," "))))</f>
        <v>81.08</v>
      </c>
      <c r="E91" s="269"/>
      <c r="F91" s="269"/>
      <c r="G91" s="87">
        <f>IF(O91=0,IF(O90=1,G72+G73+G74+G75+G76+G77+G78+G79+G80+G81+G82+G83+G84+G85+G86+G87+G88+G89+G90," "),IF(N41=1,Q91,IF(N41=2,R91," ")))</f>
        <v>3.7838333333333365</v>
      </c>
      <c r="H91" s="87">
        <v>0</v>
      </c>
      <c r="I91" s="87">
        <f t="shared" si="17"/>
        <v>84.863833333333332</v>
      </c>
      <c r="J91" s="87">
        <f t="shared" si="18"/>
        <v>88.240000000000009</v>
      </c>
      <c r="K91" s="87">
        <f t="shared" si="0"/>
        <v>4.1174666666666715</v>
      </c>
      <c r="L91" s="87">
        <v>0</v>
      </c>
      <c r="M91" s="87">
        <f t="shared" si="19"/>
        <v>92.357466666666681</v>
      </c>
      <c r="N91" s="2">
        <f t="shared" si="20"/>
        <v>20</v>
      </c>
      <c r="O91" s="2">
        <f>IF(N41=1,IF(N60&gt;19,1,0),IF(N41=2,IF(N60&gt;19,1,0),0))</f>
        <v>1</v>
      </c>
      <c r="P91" s="2">
        <f t="shared" si="1"/>
        <v>20</v>
      </c>
      <c r="Q91" s="134">
        <f t="shared" si="2"/>
        <v>3.7838333333333365</v>
      </c>
      <c r="R91" s="134">
        <f t="shared" si="2"/>
        <v>3.7838333333333365</v>
      </c>
      <c r="S91" s="134">
        <f t="shared" si="21"/>
        <v>1459.4800000000014</v>
      </c>
      <c r="T91" s="134">
        <f t="shared" si="22"/>
        <v>81.08</v>
      </c>
      <c r="U91" s="134">
        <f t="shared" si="23"/>
        <v>81.08</v>
      </c>
      <c r="V91" s="134">
        <f>IF(O92=1,S90*D5*20/36000+S91*D5*10/36000,IF(O92=0,IF(O91=0,0,S91*D5*R58/36000+S90*D5*20/36000+S91*D5*10/36000)))</f>
        <v>3.7838333333333365</v>
      </c>
      <c r="W91" s="134">
        <f>IF(O92=1,S90*D5*20/36000+S91*D5*10/36000,IF(O92=0,IF(O91=0,0,S91*D5*R58/36000+S90*D5*20/36000+S91*D5*10/36000)))</f>
        <v>3.7838333333333365</v>
      </c>
      <c r="X91" s="134">
        <f t="shared" si="24"/>
        <v>7.5</v>
      </c>
      <c r="Y91" s="134">
        <f t="shared" si="25"/>
        <v>10</v>
      </c>
      <c r="Z91" s="134">
        <f t="shared" si="3"/>
        <v>1588.1600000000021</v>
      </c>
      <c r="AA91" s="134">
        <f>IF(O92=1,Z90*D$5*20/36000+Z91*D$5*10/36000,IF(O92=0,IF(O91=0,0,Z91*D$5*R$58/36000+Z90*D$5*20/36000+Z91*D$5*10/36000)))</f>
        <v>4.1174666666666715</v>
      </c>
      <c r="AB91" s="134">
        <f t="shared" si="4"/>
        <v>4.1174666666666715</v>
      </c>
      <c r="AC91" s="134">
        <f>IF(S92=0,S91*R58,(S90*20+S91*10))</f>
        <v>45406.000000000044</v>
      </c>
      <c r="AD91" s="134"/>
      <c r="AE91" s="134">
        <f t="shared" si="5"/>
        <v>0</v>
      </c>
      <c r="AF91" s="134">
        <f t="shared" si="5"/>
        <v>0</v>
      </c>
      <c r="AG91" s="134">
        <f t="shared" si="27"/>
        <v>0</v>
      </c>
      <c r="AH91" s="134">
        <f t="shared" si="6"/>
        <v>0</v>
      </c>
      <c r="AI91" s="134">
        <f t="shared" si="28"/>
        <v>0</v>
      </c>
      <c r="AJ91" s="134">
        <f t="shared" si="7"/>
        <v>0</v>
      </c>
      <c r="AK91" s="134">
        <f t="shared" si="8"/>
        <v>1459.4800000000014</v>
      </c>
      <c r="AL91" s="134">
        <f>IF(O92=1,AK90*H58*20/36000+AK91*H58*10/36000,IF(O92=0,IF(O91=0,0,AK91*H58*R58/36000+AK90*H58*20/36000+AK91*H58*10/36000)))</f>
        <v>0</v>
      </c>
      <c r="AM91" s="134">
        <f>IF(O92=1,AK90*H58*20/36000+AK91*H58*10/36000,IF(O92=0,IF(O91=0,0,AK91*H58*R58/36000+AK90*H58*20/36000+AK91*H58*10/36000)))</f>
        <v>0</v>
      </c>
      <c r="AN91" s="132">
        <f t="shared" si="29"/>
        <v>8</v>
      </c>
      <c r="AO91" s="132">
        <f t="shared" si="9"/>
        <v>8</v>
      </c>
      <c r="AP91" s="2">
        <f t="shared" si="30"/>
        <v>2020</v>
      </c>
      <c r="AQ91" s="2">
        <f t="shared" si="10"/>
        <v>2020</v>
      </c>
      <c r="AR91" s="2">
        <f t="shared" si="11"/>
        <v>1</v>
      </c>
      <c r="AS91" s="2">
        <f t="shared" si="12"/>
        <v>30</v>
      </c>
      <c r="AT91" s="2">
        <f t="shared" si="13"/>
        <v>20</v>
      </c>
      <c r="AU91" s="2">
        <f t="shared" si="31"/>
        <v>30</v>
      </c>
      <c r="AV91" s="2"/>
      <c r="AW91" s="2"/>
      <c r="AX91" s="2"/>
      <c r="AY91" s="2"/>
      <c r="AZ91" s="2"/>
      <c r="BA91" s="2">
        <f t="shared" si="14"/>
        <v>1</v>
      </c>
      <c r="BB91" s="2"/>
      <c r="BC91" s="2"/>
      <c r="BD91" s="2"/>
      <c r="BE91" s="2"/>
      <c r="BF91" s="2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</row>
    <row r="92" spans="1:143" s="24" customFormat="1" ht="15" customHeight="1">
      <c r="A92" s="4">
        <f t="shared" si="15"/>
        <v>21</v>
      </c>
      <c r="B92" s="268">
        <f t="shared" si="16"/>
        <v>44094</v>
      </c>
      <c r="C92" s="268"/>
      <c r="D92" s="269">
        <f>IF(O92=0,IF(O91=1,D72+D73+D74+D75+D76+D77+D78+D79+D80+D81+D82+D83+D84+D85+D86+D87+D88+D89+D90+D91," "),IF(O92=0," ",IF(O93=1,D72,IF(O93=0,D4-D72*(N60-1)," "))))</f>
        <v>81.08</v>
      </c>
      <c r="E92" s="269"/>
      <c r="F92" s="269"/>
      <c r="G92" s="87">
        <f>IF(O92=0,IF(O91=1,G72+G73+G74+G75+G76+G77+G78+G79+G80+G81+G82+G83+G84+G85+G86+G87+G88+G89+G90+G91," "),IF(N41=1,Q92,IF(N41=2,R92," ")))</f>
        <v>3.5811333333333364</v>
      </c>
      <c r="H92" s="87">
        <v>0</v>
      </c>
      <c r="I92" s="87">
        <f t="shared" si="17"/>
        <v>84.661133333333339</v>
      </c>
      <c r="J92" s="87">
        <f t="shared" si="18"/>
        <v>88.240000000000009</v>
      </c>
      <c r="K92" s="87">
        <f t="shared" si="0"/>
        <v>3.8968666666666723</v>
      </c>
      <c r="L92" s="87">
        <v>0</v>
      </c>
      <c r="M92" s="87">
        <f t="shared" si="19"/>
        <v>92.136866666666677</v>
      </c>
      <c r="N92" s="2">
        <f t="shared" si="20"/>
        <v>21</v>
      </c>
      <c r="O92" s="2">
        <f>IF(N41=1,IF(N60&gt;20,1,0),IF(N41=2,IF(N60&gt;20,1,0),0))</f>
        <v>1</v>
      </c>
      <c r="P92" s="2">
        <f t="shared" si="1"/>
        <v>20</v>
      </c>
      <c r="Q92" s="134">
        <f t="shared" si="2"/>
        <v>3.5811333333333364</v>
      </c>
      <c r="R92" s="134">
        <f t="shared" si="2"/>
        <v>3.5811333333333364</v>
      </c>
      <c r="S92" s="134">
        <f t="shared" si="21"/>
        <v>1378.4000000000015</v>
      </c>
      <c r="T92" s="134">
        <f t="shared" si="22"/>
        <v>81.08</v>
      </c>
      <c r="U92" s="134">
        <f t="shared" si="23"/>
        <v>81.08</v>
      </c>
      <c r="V92" s="134">
        <f>IF(O93=1,S91*D5*20/36000+S92*D5*10/36000,IF(O93=0,IF(O92=0,0,S92*D5*R58/36000+S91*D5*20/36000+S92*D5*10/36000)))</f>
        <v>3.5811333333333364</v>
      </c>
      <c r="W92" s="134">
        <f>IF(O93=1,S91*D5*20/36000+S92*D5*10/36000,IF(O93=0,IF(O92=0,0,S92*D5*R58/36000+S91*D5*20/36000+S92*D5*10/36000)))</f>
        <v>3.5811333333333364</v>
      </c>
      <c r="X92" s="134">
        <f t="shared" si="24"/>
        <v>7.5</v>
      </c>
      <c r="Y92" s="134">
        <f t="shared" si="25"/>
        <v>10</v>
      </c>
      <c r="Z92" s="134">
        <f t="shared" si="3"/>
        <v>1499.9200000000021</v>
      </c>
      <c r="AA92" s="134">
        <f>IF(O93=1,Z91*D$5*20/36000+Z92*D$5*10/36000,IF(O93=0,IF(O92=0,0,Z92*D$5*R$58/36000+Z91*D$5*20/36000+Z92*D$5*10/36000)))</f>
        <v>3.8968666666666723</v>
      </c>
      <c r="AB92" s="134">
        <f t="shared" si="4"/>
        <v>3.8968666666666723</v>
      </c>
      <c r="AC92" s="134">
        <f>IF(S93=0,S92*R58,(S91*20+S92*10))</f>
        <v>42973.600000000042</v>
      </c>
      <c r="AD92" s="134"/>
      <c r="AE92" s="134">
        <f t="shared" si="5"/>
        <v>0</v>
      </c>
      <c r="AF92" s="134">
        <f t="shared" si="5"/>
        <v>0</v>
      </c>
      <c r="AG92" s="134">
        <f t="shared" si="27"/>
        <v>0</v>
      </c>
      <c r="AH92" s="134">
        <f t="shared" si="6"/>
        <v>0</v>
      </c>
      <c r="AI92" s="134">
        <f t="shared" si="28"/>
        <v>0</v>
      </c>
      <c r="AJ92" s="134">
        <f t="shared" si="7"/>
        <v>0</v>
      </c>
      <c r="AK92" s="134">
        <f t="shared" si="8"/>
        <v>1378.4000000000015</v>
      </c>
      <c r="AL92" s="134">
        <f>IF(O93=1,AK91*H58*20/36000+AK92*H58*10/36000,IF(O93=0,IF(O92=0,0,AK92*H58*R58/36000+AK91*H58*20/36000+AK92*H58*10/36000)))</f>
        <v>0</v>
      </c>
      <c r="AM92" s="134">
        <f>IF(O93=1,AK91*H58*20/36000+AK92*H58*10/36000,IF(O93=0,IF(O92=0,0,AK92*H58*R58/36000+AK91*H58*20/36000+AK92*H58*10/36000)))</f>
        <v>0</v>
      </c>
      <c r="AN92" s="132">
        <f t="shared" si="29"/>
        <v>9</v>
      </c>
      <c r="AO92" s="132">
        <f t="shared" si="9"/>
        <v>9</v>
      </c>
      <c r="AP92" s="2">
        <f t="shared" si="30"/>
        <v>2020</v>
      </c>
      <c r="AQ92" s="2">
        <f t="shared" si="10"/>
        <v>2020</v>
      </c>
      <c r="AR92" s="2">
        <f t="shared" si="11"/>
        <v>1</v>
      </c>
      <c r="AS92" s="2">
        <f t="shared" si="12"/>
        <v>30</v>
      </c>
      <c r="AT92" s="2">
        <f t="shared" si="13"/>
        <v>20</v>
      </c>
      <c r="AU92" s="2">
        <f t="shared" si="31"/>
        <v>30</v>
      </c>
      <c r="AV92" s="2"/>
      <c r="AW92" s="2"/>
      <c r="AX92" s="2"/>
      <c r="AY92" s="2"/>
      <c r="AZ92" s="2"/>
      <c r="BA92" s="2">
        <f t="shared" si="14"/>
        <v>1</v>
      </c>
      <c r="BB92" s="2"/>
      <c r="BC92" s="2"/>
      <c r="BD92" s="2"/>
      <c r="BE92" s="2"/>
      <c r="BF92" s="2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</row>
    <row r="93" spans="1:143" s="24" customFormat="1" ht="15" customHeight="1">
      <c r="A93" s="4">
        <f t="shared" si="15"/>
        <v>22</v>
      </c>
      <c r="B93" s="268">
        <f t="shared" si="16"/>
        <v>44124</v>
      </c>
      <c r="C93" s="268"/>
      <c r="D93" s="269">
        <f>IF(O93=0,IF(O92=1,D72+D73+D74+D75+D76+D77+D78+D79+D80+D81+D82+D83+D84+D85+D86+D87+D88+D89+D90+D91+D92," "),IF(O93=0," ",IF(O94=1,D72,IF(O94=0,D4-D72*(N60-1)," "))))</f>
        <v>81.08</v>
      </c>
      <c r="E93" s="269"/>
      <c r="F93" s="269"/>
      <c r="G93" s="87">
        <f>IF(O93=0,IF(O92=1,G72+G73+G74+G75+G76+G77+G78+G79+G80+G81+G82+G83+G84+G85+G86+G87+G88+G89+G90+G91+G92," "),IF(N41=1,Q93,IF(N41=2,R93," ")))</f>
        <v>3.3784333333333372</v>
      </c>
      <c r="H93" s="87">
        <v>0</v>
      </c>
      <c r="I93" s="87">
        <f t="shared" si="17"/>
        <v>84.458433333333332</v>
      </c>
      <c r="J93" s="87">
        <f t="shared" si="18"/>
        <v>88.240000000000009</v>
      </c>
      <c r="K93" s="87">
        <f t="shared" si="0"/>
        <v>3.6762666666666721</v>
      </c>
      <c r="L93" s="87">
        <v>0</v>
      </c>
      <c r="M93" s="87">
        <f t="shared" si="19"/>
        <v>91.916266666666687</v>
      </c>
      <c r="N93" s="2">
        <f t="shared" si="20"/>
        <v>22</v>
      </c>
      <c r="O93" s="2">
        <f>IF(N41=1,IF(N60&gt;21,1,0),IF(N41=2,IF(N60&gt;21,1,0),0))</f>
        <v>1</v>
      </c>
      <c r="P93" s="2">
        <f t="shared" si="1"/>
        <v>20</v>
      </c>
      <c r="Q93" s="134">
        <f t="shared" si="2"/>
        <v>3.3784333333333372</v>
      </c>
      <c r="R93" s="134">
        <f t="shared" si="2"/>
        <v>3.3784333333333372</v>
      </c>
      <c r="S93" s="134">
        <f t="shared" si="21"/>
        <v>1297.3200000000015</v>
      </c>
      <c r="T93" s="134">
        <f t="shared" si="22"/>
        <v>81.08</v>
      </c>
      <c r="U93" s="134">
        <f t="shared" si="23"/>
        <v>81.08</v>
      </c>
      <c r="V93" s="134">
        <f>IF(O94=1,S92*D5*20/36000+S93*D5*10/36000,IF(O94=0,IF(O93=0,0,S93*D5*R58/36000+S92*D5*20/36000+S93*D5*10/36000)))</f>
        <v>3.3784333333333372</v>
      </c>
      <c r="W93" s="134">
        <f>IF(O94=1,S92*D5*20/36000+S93*D5*10/36000,IF(O94=0,IF(O93=0,0,S93*D5*R58/36000+S92*D5*20/36000+S93*D5*10/36000)))</f>
        <v>3.3784333333333372</v>
      </c>
      <c r="X93" s="134">
        <f t="shared" si="24"/>
        <v>7.5</v>
      </c>
      <c r="Y93" s="134">
        <f t="shared" si="25"/>
        <v>10</v>
      </c>
      <c r="Z93" s="134">
        <f t="shared" si="3"/>
        <v>1411.6800000000021</v>
      </c>
      <c r="AA93" s="134">
        <f>IF(O94=1,Z92*D$5*20/36000+Z93*D$5*10/36000,IF(O94=0,IF(O93=0,0,Z93*D$5*R$58/36000+Z92*D$5*20/36000+Z93*D$5*10/36000)))</f>
        <v>3.6762666666666721</v>
      </c>
      <c r="AB93" s="134">
        <f t="shared" si="4"/>
        <v>3.6762666666666721</v>
      </c>
      <c r="AC93" s="134">
        <f>IF(S94=0,S93*R58,(S92*20+S93*10))</f>
        <v>40541.200000000041</v>
      </c>
      <c r="AD93" s="134"/>
      <c r="AE93" s="134">
        <f t="shared" si="5"/>
        <v>0</v>
      </c>
      <c r="AF93" s="134">
        <f t="shared" si="5"/>
        <v>0</v>
      </c>
      <c r="AG93" s="134">
        <f t="shared" si="27"/>
        <v>0</v>
      </c>
      <c r="AH93" s="134">
        <f t="shared" si="6"/>
        <v>0</v>
      </c>
      <c r="AI93" s="134">
        <f t="shared" si="28"/>
        <v>0</v>
      </c>
      <c r="AJ93" s="134">
        <f t="shared" si="7"/>
        <v>0</v>
      </c>
      <c r="AK93" s="134">
        <f t="shared" si="8"/>
        <v>1297.3200000000015</v>
      </c>
      <c r="AL93" s="134">
        <f>IF(O94=1,AK92*H58*20/36000+AK93*H58*10/36000,IF(O94=0,IF(O93=0,0,AK93*H58*R58/36000+AK92*H58*20/36000+AK93*H58*10/36000)))</f>
        <v>0</v>
      </c>
      <c r="AM93" s="134">
        <f>IF(O94=1,AK92*H58*20/36000+AK93*H58*10/36000,IF(O94=0,IF(O93=0,0,AK93*H58*R58/36000+AK92*H58*20/36000+AK93*H58*10/36000)))</f>
        <v>0</v>
      </c>
      <c r="AN93" s="132">
        <f t="shared" si="29"/>
        <v>10</v>
      </c>
      <c r="AO93" s="132">
        <f t="shared" si="9"/>
        <v>10</v>
      </c>
      <c r="AP93" s="2">
        <f t="shared" si="30"/>
        <v>2020</v>
      </c>
      <c r="AQ93" s="2">
        <f t="shared" si="10"/>
        <v>2020</v>
      </c>
      <c r="AR93" s="2">
        <f t="shared" si="11"/>
        <v>1</v>
      </c>
      <c r="AS93" s="2">
        <f t="shared" si="12"/>
        <v>30</v>
      </c>
      <c r="AT93" s="2">
        <f t="shared" si="13"/>
        <v>20</v>
      </c>
      <c r="AU93" s="2">
        <f t="shared" si="31"/>
        <v>30</v>
      </c>
      <c r="AV93" s="2"/>
      <c r="AW93" s="2"/>
      <c r="AX93" s="2"/>
      <c r="AY93" s="2"/>
      <c r="AZ93" s="2"/>
      <c r="BA93" s="2">
        <f t="shared" si="14"/>
        <v>1</v>
      </c>
      <c r="BB93" s="2"/>
      <c r="BC93" s="2"/>
      <c r="BD93" s="2"/>
      <c r="BE93" s="2"/>
      <c r="BF93" s="2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</row>
    <row r="94" spans="1:143" s="24" customFormat="1" ht="15" customHeight="1">
      <c r="A94" s="4">
        <f t="shared" si="15"/>
        <v>23</v>
      </c>
      <c r="B94" s="268">
        <f t="shared" si="16"/>
        <v>44155</v>
      </c>
      <c r="C94" s="268"/>
      <c r="D94" s="269">
        <f>IF(O94=0,IF(O93=1,D72+D73+D74+D75+D76+D77+D78+D79+D80+D81+D82+D83+D84+D85+D86+D87+D88+D89+D90+D91+D92+D93," "),IF(O94=0," ",IF(O95=1,D72,IF(O95=0,D4-D72*(N60-1)," "))))</f>
        <v>81.08</v>
      </c>
      <c r="E94" s="269"/>
      <c r="F94" s="269"/>
      <c r="G94" s="87">
        <f>IF(O94=0,IF(O93=1,G72+G73+G74+G75+G76+G77+G78+G79+G80+G81+G82+G83+G84+G85+G86+G87+G88+G89+G90+G91+G92+G93," "),IF(N41=1,Q94,IF(N41=2,R94," ")))</f>
        <v>3.1757333333333371</v>
      </c>
      <c r="H94" s="87">
        <v>0</v>
      </c>
      <c r="I94" s="87">
        <f t="shared" si="17"/>
        <v>84.255733333333339</v>
      </c>
      <c r="J94" s="87">
        <f t="shared" si="18"/>
        <v>88.240000000000009</v>
      </c>
      <c r="K94" s="87">
        <f t="shared" si="0"/>
        <v>3.455666666666672</v>
      </c>
      <c r="L94" s="87">
        <v>0</v>
      </c>
      <c r="M94" s="87">
        <f t="shared" si="19"/>
        <v>91.695666666666682</v>
      </c>
      <c r="N94" s="2">
        <f t="shared" si="20"/>
        <v>23</v>
      </c>
      <c r="O94" s="2">
        <f>IF(N41=1,IF(N60&gt;22,1,0),IF(N41=2,IF(N60&gt;22,1,0),0))</f>
        <v>1</v>
      </c>
      <c r="P94" s="2">
        <f t="shared" si="1"/>
        <v>20</v>
      </c>
      <c r="Q94" s="134">
        <f t="shared" si="2"/>
        <v>3.1757333333333371</v>
      </c>
      <c r="R94" s="134">
        <f t="shared" si="2"/>
        <v>3.1757333333333371</v>
      </c>
      <c r="S94" s="134">
        <f t="shared" si="21"/>
        <v>1216.2400000000016</v>
      </c>
      <c r="T94" s="134">
        <f t="shared" si="22"/>
        <v>81.08</v>
      </c>
      <c r="U94" s="134">
        <f t="shared" si="23"/>
        <v>81.08</v>
      </c>
      <c r="V94" s="134">
        <f>IF(O95=1,S93*D5*20/36000+S94*D5*10/36000,IF(O95=0,IF(O94=0,0,S94*D5*R58/36000+S93*D5*20/36000+S94*D5*10/36000)))</f>
        <v>3.1757333333333371</v>
      </c>
      <c r="W94" s="134">
        <f>IF(O95=1,S93*D5*20/36000+S94*D5*10/36000,IF(O95=0,IF(O94=0,0,S94*D5*R58/36000+S93*D5*20/36000+S94*D5*10/36000)))</f>
        <v>3.1757333333333371</v>
      </c>
      <c r="X94" s="134">
        <f t="shared" si="24"/>
        <v>7.5</v>
      </c>
      <c r="Y94" s="134">
        <f t="shared" si="25"/>
        <v>10</v>
      </c>
      <c r="Z94" s="134">
        <f t="shared" si="3"/>
        <v>1323.4400000000021</v>
      </c>
      <c r="AA94" s="134">
        <f>IF(O95=1,Z93*D$5*20/36000+Z94*D$5*10/36000,IF(O95=0,IF(O94=0,0,Z94*D$5*R$58/36000+Z93*D$5*20/36000+Z94*D$5*10/36000)))</f>
        <v>3.455666666666672</v>
      </c>
      <c r="AB94" s="134">
        <f t="shared" si="4"/>
        <v>3.455666666666672</v>
      </c>
      <c r="AC94" s="134">
        <f>IF(S95=0,S94*R58,(S93*20+S94*10))</f>
        <v>38108.800000000047</v>
      </c>
      <c r="AD94" s="134"/>
      <c r="AE94" s="134">
        <f t="shared" si="5"/>
        <v>0</v>
      </c>
      <c r="AF94" s="134">
        <f t="shared" si="5"/>
        <v>0</v>
      </c>
      <c r="AG94" s="134">
        <f t="shared" si="27"/>
        <v>0</v>
      </c>
      <c r="AH94" s="134">
        <f t="shared" si="6"/>
        <v>0</v>
      </c>
      <c r="AI94" s="134">
        <f t="shared" si="28"/>
        <v>0</v>
      </c>
      <c r="AJ94" s="134">
        <f t="shared" si="7"/>
        <v>0</v>
      </c>
      <c r="AK94" s="134">
        <f t="shared" si="8"/>
        <v>1216.2400000000016</v>
      </c>
      <c r="AL94" s="134">
        <f>IF(O95=1,AK93*H58*20/36000+AK94*H58*10/36000,IF(O95=0,IF(O94=0,0,AK94*H58*R58/36000+AK93*H58*20/36000+AK94*H58*10/36000)))</f>
        <v>0</v>
      </c>
      <c r="AM94" s="134">
        <f>IF(O95=1,AK93*H58*20/36000+AK94*H58*10/36000,IF(O95=0,IF(O94=0,0,AK94*H58*R58/36000+AK93*H58*20/36000+AK94*H58*10/36000)))</f>
        <v>0</v>
      </c>
      <c r="AN94" s="132">
        <f t="shared" si="29"/>
        <v>11</v>
      </c>
      <c r="AO94" s="132">
        <f t="shared" si="9"/>
        <v>11</v>
      </c>
      <c r="AP94" s="2">
        <f t="shared" si="30"/>
        <v>2020</v>
      </c>
      <c r="AQ94" s="2">
        <f t="shared" si="10"/>
        <v>2020</v>
      </c>
      <c r="AR94" s="2">
        <f t="shared" si="11"/>
        <v>1</v>
      </c>
      <c r="AS94" s="2">
        <f t="shared" si="12"/>
        <v>30</v>
      </c>
      <c r="AT94" s="2">
        <f t="shared" si="13"/>
        <v>20</v>
      </c>
      <c r="AU94" s="2">
        <f t="shared" si="31"/>
        <v>30</v>
      </c>
      <c r="AV94" s="2"/>
      <c r="AW94" s="2"/>
      <c r="AX94" s="2"/>
      <c r="AY94" s="2"/>
      <c r="AZ94" s="2"/>
      <c r="BA94" s="2">
        <f t="shared" si="14"/>
        <v>1</v>
      </c>
      <c r="BB94" s="2"/>
      <c r="BC94" s="2"/>
      <c r="BD94" s="2"/>
      <c r="BE94" s="2"/>
      <c r="BF94" s="2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</row>
    <row r="95" spans="1:143" s="24" customFormat="1" ht="15" customHeight="1">
      <c r="A95" s="4">
        <f t="shared" si="15"/>
        <v>24</v>
      </c>
      <c r="B95" s="268">
        <f t="shared" si="16"/>
        <v>44185</v>
      </c>
      <c r="C95" s="268"/>
      <c r="D95" s="269">
        <f>IF(O95=0,IF(O94=1,SUM(D$72:F94)," "),IF(O95=0," ",IF(O96=1,D$72,IF(O96=0,D$4-D$72*(N$60-1)," "))))</f>
        <v>81.08</v>
      </c>
      <c r="E95" s="269"/>
      <c r="F95" s="269"/>
      <c r="G95" s="87">
        <f>IF(O95=0,IF(O94=1,SUM(G$72:G94)," "),IF(N$41=1,Q95,IF(N$41=2,R95," ")))</f>
        <v>2.9730333333333374</v>
      </c>
      <c r="H95" s="87">
        <v>0</v>
      </c>
      <c r="I95" s="87">
        <f t="shared" si="17"/>
        <v>84.053033333333332</v>
      </c>
      <c r="J95" s="87">
        <f t="shared" si="18"/>
        <v>88.240000000000009</v>
      </c>
      <c r="K95" s="87">
        <f t="shared" si="0"/>
        <v>3.2350666666666719</v>
      </c>
      <c r="L95" s="87">
        <v>0</v>
      </c>
      <c r="M95" s="87">
        <f t="shared" si="19"/>
        <v>91.475066666666677</v>
      </c>
      <c r="N95" s="2">
        <f t="shared" si="20"/>
        <v>24</v>
      </c>
      <c r="O95" s="2">
        <f t="shared" ref="O95:O132" si="32">IF(N$41=1,IF(N$60&gt;N94,1,0),IF(N$41=2,IF(N$60&gt;N94,1,0),0))</f>
        <v>1</v>
      </c>
      <c r="P95" s="2">
        <f t="shared" si="1"/>
        <v>20</v>
      </c>
      <c r="Q95" s="134">
        <f t="shared" si="2"/>
        <v>2.9730333333333374</v>
      </c>
      <c r="R95" s="134">
        <f t="shared" si="2"/>
        <v>2.9730333333333374</v>
      </c>
      <c r="S95" s="134">
        <f t="shared" si="21"/>
        <v>1135.1600000000017</v>
      </c>
      <c r="T95" s="134">
        <f t="shared" si="22"/>
        <v>81.08</v>
      </c>
      <c r="U95" s="134">
        <f t="shared" si="23"/>
        <v>81.08</v>
      </c>
      <c r="V95" s="134">
        <f>IF(O96=1,S94*D$5*20/36000+S95*D$5*10/36000,IF(O96=0,IF(O95=0,0,S95*D$5*R$58/36000+S94*D$5*20/36000+S95*D$5*10/36000)))</f>
        <v>2.9730333333333374</v>
      </c>
      <c r="W95" s="134">
        <f>IF(O96=1,S94*D$5*20/36000+S95*D$5*10/36000,IF(O96=0,IF(O95=0,0,S95*D$5*R$58/36000+S94*D$5*20/36000+S95*D$5*10/36000)))</f>
        <v>2.9730333333333374</v>
      </c>
      <c r="X95" s="134">
        <f t="shared" si="24"/>
        <v>7.5</v>
      </c>
      <c r="Y95" s="134">
        <f t="shared" si="25"/>
        <v>10</v>
      </c>
      <c r="Z95" s="134">
        <f t="shared" si="3"/>
        <v>1235.2000000000021</v>
      </c>
      <c r="AA95" s="134">
        <f>IF(O96=1,Z94*D$5*20/36000+Z95*D$5*10/36000,IF(O96=0,IF(O95=0,0,Z95*D$5*R$58/36000+Z94*D$5*20/36000+Z95*D$5*10/36000)))</f>
        <v>3.2350666666666719</v>
      </c>
      <c r="AB95" s="134">
        <f t="shared" si="4"/>
        <v>3.2350666666666719</v>
      </c>
      <c r="AC95" s="134">
        <f t="shared" ref="AC95:AC131" si="33">IF(S96=0,S95*R$58,(S94*20+S95*10))</f>
        <v>35676.400000000052</v>
      </c>
      <c r="AD95" s="134"/>
      <c r="AE95" s="134">
        <f t="shared" si="5"/>
        <v>0</v>
      </c>
      <c r="AF95" s="134">
        <f t="shared" si="5"/>
        <v>0</v>
      </c>
      <c r="AG95" s="134">
        <f t="shared" si="27"/>
        <v>0</v>
      </c>
      <c r="AH95" s="134">
        <f t="shared" si="6"/>
        <v>0</v>
      </c>
      <c r="AI95" s="134">
        <f t="shared" si="28"/>
        <v>0</v>
      </c>
      <c r="AJ95" s="134">
        <f t="shared" si="7"/>
        <v>0</v>
      </c>
      <c r="AK95" s="134">
        <f t="shared" si="8"/>
        <v>1135.1600000000017</v>
      </c>
      <c r="AL95" s="134">
        <f>IF(O96=1,AK94*H$58*20/36000+AK95*H$58*10/36000,IF(O96=0,IF(O95=0,0,AK95*H$58*R$58/36000+AK94*H$58*20/36000+AK95*H$58*10/36000)))</f>
        <v>0</v>
      </c>
      <c r="AM95" s="134">
        <f>IF(O96=1,AK94*H$58*20/36000+AK95*H$58*10/36000,IF(O96=0,IF(O95=0,0,AK95*H$58*R$58/36000+AK94*H$58*20/36000+AK95*H$58*10/36000)))</f>
        <v>0</v>
      </c>
      <c r="AN95" s="132">
        <f t="shared" si="29"/>
        <v>12</v>
      </c>
      <c r="AO95" s="132">
        <f t="shared" si="9"/>
        <v>12</v>
      </c>
      <c r="AP95" s="2">
        <f t="shared" si="30"/>
        <v>2020</v>
      </c>
      <c r="AQ95" s="2">
        <f t="shared" si="10"/>
        <v>2020</v>
      </c>
      <c r="AR95" s="2">
        <f t="shared" si="11"/>
        <v>1</v>
      </c>
      <c r="AS95" s="2">
        <f t="shared" si="12"/>
        <v>30</v>
      </c>
      <c r="AT95" s="2">
        <f t="shared" si="13"/>
        <v>20</v>
      </c>
      <c r="AU95" s="2">
        <f t="shared" si="31"/>
        <v>30</v>
      </c>
      <c r="AV95" s="2"/>
      <c r="AW95" s="2"/>
      <c r="AX95" s="2"/>
      <c r="AY95" s="2"/>
      <c r="AZ95" s="2"/>
      <c r="BA95" s="2">
        <f t="shared" si="14"/>
        <v>1</v>
      </c>
      <c r="BB95" s="2"/>
      <c r="BC95" s="2"/>
      <c r="BD95" s="2"/>
      <c r="BE95" s="2"/>
      <c r="BF95" s="2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</row>
    <row r="96" spans="1:143" s="25" customFormat="1" ht="15" customHeight="1">
      <c r="A96" s="4">
        <v>25</v>
      </c>
      <c r="B96" s="268">
        <f t="shared" si="16"/>
        <v>44216</v>
      </c>
      <c r="C96" s="268"/>
      <c r="D96" s="269">
        <f>IF(O96=0,IF(O95=1,SUM(D$72:F95)," "),IF(O96=0," ",IF(O97=1,D$72,IF(O97=0,D$4-D$72*(N$60-1)," "))))</f>
        <v>81.08</v>
      </c>
      <c r="E96" s="269"/>
      <c r="F96" s="269"/>
      <c r="G96" s="87">
        <f>IF(O96=0,IF(O95=1,SUM(G$72:G95)," "),IF(N$41=1,Q96,IF(N$41=2,R96," ")))</f>
        <v>2.7703333333333373</v>
      </c>
      <c r="H96" s="87">
        <v>0</v>
      </c>
      <c r="I96" s="87">
        <f t="shared" si="17"/>
        <v>83.850333333333339</v>
      </c>
      <c r="J96" s="87">
        <f t="shared" si="18"/>
        <v>88.240000000000009</v>
      </c>
      <c r="K96" s="87">
        <f t="shared" si="0"/>
        <v>3.0144666666666722</v>
      </c>
      <c r="L96" s="87">
        <v>0</v>
      </c>
      <c r="M96" s="87">
        <f t="shared" si="19"/>
        <v>91.254466666666687</v>
      </c>
      <c r="N96" s="2">
        <v>25</v>
      </c>
      <c r="O96" s="2">
        <f t="shared" si="32"/>
        <v>1</v>
      </c>
      <c r="P96" s="2">
        <f t="shared" si="1"/>
        <v>20</v>
      </c>
      <c r="Q96" s="134">
        <f t="shared" si="2"/>
        <v>2.7703333333333373</v>
      </c>
      <c r="R96" s="134">
        <f t="shared" si="2"/>
        <v>2.7703333333333373</v>
      </c>
      <c r="S96" s="134">
        <f t="shared" si="21"/>
        <v>1054.0800000000017</v>
      </c>
      <c r="T96" s="134">
        <f t="shared" si="22"/>
        <v>81.08</v>
      </c>
      <c r="U96" s="134">
        <f t="shared" si="23"/>
        <v>81.08</v>
      </c>
      <c r="V96" s="134">
        <f>IF(O97=1,S95*D$5*20/36000+S96*D$5*10/36000,IF(O97=0,IF(O96=0,0,IF(D$10&gt;20,S95*D$5*20/36000+S96*D$5*(R$58-20)/36000,S96*D$5*R$58/36000))))</f>
        <v>2.7703333333333373</v>
      </c>
      <c r="W96" s="134">
        <f>IF(O97=1,S95*D$5*20/36000+S96*D$5*10/36000,IF(O97=0,IF(O96=0,0,IF(D$10&gt;20,S95*D$5*20/36000+S96*D$5*(R$58-20)/36000,S96*D$5*R$58/36000))))</f>
        <v>2.7703333333333373</v>
      </c>
      <c r="X96" s="134">
        <f t="shared" si="24"/>
        <v>7.5</v>
      </c>
      <c r="Y96" s="134">
        <f t="shared" si="25"/>
        <v>10</v>
      </c>
      <c r="Z96" s="134">
        <f t="shared" si="3"/>
        <v>1146.9600000000021</v>
      </c>
      <c r="AA96" s="134">
        <f>IF(O97=1,Z95*D$5*20/36000+Z96*D$5*10/36000,IF(O97=0,IF(O96=0,0,IF(D$10&gt;20,Z95*D$5*20/36000+Z96*D$5*(R$58-20)/36000,Z96*D$5*R$58/36000))))</f>
        <v>3.0144666666666722</v>
      </c>
      <c r="AB96" s="134">
        <f t="shared" si="4"/>
        <v>3.0144666666666722</v>
      </c>
      <c r="AC96" s="134">
        <f t="shared" si="33"/>
        <v>33244.000000000051</v>
      </c>
      <c r="AD96" s="134"/>
      <c r="AE96" s="134">
        <f t="shared" si="5"/>
        <v>0</v>
      </c>
      <c r="AF96" s="134">
        <f t="shared" si="5"/>
        <v>0</v>
      </c>
      <c r="AG96" s="134">
        <f t="shared" si="27"/>
        <v>0</v>
      </c>
      <c r="AH96" s="134">
        <f t="shared" si="6"/>
        <v>0</v>
      </c>
      <c r="AI96" s="134">
        <f t="shared" si="28"/>
        <v>0</v>
      </c>
      <c r="AJ96" s="134">
        <f t="shared" si="7"/>
        <v>0</v>
      </c>
      <c r="AK96" s="134">
        <f t="shared" si="8"/>
        <v>1054.0800000000017</v>
      </c>
      <c r="AL96" s="134">
        <f>IF(O97=1,AK95*H$58*20/36000+AK96*H$58*10/36000,IF(O97=0,IF(O96=0,0,AK96*H$58*R$58/36000)))</f>
        <v>0</v>
      </c>
      <c r="AM96" s="134">
        <f>IF(O97=1,AK95*H$58*20/36000+AK96*H$58*10/36000,IF(O97=0,IF(O96=0,0,AK96*H$58*R$58/36000)))</f>
        <v>0</v>
      </c>
      <c r="AN96" s="132">
        <f t="shared" si="29"/>
        <v>13</v>
      </c>
      <c r="AO96" s="132">
        <f t="shared" si="9"/>
        <v>1</v>
      </c>
      <c r="AP96" s="2">
        <f t="shared" si="30"/>
        <v>2020</v>
      </c>
      <c r="AQ96" s="2">
        <f t="shared" si="10"/>
        <v>2021</v>
      </c>
      <c r="AR96" s="2">
        <f t="shared" si="11"/>
        <v>1</v>
      </c>
      <c r="AS96" s="2">
        <f t="shared" si="12"/>
        <v>30</v>
      </c>
      <c r="AT96" s="2">
        <f t="shared" si="13"/>
        <v>20</v>
      </c>
      <c r="AU96" s="2">
        <f t="shared" si="31"/>
        <v>30</v>
      </c>
      <c r="AV96" s="2"/>
      <c r="AW96" s="2"/>
      <c r="AX96" s="2"/>
      <c r="AY96" s="2"/>
      <c r="AZ96" s="2"/>
      <c r="BA96" s="2">
        <f t="shared" si="14"/>
        <v>1</v>
      </c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</row>
    <row r="97" spans="1:143" s="24" customFormat="1" ht="15" customHeight="1">
      <c r="A97" s="4">
        <v>26</v>
      </c>
      <c r="B97" s="650">
        <f t="shared" si="16"/>
        <v>44247</v>
      </c>
      <c r="C97" s="650"/>
      <c r="D97" s="727">
        <f>IF(O97=0,IF(O96=1,SUM(D$72:F96)," "),IF(O97=0," ",IF(O98=1,D$72,IF(O98=0,D$4-D$72*(N$60-1)," "))))</f>
        <v>81.08</v>
      </c>
      <c r="E97" s="727"/>
      <c r="F97" s="727"/>
      <c r="G97" s="254">
        <f>IF(O97=0,IF(O96=1,SUM(G$72:G96)," "),IF(N$41=1,Q97,IF(N$41=2,R97," ")))</f>
        <v>2.5676333333333377</v>
      </c>
      <c r="H97" s="254">
        <v>0</v>
      </c>
      <c r="I97" s="254">
        <f t="shared" si="17"/>
        <v>83.647633333333332</v>
      </c>
      <c r="J97" s="87">
        <f t="shared" si="18"/>
        <v>88.240000000000009</v>
      </c>
      <c r="K97" s="87">
        <f t="shared" si="0"/>
        <v>2.7938666666666716</v>
      </c>
      <c r="L97" s="87">
        <v>0</v>
      </c>
      <c r="M97" s="87">
        <f t="shared" si="19"/>
        <v>91.033866666666682</v>
      </c>
      <c r="N97" s="2">
        <v>26</v>
      </c>
      <c r="O97" s="2">
        <f t="shared" si="32"/>
        <v>1</v>
      </c>
      <c r="P97" s="2">
        <f t="shared" si="1"/>
        <v>20</v>
      </c>
      <c r="Q97" s="134">
        <f t="shared" si="2"/>
        <v>2.5676333333333377</v>
      </c>
      <c r="R97" s="134">
        <f t="shared" si="2"/>
        <v>2.5676333333333377</v>
      </c>
      <c r="S97" s="134">
        <f t="shared" si="21"/>
        <v>973.00000000000171</v>
      </c>
      <c r="T97" s="134">
        <f t="shared" si="22"/>
        <v>81.08</v>
      </c>
      <c r="U97" s="134">
        <f t="shared" si="23"/>
        <v>81.08</v>
      </c>
      <c r="V97" s="134">
        <f t="shared" ref="V97:V107" si="34">IF(O98=1,S96*D$5*20/36000+S97*D$5*10/36000,IF(O98=0,IF(O97=0,0,S97*D$5*R$58/36000+S96*D$5*20/36000+S97*D$5*10/36000)))</f>
        <v>2.5676333333333377</v>
      </c>
      <c r="W97" s="134">
        <f t="shared" ref="W97:W107" si="35">IF(O98=1,S96*D$5*20/36000+S97*D$5*10/36000,IF(O98=0,IF(O97=0,0,S97*D$5*R$58/36000+S96*D$5*20/36000+S97*D$5*10/36000)))</f>
        <v>2.5676333333333377</v>
      </c>
      <c r="X97" s="134">
        <f t="shared" si="24"/>
        <v>7.5</v>
      </c>
      <c r="Y97" s="134">
        <f t="shared" si="25"/>
        <v>10</v>
      </c>
      <c r="Z97" s="134">
        <f t="shared" si="3"/>
        <v>1058.7200000000021</v>
      </c>
      <c r="AA97" s="134">
        <f t="shared" ref="AA97:AA107" si="36">IF(O98=1,Z96*D$5*20/36000+Z97*D$5*10/36000,IF(O98=0,IF(O97=0,0,Z97*D$5*R$58/36000+Z96*D$5*20/36000+Z97*D$5*10/36000)))</f>
        <v>2.7938666666666716</v>
      </c>
      <c r="AB97" s="134">
        <f t="shared" si="4"/>
        <v>2.7938666666666716</v>
      </c>
      <c r="AC97" s="134">
        <f t="shared" si="33"/>
        <v>30811.600000000049</v>
      </c>
      <c r="AD97" s="134"/>
      <c r="AE97" s="134">
        <f t="shared" si="5"/>
        <v>0</v>
      </c>
      <c r="AF97" s="134">
        <f t="shared" si="5"/>
        <v>0</v>
      </c>
      <c r="AG97" s="134">
        <f t="shared" si="27"/>
        <v>0</v>
      </c>
      <c r="AH97" s="134">
        <f t="shared" si="6"/>
        <v>0</v>
      </c>
      <c r="AI97" s="134">
        <f t="shared" si="28"/>
        <v>0</v>
      </c>
      <c r="AJ97" s="134">
        <f t="shared" si="7"/>
        <v>0</v>
      </c>
      <c r="AK97" s="134">
        <f t="shared" si="8"/>
        <v>973.00000000000171</v>
      </c>
      <c r="AL97" s="134">
        <f t="shared" ref="AL97:AL107" si="37">IF(O98=1,AK96*H$58*20/36000+AK97*H$58*10/36000,IF(O98=0,IF(O97=0,0,AK97*H$58*R$58/36000+AK96*H$58*20/36000+AK97*H$58*10/36000)))</f>
        <v>0</v>
      </c>
      <c r="AM97" s="134">
        <f t="shared" ref="AM97:AM107" si="38">IF(O98=1,AK96*H$58*20/36000+AK97*H$58*10/36000,IF(O98=0,IF(O97=0,0,AK97*H$58*R$58/36000+AK96*H$58*20/36000+AK97*H$58*10/36000)))</f>
        <v>0</v>
      </c>
      <c r="AN97" s="132">
        <f t="shared" si="29"/>
        <v>2</v>
      </c>
      <c r="AO97" s="132">
        <f t="shared" si="9"/>
        <v>2</v>
      </c>
      <c r="AP97" s="2">
        <f t="shared" si="30"/>
        <v>2021</v>
      </c>
      <c r="AQ97" s="2">
        <f t="shared" si="10"/>
        <v>2021</v>
      </c>
      <c r="AR97" s="2">
        <f t="shared" si="11"/>
        <v>0</v>
      </c>
      <c r="AS97" s="2">
        <f t="shared" si="12"/>
        <v>28</v>
      </c>
      <c r="AT97" s="2">
        <f t="shared" si="13"/>
        <v>20</v>
      </c>
      <c r="AU97" s="2">
        <f t="shared" si="31"/>
        <v>30</v>
      </c>
      <c r="AV97" s="2"/>
      <c r="AW97" s="2"/>
      <c r="AX97" s="2"/>
      <c r="AY97" s="2"/>
      <c r="AZ97" s="2"/>
      <c r="BA97" s="2">
        <f t="shared" si="14"/>
        <v>1</v>
      </c>
      <c r="BB97" s="2"/>
      <c r="BC97" s="2"/>
      <c r="BD97" s="2"/>
      <c r="BE97" s="2"/>
      <c r="BF97" s="2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</row>
    <row r="98" spans="1:143" s="24" customFormat="1" ht="15" customHeight="1">
      <c r="A98" s="4">
        <v>27</v>
      </c>
      <c r="B98" s="268">
        <f t="shared" si="16"/>
        <v>44275</v>
      </c>
      <c r="C98" s="268"/>
      <c r="D98" s="269">
        <f>IF(O98=0,IF(O97=1,SUM(D$72:F97)," "),IF(O98=0," ",IF(O99=1,D$72,IF(O99=0,D$4-D$72*(N$60-1)," "))))</f>
        <v>81.08</v>
      </c>
      <c r="E98" s="269"/>
      <c r="F98" s="269"/>
      <c r="G98" s="87">
        <f>IF(O98=0,IF(O97=1,SUM(G$72:G97)," "),IF(N$41=1,Q98,IF(N$41=2,R98," ")))</f>
        <v>2.3649333333333376</v>
      </c>
      <c r="H98" s="87">
        <v>0</v>
      </c>
      <c r="I98" s="87">
        <f t="shared" si="17"/>
        <v>83.444933333333339</v>
      </c>
      <c r="J98" s="87">
        <f t="shared" si="18"/>
        <v>88.240000000000009</v>
      </c>
      <c r="K98" s="87">
        <f t="shared" si="0"/>
        <v>2.5732666666666719</v>
      </c>
      <c r="L98" s="87">
        <v>0</v>
      </c>
      <c r="M98" s="87">
        <f t="shared" si="19"/>
        <v>90.813266666666678</v>
      </c>
      <c r="N98" s="2">
        <v>27</v>
      </c>
      <c r="O98" s="2">
        <f t="shared" si="32"/>
        <v>1</v>
      </c>
      <c r="P98" s="2">
        <f t="shared" si="1"/>
        <v>20</v>
      </c>
      <c r="Q98" s="134">
        <f t="shared" si="2"/>
        <v>2.3649333333333376</v>
      </c>
      <c r="R98" s="134">
        <f t="shared" si="2"/>
        <v>2.3649333333333376</v>
      </c>
      <c r="S98" s="134">
        <f t="shared" si="21"/>
        <v>891.92000000000166</v>
      </c>
      <c r="T98" s="134">
        <f t="shared" si="22"/>
        <v>81.08</v>
      </c>
      <c r="U98" s="134">
        <f t="shared" si="23"/>
        <v>81.08</v>
      </c>
      <c r="V98" s="134">
        <f t="shared" si="34"/>
        <v>2.3649333333333376</v>
      </c>
      <c r="W98" s="134">
        <f t="shared" si="35"/>
        <v>2.3649333333333376</v>
      </c>
      <c r="X98" s="134">
        <f t="shared" si="24"/>
        <v>7.5</v>
      </c>
      <c r="Y98" s="134">
        <f t="shared" si="25"/>
        <v>10</v>
      </c>
      <c r="Z98" s="134">
        <f t="shared" si="3"/>
        <v>970.48000000000206</v>
      </c>
      <c r="AA98" s="134">
        <f t="shared" si="36"/>
        <v>2.5732666666666719</v>
      </c>
      <c r="AB98" s="134">
        <f t="shared" si="4"/>
        <v>2.5732666666666719</v>
      </c>
      <c r="AC98" s="134">
        <f t="shared" si="33"/>
        <v>28379.200000000048</v>
      </c>
      <c r="AD98" s="134"/>
      <c r="AE98" s="134">
        <f t="shared" si="5"/>
        <v>0</v>
      </c>
      <c r="AF98" s="134">
        <f t="shared" si="5"/>
        <v>0</v>
      </c>
      <c r="AG98" s="134">
        <f t="shared" si="27"/>
        <v>0</v>
      </c>
      <c r="AH98" s="134">
        <f t="shared" si="6"/>
        <v>0</v>
      </c>
      <c r="AI98" s="134">
        <f t="shared" si="28"/>
        <v>0</v>
      </c>
      <c r="AJ98" s="134">
        <f t="shared" si="7"/>
        <v>0</v>
      </c>
      <c r="AK98" s="134">
        <f t="shared" si="8"/>
        <v>891.92000000000166</v>
      </c>
      <c r="AL98" s="134">
        <f t="shared" si="37"/>
        <v>0</v>
      </c>
      <c r="AM98" s="134">
        <f t="shared" si="38"/>
        <v>0</v>
      </c>
      <c r="AN98" s="132">
        <f t="shared" si="29"/>
        <v>3</v>
      </c>
      <c r="AO98" s="132">
        <f t="shared" si="9"/>
        <v>3</v>
      </c>
      <c r="AP98" s="2">
        <f t="shared" si="30"/>
        <v>2021</v>
      </c>
      <c r="AQ98" s="2">
        <f t="shared" si="10"/>
        <v>2021</v>
      </c>
      <c r="AR98" s="2">
        <f t="shared" si="11"/>
        <v>0</v>
      </c>
      <c r="AS98" s="2">
        <f t="shared" si="12"/>
        <v>30</v>
      </c>
      <c r="AT98" s="2">
        <f t="shared" si="13"/>
        <v>20</v>
      </c>
      <c r="AU98" s="2">
        <f t="shared" si="31"/>
        <v>28</v>
      </c>
      <c r="AV98" s="2"/>
      <c r="AW98" s="2"/>
      <c r="AX98" s="2"/>
      <c r="AY98" s="2"/>
      <c r="AZ98" s="2"/>
      <c r="BA98" s="2">
        <f t="shared" si="14"/>
        <v>1</v>
      </c>
      <c r="BB98" s="2"/>
      <c r="BC98" s="2"/>
      <c r="BD98" s="2"/>
      <c r="BE98" s="2"/>
      <c r="BF98" s="2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</row>
    <row r="99" spans="1:143" s="24" customFormat="1" ht="15" customHeight="1">
      <c r="A99" s="4">
        <v>28</v>
      </c>
      <c r="B99" s="268">
        <f t="shared" si="16"/>
        <v>44306</v>
      </c>
      <c r="C99" s="268"/>
      <c r="D99" s="269">
        <f>IF(O99=0,IF(O98=1,SUM(D$72:F98)," "),IF(O99=0," ",IF(O100=1,D$72,IF(O100=0,D$4-D$72*(N$60-1)," "))))</f>
        <v>81.08</v>
      </c>
      <c r="E99" s="269"/>
      <c r="F99" s="269"/>
      <c r="G99" s="87">
        <f>IF(O99=0,IF(O98=1,SUM(G$72:G98)," "),IF(N$41=1,Q99,IF(N$41=2,R99," ")))</f>
        <v>2.1622333333333374</v>
      </c>
      <c r="H99" s="87">
        <v>0</v>
      </c>
      <c r="I99" s="87">
        <f t="shared" si="17"/>
        <v>83.242233333333331</v>
      </c>
      <c r="J99" s="87">
        <f t="shared" si="18"/>
        <v>88.240000000000009</v>
      </c>
      <c r="K99" s="87">
        <f t="shared" si="0"/>
        <v>2.3526666666666718</v>
      </c>
      <c r="L99" s="87">
        <v>0</v>
      </c>
      <c r="M99" s="87">
        <f t="shared" si="19"/>
        <v>90.592666666666688</v>
      </c>
      <c r="N99" s="2">
        <v>28</v>
      </c>
      <c r="O99" s="2">
        <f t="shared" si="32"/>
        <v>1</v>
      </c>
      <c r="P99" s="2">
        <f t="shared" si="1"/>
        <v>20</v>
      </c>
      <c r="Q99" s="134">
        <f t="shared" si="2"/>
        <v>2.1622333333333374</v>
      </c>
      <c r="R99" s="134">
        <f t="shared" si="2"/>
        <v>2.1622333333333374</v>
      </c>
      <c r="S99" s="134">
        <f t="shared" si="21"/>
        <v>810.84000000000162</v>
      </c>
      <c r="T99" s="134">
        <f t="shared" si="22"/>
        <v>81.08</v>
      </c>
      <c r="U99" s="134">
        <f t="shared" si="23"/>
        <v>81.08</v>
      </c>
      <c r="V99" s="134">
        <f t="shared" si="34"/>
        <v>2.1622333333333374</v>
      </c>
      <c r="W99" s="134">
        <f t="shared" si="35"/>
        <v>2.1622333333333374</v>
      </c>
      <c r="X99" s="134">
        <f t="shared" si="24"/>
        <v>7.5</v>
      </c>
      <c r="Y99" s="134">
        <f t="shared" si="25"/>
        <v>10</v>
      </c>
      <c r="Z99" s="134">
        <f t="shared" si="3"/>
        <v>882.24000000000206</v>
      </c>
      <c r="AA99" s="134">
        <f t="shared" si="36"/>
        <v>2.3526666666666718</v>
      </c>
      <c r="AB99" s="134">
        <f t="shared" si="4"/>
        <v>2.3526666666666718</v>
      </c>
      <c r="AC99" s="134">
        <f t="shared" si="33"/>
        <v>25946.80000000005</v>
      </c>
      <c r="AD99" s="134"/>
      <c r="AE99" s="134">
        <f t="shared" si="5"/>
        <v>0</v>
      </c>
      <c r="AF99" s="134">
        <f t="shared" si="5"/>
        <v>0</v>
      </c>
      <c r="AG99" s="134">
        <f t="shared" si="27"/>
        <v>0</v>
      </c>
      <c r="AH99" s="134">
        <f t="shared" si="6"/>
        <v>0</v>
      </c>
      <c r="AI99" s="134">
        <f t="shared" si="28"/>
        <v>0</v>
      </c>
      <c r="AJ99" s="134">
        <f t="shared" si="7"/>
        <v>0</v>
      </c>
      <c r="AK99" s="134">
        <f t="shared" si="8"/>
        <v>810.84000000000162</v>
      </c>
      <c r="AL99" s="134">
        <f t="shared" si="37"/>
        <v>0</v>
      </c>
      <c r="AM99" s="134">
        <f t="shared" si="38"/>
        <v>0</v>
      </c>
      <c r="AN99" s="132">
        <f t="shared" si="29"/>
        <v>4</v>
      </c>
      <c r="AO99" s="132">
        <f t="shared" si="9"/>
        <v>4</v>
      </c>
      <c r="AP99" s="2">
        <f t="shared" si="30"/>
        <v>2021</v>
      </c>
      <c r="AQ99" s="2">
        <f t="shared" si="10"/>
        <v>2021</v>
      </c>
      <c r="AR99" s="2">
        <f t="shared" si="11"/>
        <v>0</v>
      </c>
      <c r="AS99" s="2">
        <f t="shared" si="12"/>
        <v>30</v>
      </c>
      <c r="AT99" s="2">
        <f t="shared" si="13"/>
        <v>20</v>
      </c>
      <c r="AU99" s="2">
        <f t="shared" si="31"/>
        <v>30</v>
      </c>
      <c r="AV99" s="2"/>
      <c r="AW99" s="2"/>
      <c r="AX99" s="2"/>
      <c r="AY99" s="2"/>
      <c r="AZ99" s="2"/>
      <c r="BA99" s="2">
        <f t="shared" si="14"/>
        <v>1</v>
      </c>
      <c r="BB99" s="2"/>
      <c r="BC99" s="2"/>
      <c r="BD99" s="2"/>
      <c r="BE99" s="2"/>
      <c r="BF99" s="2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</row>
    <row r="100" spans="1:143" s="24" customFormat="1" ht="15" customHeight="1">
      <c r="A100" s="4">
        <v>29</v>
      </c>
      <c r="B100" s="268">
        <f t="shared" si="16"/>
        <v>44336</v>
      </c>
      <c r="C100" s="268"/>
      <c r="D100" s="269">
        <f>IF(O100=0,IF(O99=1,SUM(D$72:F99)," "),IF(O100=0," ",IF(O101=1,D$72,IF(O101=0,D$4-D$72*(N$60-1)," "))))</f>
        <v>81.08</v>
      </c>
      <c r="E100" s="269"/>
      <c r="F100" s="269"/>
      <c r="G100" s="87">
        <f>IF(O100=0,IF(O99=1,SUM(G$72:G99)," "),IF(N$41=1,Q100,IF(N$41=2,R100," ")))</f>
        <v>1.9595333333333373</v>
      </c>
      <c r="H100" s="87">
        <v>0</v>
      </c>
      <c r="I100" s="87">
        <f t="shared" si="17"/>
        <v>83.039533333333338</v>
      </c>
      <c r="J100" s="87">
        <f t="shared" si="18"/>
        <v>88.240000000000009</v>
      </c>
      <c r="K100" s="87">
        <f t="shared" si="0"/>
        <v>2.1320666666666721</v>
      </c>
      <c r="L100" s="87">
        <v>0</v>
      </c>
      <c r="M100" s="87">
        <f t="shared" si="19"/>
        <v>90.372066666666683</v>
      </c>
      <c r="N100" s="2">
        <v>29</v>
      </c>
      <c r="O100" s="2">
        <f t="shared" si="32"/>
        <v>1</v>
      </c>
      <c r="P100" s="2">
        <f t="shared" si="1"/>
        <v>20</v>
      </c>
      <c r="Q100" s="134">
        <f t="shared" si="2"/>
        <v>1.9595333333333373</v>
      </c>
      <c r="R100" s="134">
        <f t="shared" si="2"/>
        <v>1.9595333333333373</v>
      </c>
      <c r="S100" s="134">
        <f t="shared" si="21"/>
        <v>729.76000000000158</v>
      </c>
      <c r="T100" s="134">
        <f t="shared" si="22"/>
        <v>81.08</v>
      </c>
      <c r="U100" s="134">
        <f t="shared" si="23"/>
        <v>81.08</v>
      </c>
      <c r="V100" s="134">
        <f t="shared" si="34"/>
        <v>1.9595333333333373</v>
      </c>
      <c r="W100" s="134">
        <f t="shared" si="35"/>
        <v>1.9595333333333373</v>
      </c>
      <c r="X100" s="134">
        <f t="shared" si="24"/>
        <v>7.5</v>
      </c>
      <c r="Y100" s="134">
        <f t="shared" si="25"/>
        <v>10</v>
      </c>
      <c r="Z100" s="134">
        <f t="shared" si="3"/>
        <v>794.00000000000205</v>
      </c>
      <c r="AA100" s="134">
        <f t="shared" si="36"/>
        <v>2.1320666666666721</v>
      </c>
      <c r="AB100" s="134">
        <f t="shared" si="4"/>
        <v>2.1320666666666721</v>
      </c>
      <c r="AC100" s="134">
        <f t="shared" si="33"/>
        <v>23514.400000000049</v>
      </c>
      <c r="AD100" s="134"/>
      <c r="AE100" s="134">
        <f t="shared" si="5"/>
        <v>0</v>
      </c>
      <c r="AF100" s="134">
        <f t="shared" si="5"/>
        <v>0</v>
      </c>
      <c r="AG100" s="134">
        <f t="shared" si="27"/>
        <v>0</v>
      </c>
      <c r="AH100" s="134">
        <f t="shared" si="6"/>
        <v>0</v>
      </c>
      <c r="AI100" s="134">
        <f t="shared" si="28"/>
        <v>0</v>
      </c>
      <c r="AJ100" s="134">
        <f t="shared" si="7"/>
        <v>0</v>
      </c>
      <c r="AK100" s="134">
        <f t="shared" si="8"/>
        <v>729.76000000000158</v>
      </c>
      <c r="AL100" s="134">
        <f t="shared" si="37"/>
        <v>0</v>
      </c>
      <c r="AM100" s="134">
        <f t="shared" si="38"/>
        <v>0</v>
      </c>
      <c r="AN100" s="132">
        <f t="shared" si="29"/>
        <v>5</v>
      </c>
      <c r="AO100" s="132">
        <f t="shared" si="9"/>
        <v>5</v>
      </c>
      <c r="AP100" s="2">
        <f t="shared" si="30"/>
        <v>2021</v>
      </c>
      <c r="AQ100" s="2">
        <f t="shared" si="10"/>
        <v>2021</v>
      </c>
      <c r="AR100" s="2">
        <f t="shared" si="11"/>
        <v>0</v>
      </c>
      <c r="AS100" s="2">
        <f t="shared" si="12"/>
        <v>30</v>
      </c>
      <c r="AT100" s="2">
        <f t="shared" si="13"/>
        <v>20</v>
      </c>
      <c r="AU100" s="2">
        <f t="shared" si="31"/>
        <v>30</v>
      </c>
      <c r="AV100" s="2"/>
      <c r="AW100" s="2"/>
      <c r="AX100" s="2"/>
      <c r="AY100" s="2"/>
      <c r="AZ100" s="2"/>
      <c r="BA100" s="2">
        <f t="shared" si="14"/>
        <v>1</v>
      </c>
      <c r="BB100" s="2"/>
      <c r="BC100" s="2"/>
      <c r="BD100" s="2"/>
      <c r="BE100" s="2"/>
      <c r="BF100" s="2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</row>
    <row r="101" spans="1:143" s="24" customFormat="1" ht="15" customHeight="1">
      <c r="A101" s="4">
        <v>30</v>
      </c>
      <c r="B101" s="268">
        <f t="shared" si="16"/>
        <v>44367</v>
      </c>
      <c r="C101" s="268"/>
      <c r="D101" s="269">
        <f>IF(O101=0,IF(O100=1,SUM(D$72:F100)," "),IF(O101=0," ",IF(O102=1,D$72,IF(O102=0,D$4-D$72*(N$60-1)," "))))</f>
        <v>81.08</v>
      </c>
      <c r="E101" s="269"/>
      <c r="F101" s="269"/>
      <c r="G101" s="87">
        <f>IF(O101=0,IF(O100=1,SUM(G$72:G100)," "),IF(N$41=1,Q101,IF(N$41=2,R101," ")))</f>
        <v>1.7568333333333372</v>
      </c>
      <c r="H101" s="87">
        <v>0</v>
      </c>
      <c r="I101" s="87">
        <f t="shared" si="17"/>
        <v>82.836833333333331</v>
      </c>
      <c r="J101" s="87">
        <f t="shared" si="18"/>
        <v>88.240000000000009</v>
      </c>
      <c r="K101" s="87">
        <f t="shared" si="0"/>
        <v>1.911466666666672</v>
      </c>
      <c r="L101" s="87">
        <v>0</v>
      </c>
      <c r="M101" s="87">
        <f t="shared" si="19"/>
        <v>90.151466666666678</v>
      </c>
      <c r="N101" s="2">
        <v>30</v>
      </c>
      <c r="O101" s="2">
        <f t="shared" si="32"/>
        <v>1</v>
      </c>
      <c r="P101" s="2">
        <f t="shared" si="1"/>
        <v>20</v>
      </c>
      <c r="Q101" s="134">
        <f t="shared" si="2"/>
        <v>1.7568333333333372</v>
      </c>
      <c r="R101" s="134">
        <f t="shared" si="2"/>
        <v>1.7568333333333372</v>
      </c>
      <c r="S101" s="134">
        <f t="shared" si="21"/>
        <v>648.68000000000154</v>
      </c>
      <c r="T101" s="134">
        <f t="shared" si="22"/>
        <v>81.08</v>
      </c>
      <c r="U101" s="134">
        <f t="shared" si="23"/>
        <v>81.08</v>
      </c>
      <c r="V101" s="134">
        <f t="shared" si="34"/>
        <v>1.7568333333333372</v>
      </c>
      <c r="W101" s="134">
        <f t="shared" si="35"/>
        <v>1.7568333333333372</v>
      </c>
      <c r="X101" s="134">
        <f t="shared" si="24"/>
        <v>7.5</v>
      </c>
      <c r="Y101" s="134">
        <f t="shared" si="25"/>
        <v>10</v>
      </c>
      <c r="Z101" s="134">
        <f t="shared" si="3"/>
        <v>705.76000000000204</v>
      </c>
      <c r="AA101" s="134">
        <f t="shared" si="36"/>
        <v>1.911466666666672</v>
      </c>
      <c r="AB101" s="134">
        <f t="shared" si="4"/>
        <v>1.911466666666672</v>
      </c>
      <c r="AC101" s="134">
        <f t="shared" si="33"/>
        <v>21082.000000000047</v>
      </c>
      <c r="AD101" s="134"/>
      <c r="AE101" s="134">
        <f t="shared" si="5"/>
        <v>0</v>
      </c>
      <c r="AF101" s="134">
        <f t="shared" si="5"/>
        <v>0</v>
      </c>
      <c r="AG101" s="134">
        <f t="shared" si="27"/>
        <v>0</v>
      </c>
      <c r="AH101" s="134">
        <f t="shared" si="6"/>
        <v>0</v>
      </c>
      <c r="AI101" s="134">
        <f t="shared" si="28"/>
        <v>0</v>
      </c>
      <c r="AJ101" s="134">
        <f t="shared" si="7"/>
        <v>0</v>
      </c>
      <c r="AK101" s="134">
        <f t="shared" si="8"/>
        <v>648.68000000000154</v>
      </c>
      <c r="AL101" s="134">
        <f t="shared" si="37"/>
        <v>0</v>
      </c>
      <c r="AM101" s="134">
        <f t="shared" si="38"/>
        <v>0</v>
      </c>
      <c r="AN101" s="132">
        <f t="shared" si="29"/>
        <v>6</v>
      </c>
      <c r="AO101" s="132">
        <f t="shared" si="9"/>
        <v>6</v>
      </c>
      <c r="AP101" s="2">
        <f t="shared" si="30"/>
        <v>2021</v>
      </c>
      <c r="AQ101" s="2">
        <f t="shared" si="10"/>
        <v>2021</v>
      </c>
      <c r="AR101" s="2">
        <f t="shared" si="11"/>
        <v>0</v>
      </c>
      <c r="AS101" s="2">
        <f t="shared" si="12"/>
        <v>30</v>
      </c>
      <c r="AT101" s="2">
        <f t="shared" si="13"/>
        <v>20</v>
      </c>
      <c r="AU101" s="2">
        <f t="shared" si="31"/>
        <v>30</v>
      </c>
      <c r="AV101" s="2"/>
      <c r="AW101" s="2"/>
      <c r="AX101" s="2"/>
      <c r="AY101" s="2"/>
      <c r="AZ101" s="2"/>
      <c r="BA101" s="2">
        <f t="shared" si="14"/>
        <v>1</v>
      </c>
      <c r="BB101" s="2"/>
      <c r="BC101" s="2"/>
      <c r="BD101" s="2"/>
      <c r="BE101" s="2"/>
      <c r="BF101" s="2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</row>
    <row r="102" spans="1:143" s="24" customFormat="1" ht="15" customHeight="1">
      <c r="A102" s="4">
        <v>31</v>
      </c>
      <c r="B102" s="268">
        <f t="shared" si="16"/>
        <v>44397</v>
      </c>
      <c r="C102" s="268"/>
      <c r="D102" s="269">
        <f>IF(O102=0,IF(O101=1,SUM(D$72:F101)," "),IF(O102=0," ",IF(O103=1,D$72,IF(O103=0,D$4-D$72*(N$60-1)," "))))</f>
        <v>81.08</v>
      </c>
      <c r="E102" s="269"/>
      <c r="F102" s="269"/>
      <c r="G102" s="87">
        <f>IF(O102=0,IF(O101=1,SUM(G$72:G101)," "),IF(N$41=1,Q102,IF(N$41=2,R102," ")))</f>
        <v>1.5541333333333371</v>
      </c>
      <c r="H102" s="87">
        <v>0</v>
      </c>
      <c r="I102" s="87">
        <f t="shared" si="17"/>
        <v>82.634133333333338</v>
      </c>
      <c r="J102" s="87">
        <f t="shared" si="18"/>
        <v>88.240000000000009</v>
      </c>
      <c r="K102" s="87">
        <f t="shared" si="0"/>
        <v>1.6908666666666718</v>
      </c>
      <c r="L102" s="87">
        <v>0</v>
      </c>
      <c r="M102" s="87">
        <f t="shared" si="19"/>
        <v>89.930866666666674</v>
      </c>
      <c r="N102" s="2">
        <v>31</v>
      </c>
      <c r="O102" s="2">
        <f t="shared" si="32"/>
        <v>1</v>
      </c>
      <c r="P102" s="2">
        <f t="shared" si="1"/>
        <v>20</v>
      </c>
      <c r="Q102" s="134">
        <f t="shared" si="2"/>
        <v>1.5541333333333371</v>
      </c>
      <c r="R102" s="134">
        <f t="shared" si="2"/>
        <v>1.5541333333333371</v>
      </c>
      <c r="S102" s="134">
        <f t="shared" si="21"/>
        <v>567.6000000000015</v>
      </c>
      <c r="T102" s="134">
        <f t="shared" si="22"/>
        <v>81.08</v>
      </c>
      <c r="U102" s="134">
        <f t="shared" si="23"/>
        <v>81.08</v>
      </c>
      <c r="V102" s="134">
        <f t="shared" si="34"/>
        <v>1.5541333333333371</v>
      </c>
      <c r="W102" s="134">
        <f t="shared" si="35"/>
        <v>1.5541333333333371</v>
      </c>
      <c r="X102" s="134">
        <f t="shared" si="24"/>
        <v>7.5</v>
      </c>
      <c r="Y102" s="134">
        <f t="shared" si="25"/>
        <v>10</v>
      </c>
      <c r="Z102" s="134">
        <f t="shared" si="3"/>
        <v>617.52000000000203</v>
      </c>
      <c r="AA102" s="134">
        <f t="shared" si="36"/>
        <v>1.6908666666666718</v>
      </c>
      <c r="AB102" s="134">
        <f t="shared" si="4"/>
        <v>1.6908666666666718</v>
      </c>
      <c r="AC102" s="134">
        <f t="shared" si="33"/>
        <v>18649.600000000046</v>
      </c>
      <c r="AD102" s="134"/>
      <c r="AE102" s="134">
        <f t="shared" si="5"/>
        <v>0</v>
      </c>
      <c r="AF102" s="134">
        <f t="shared" si="5"/>
        <v>0</v>
      </c>
      <c r="AG102" s="134">
        <f t="shared" si="27"/>
        <v>0</v>
      </c>
      <c r="AH102" s="134">
        <f t="shared" si="6"/>
        <v>0</v>
      </c>
      <c r="AI102" s="134">
        <f t="shared" si="28"/>
        <v>0</v>
      </c>
      <c r="AJ102" s="134">
        <f t="shared" si="7"/>
        <v>0</v>
      </c>
      <c r="AK102" s="134">
        <f t="shared" si="8"/>
        <v>567.6000000000015</v>
      </c>
      <c r="AL102" s="134">
        <f t="shared" si="37"/>
        <v>0</v>
      </c>
      <c r="AM102" s="134">
        <f t="shared" si="38"/>
        <v>0</v>
      </c>
      <c r="AN102" s="132">
        <f t="shared" si="29"/>
        <v>7</v>
      </c>
      <c r="AO102" s="132">
        <f t="shared" si="9"/>
        <v>7</v>
      </c>
      <c r="AP102" s="2">
        <f t="shared" si="30"/>
        <v>2021</v>
      </c>
      <c r="AQ102" s="2">
        <f t="shared" si="10"/>
        <v>2021</v>
      </c>
      <c r="AR102" s="2">
        <f t="shared" si="11"/>
        <v>0</v>
      </c>
      <c r="AS102" s="2">
        <f t="shared" si="12"/>
        <v>30</v>
      </c>
      <c r="AT102" s="2">
        <f t="shared" si="13"/>
        <v>20</v>
      </c>
      <c r="AU102" s="2">
        <f t="shared" si="31"/>
        <v>30</v>
      </c>
      <c r="AV102" s="2"/>
      <c r="AW102" s="2"/>
      <c r="AX102" s="2"/>
      <c r="AY102" s="2"/>
      <c r="AZ102" s="2"/>
      <c r="BA102" s="2">
        <f t="shared" si="14"/>
        <v>1</v>
      </c>
      <c r="BB102" s="2"/>
      <c r="BC102" s="2"/>
      <c r="BD102" s="2"/>
      <c r="BE102" s="2"/>
      <c r="BF102" s="2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</row>
    <row r="103" spans="1:143" s="24" customFormat="1" ht="15" customHeight="1">
      <c r="A103" s="4">
        <v>32</v>
      </c>
      <c r="B103" s="268">
        <f t="shared" si="16"/>
        <v>44428</v>
      </c>
      <c r="C103" s="268"/>
      <c r="D103" s="269">
        <f>IF(O103=0,IF(O102=1,SUM(D$72:F102)," "),IF(O103=0," ",IF(O104=1,D$72,IF(O104=0,D$4-D$72*(N$60-1)," "))))</f>
        <v>81.08</v>
      </c>
      <c r="E103" s="269"/>
      <c r="F103" s="269"/>
      <c r="G103" s="87">
        <f>IF(O103=0,IF(O102=1,SUM(G$72:G102)," "),IF(N$41=1,Q103,IF(N$41=2,R103," ")))</f>
        <v>1.351433333333337</v>
      </c>
      <c r="H103" s="87">
        <v>0</v>
      </c>
      <c r="I103" s="87">
        <f t="shared" si="17"/>
        <v>82.431433333333331</v>
      </c>
      <c r="J103" s="87">
        <f t="shared" si="18"/>
        <v>88.240000000000009</v>
      </c>
      <c r="K103" s="87">
        <f t="shared" si="0"/>
        <v>1.4702666666666717</v>
      </c>
      <c r="L103" s="87">
        <v>0</v>
      </c>
      <c r="M103" s="87">
        <f t="shared" si="19"/>
        <v>89.710266666666683</v>
      </c>
      <c r="N103" s="2">
        <v>32</v>
      </c>
      <c r="O103" s="2">
        <f t="shared" si="32"/>
        <v>1</v>
      </c>
      <c r="P103" s="2">
        <f t="shared" si="1"/>
        <v>20</v>
      </c>
      <c r="Q103" s="134">
        <f t="shared" si="2"/>
        <v>1.351433333333337</v>
      </c>
      <c r="R103" s="134">
        <f t="shared" si="2"/>
        <v>1.351433333333337</v>
      </c>
      <c r="S103" s="134">
        <f t="shared" si="21"/>
        <v>486.52000000000152</v>
      </c>
      <c r="T103" s="134">
        <f t="shared" si="22"/>
        <v>81.08</v>
      </c>
      <c r="U103" s="134">
        <f t="shared" si="23"/>
        <v>81.08</v>
      </c>
      <c r="V103" s="134">
        <f t="shared" si="34"/>
        <v>1.351433333333337</v>
      </c>
      <c r="W103" s="134">
        <f t="shared" si="35"/>
        <v>1.351433333333337</v>
      </c>
      <c r="X103" s="134">
        <f t="shared" si="24"/>
        <v>7.5</v>
      </c>
      <c r="Y103" s="134">
        <f t="shared" si="25"/>
        <v>10</v>
      </c>
      <c r="Z103" s="134">
        <f t="shared" si="3"/>
        <v>529.28000000000202</v>
      </c>
      <c r="AA103" s="134">
        <f t="shared" si="36"/>
        <v>1.4702666666666717</v>
      </c>
      <c r="AB103" s="134">
        <f t="shared" si="4"/>
        <v>1.4702666666666717</v>
      </c>
      <c r="AC103" s="134">
        <f t="shared" si="33"/>
        <v>16217.200000000044</v>
      </c>
      <c r="AD103" s="134"/>
      <c r="AE103" s="134">
        <f t="shared" si="5"/>
        <v>0</v>
      </c>
      <c r="AF103" s="134">
        <f t="shared" si="5"/>
        <v>0</v>
      </c>
      <c r="AG103" s="134">
        <f t="shared" si="27"/>
        <v>0</v>
      </c>
      <c r="AH103" s="134">
        <f t="shared" si="6"/>
        <v>0</v>
      </c>
      <c r="AI103" s="134">
        <f t="shared" si="28"/>
        <v>0</v>
      </c>
      <c r="AJ103" s="134">
        <f t="shared" si="7"/>
        <v>0</v>
      </c>
      <c r="AK103" s="134">
        <f t="shared" si="8"/>
        <v>486.52000000000152</v>
      </c>
      <c r="AL103" s="134">
        <f t="shared" si="37"/>
        <v>0</v>
      </c>
      <c r="AM103" s="134">
        <f t="shared" si="38"/>
        <v>0</v>
      </c>
      <c r="AN103" s="132">
        <f t="shared" si="29"/>
        <v>8</v>
      </c>
      <c r="AO103" s="132">
        <f t="shared" si="9"/>
        <v>8</v>
      </c>
      <c r="AP103" s="2">
        <f t="shared" si="30"/>
        <v>2021</v>
      </c>
      <c r="AQ103" s="2">
        <f t="shared" si="10"/>
        <v>2021</v>
      </c>
      <c r="AR103" s="2">
        <f t="shared" si="11"/>
        <v>0</v>
      </c>
      <c r="AS103" s="2">
        <f t="shared" si="12"/>
        <v>30</v>
      </c>
      <c r="AT103" s="2">
        <f t="shared" si="13"/>
        <v>20</v>
      </c>
      <c r="AU103" s="2">
        <f t="shared" si="31"/>
        <v>30</v>
      </c>
      <c r="AV103" s="2"/>
      <c r="AW103" s="2"/>
      <c r="AX103" s="2"/>
      <c r="AY103" s="2"/>
      <c r="AZ103" s="2"/>
      <c r="BA103" s="2">
        <f t="shared" si="14"/>
        <v>1</v>
      </c>
      <c r="BB103" s="2"/>
      <c r="BC103" s="2"/>
      <c r="BD103" s="2"/>
      <c r="BE103" s="2"/>
      <c r="BF103" s="2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</row>
    <row r="104" spans="1:143" s="24" customFormat="1" ht="15" customHeight="1">
      <c r="A104" s="4">
        <v>33</v>
      </c>
      <c r="B104" s="268">
        <f t="shared" si="16"/>
        <v>44459</v>
      </c>
      <c r="C104" s="268"/>
      <c r="D104" s="269">
        <f>IF(O104=0,IF(O103=1,SUM(D$72:F103)," "),IF(O104=0," ",IF(O105=1,D$72,IF(O105=0,D$4-D$72*(N$60-1)," "))))</f>
        <v>81.08</v>
      </c>
      <c r="E104" s="269"/>
      <c r="F104" s="269"/>
      <c r="G104" s="87">
        <f>IF(O104=0,IF(O103=1,SUM(G$72:G103)," "),IF(N$41=1,Q104,IF(N$41=2,R104," ")))</f>
        <v>1.1487333333333372</v>
      </c>
      <c r="H104" s="87">
        <v>0</v>
      </c>
      <c r="I104" s="87">
        <f t="shared" si="17"/>
        <v>82.228733333333338</v>
      </c>
      <c r="J104" s="87">
        <f t="shared" si="18"/>
        <v>88.240000000000009</v>
      </c>
      <c r="K104" s="87">
        <f t="shared" si="0"/>
        <v>1.2496666666666716</v>
      </c>
      <c r="L104" s="87">
        <v>0</v>
      </c>
      <c r="M104" s="87">
        <f t="shared" si="19"/>
        <v>89.489666666666679</v>
      </c>
      <c r="N104" s="2">
        <v>33</v>
      </c>
      <c r="O104" s="2">
        <f t="shared" si="32"/>
        <v>1</v>
      </c>
      <c r="P104" s="2">
        <f t="shared" si="1"/>
        <v>20</v>
      </c>
      <c r="Q104" s="134">
        <f t="shared" ref="Q104:R132" si="39">V104</f>
        <v>1.1487333333333372</v>
      </c>
      <c r="R104" s="134">
        <f t="shared" si="39"/>
        <v>1.1487333333333372</v>
      </c>
      <c r="S104" s="134">
        <f t="shared" si="21"/>
        <v>405.44000000000153</v>
      </c>
      <c r="T104" s="134">
        <f t="shared" si="22"/>
        <v>81.08</v>
      </c>
      <c r="U104" s="134">
        <f t="shared" si="23"/>
        <v>81.08</v>
      </c>
      <c r="V104" s="134">
        <f t="shared" si="34"/>
        <v>1.1487333333333372</v>
      </c>
      <c r="W104" s="134">
        <f t="shared" si="35"/>
        <v>1.1487333333333372</v>
      </c>
      <c r="X104" s="134">
        <f t="shared" si="24"/>
        <v>7.5</v>
      </c>
      <c r="Y104" s="134">
        <f t="shared" si="25"/>
        <v>10</v>
      </c>
      <c r="Z104" s="134">
        <f t="shared" si="3"/>
        <v>441.04000000000201</v>
      </c>
      <c r="AA104" s="134">
        <f t="shared" si="36"/>
        <v>1.2496666666666716</v>
      </c>
      <c r="AB104" s="134">
        <f t="shared" si="4"/>
        <v>1.2496666666666716</v>
      </c>
      <c r="AC104" s="134">
        <f t="shared" si="33"/>
        <v>13784.800000000047</v>
      </c>
      <c r="AD104" s="134"/>
      <c r="AE104" s="134">
        <f t="shared" ref="AE104:AF132" si="40">IF(AL104&lt;&gt;0,IF(VALUE(RIGHT(ROUND(AL104,0)))&lt;=5,ROUND(AL104,0)-VALUE(RIGHT(ROUND(AL104,0))),ROUND(AL104,0)+10-VALUE(RIGHT(ROUND(AL104,0)))),0)</f>
        <v>0</v>
      </c>
      <c r="AF104" s="134">
        <f t="shared" si="40"/>
        <v>0</v>
      </c>
      <c r="AG104" s="134">
        <f t="shared" si="27"/>
        <v>0</v>
      </c>
      <c r="AH104" s="134">
        <f t="shared" si="6"/>
        <v>0</v>
      </c>
      <c r="AI104" s="134">
        <f t="shared" si="28"/>
        <v>0</v>
      </c>
      <c r="AJ104" s="134">
        <f t="shared" si="7"/>
        <v>0</v>
      </c>
      <c r="AK104" s="134">
        <f t="shared" si="8"/>
        <v>405.44000000000153</v>
      </c>
      <c r="AL104" s="134">
        <f t="shared" si="37"/>
        <v>0</v>
      </c>
      <c r="AM104" s="134">
        <f t="shared" si="38"/>
        <v>0</v>
      </c>
      <c r="AN104" s="132">
        <f t="shared" si="29"/>
        <v>9</v>
      </c>
      <c r="AO104" s="132">
        <f t="shared" si="9"/>
        <v>9</v>
      </c>
      <c r="AP104" s="2">
        <f t="shared" si="30"/>
        <v>2021</v>
      </c>
      <c r="AQ104" s="2">
        <f t="shared" si="10"/>
        <v>2021</v>
      </c>
      <c r="AR104" s="2">
        <f t="shared" si="11"/>
        <v>0</v>
      </c>
      <c r="AS104" s="2">
        <f t="shared" si="12"/>
        <v>30</v>
      </c>
      <c r="AT104" s="2">
        <f t="shared" si="13"/>
        <v>20</v>
      </c>
      <c r="AU104" s="2">
        <f t="shared" si="31"/>
        <v>30</v>
      </c>
      <c r="AV104" s="2"/>
      <c r="AW104" s="2"/>
      <c r="AX104" s="2"/>
      <c r="AY104" s="2"/>
      <c r="AZ104" s="2"/>
      <c r="BA104" s="2">
        <f t="shared" si="14"/>
        <v>1</v>
      </c>
      <c r="BB104" s="2"/>
      <c r="BC104" s="2"/>
      <c r="BD104" s="2"/>
      <c r="BE104" s="2"/>
      <c r="BF104" s="2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</row>
    <row r="105" spans="1:143" s="24" customFormat="1" ht="15" customHeight="1">
      <c r="A105" s="4">
        <v>34</v>
      </c>
      <c r="B105" s="268">
        <f t="shared" si="16"/>
        <v>44489</v>
      </c>
      <c r="C105" s="268"/>
      <c r="D105" s="269">
        <f>IF(O105=0,IF(O104=1,SUM(D$72:F104)," "),IF(O105=0," ",IF(O106=1,D$72,IF(O106=0,D$4-D$72*(N$60-1)," "))))</f>
        <v>81.08</v>
      </c>
      <c r="E105" s="269"/>
      <c r="F105" s="269"/>
      <c r="G105" s="87">
        <f>IF(O105=0,IF(O104=1,SUM(G$72:G104)," "),IF(N$41=1,Q105,IF(N$41=2,R105," ")))</f>
        <v>0.94603333333333728</v>
      </c>
      <c r="H105" s="87">
        <v>0</v>
      </c>
      <c r="I105" s="87">
        <f t="shared" si="17"/>
        <v>82.026033333333331</v>
      </c>
      <c r="J105" s="87">
        <f t="shared" si="18"/>
        <v>88.240000000000009</v>
      </c>
      <c r="K105" s="87">
        <f t="shared" si="0"/>
        <v>1.0290666666666717</v>
      </c>
      <c r="L105" s="87">
        <v>0</v>
      </c>
      <c r="M105" s="87">
        <f t="shared" si="19"/>
        <v>89.269066666666674</v>
      </c>
      <c r="N105" s="2">
        <v>34</v>
      </c>
      <c r="O105" s="2">
        <f t="shared" si="32"/>
        <v>1</v>
      </c>
      <c r="P105" s="2">
        <f t="shared" si="1"/>
        <v>20</v>
      </c>
      <c r="Q105" s="134">
        <f t="shared" si="39"/>
        <v>0.94603333333333728</v>
      </c>
      <c r="R105" s="134">
        <f t="shared" si="39"/>
        <v>0.94603333333333728</v>
      </c>
      <c r="S105" s="134">
        <f t="shared" si="21"/>
        <v>324.36000000000155</v>
      </c>
      <c r="T105" s="134">
        <f t="shared" si="22"/>
        <v>81.08</v>
      </c>
      <c r="U105" s="134">
        <f t="shared" si="23"/>
        <v>81.08</v>
      </c>
      <c r="V105" s="134">
        <f t="shared" si="34"/>
        <v>0.94603333333333728</v>
      </c>
      <c r="W105" s="134">
        <f t="shared" si="35"/>
        <v>0.94603333333333728</v>
      </c>
      <c r="X105" s="134">
        <f t="shared" si="24"/>
        <v>7.5</v>
      </c>
      <c r="Y105" s="134">
        <f t="shared" si="25"/>
        <v>10</v>
      </c>
      <c r="Z105" s="134">
        <f t="shared" si="3"/>
        <v>352.800000000002</v>
      </c>
      <c r="AA105" s="134">
        <f t="shared" si="36"/>
        <v>1.0290666666666717</v>
      </c>
      <c r="AB105" s="134">
        <f t="shared" si="4"/>
        <v>1.0290666666666717</v>
      </c>
      <c r="AC105" s="134">
        <f t="shared" si="33"/>
        <v>11352.400000000045</v>
      </c>
      <c r="AD105" s="134"/>
      <c r="AE105" s="134">
        <f t="shared" si="40"/>
        <v>0</v>
      </c>
      <c r="AF105" s="134">
        <f t="shared" si="40"/>
        <v>0</v>
      </c>
      <c r="AG105" s="134">
        <f t="shared" si="27"/>
        <v>0</v>
      </c>
      <c r="AH105" s="134">
        <f t="shared" si="6"/>
        <v>0</v>
      </c>
      <c r="AI105" s="134">
        <f t="shared" si="28"/>
        <v>0</v>
      </c>
      <c r="AJ105" s="134">
        <f t="shared" si="7"/>
        <v>0</v>
      </c>
      <c r="AK105" s="134">
        <f t="shared" si="8"/>
        <v>324.36000000000155</v>
      </c>
      <c r="AL105" s="134">
        <f t="shared" si="37"/>
        <v>0</v>
      </c>
      <c r="AM105" s="134">
        <f t="shared" si="38"/>
        <v>0</v>
      </c>
      <c r="AN105" s="132">
        <f t="shared" si="29"/>
        <v>10</v>
      </c>
      <c r="AO105" s="132">
        <f t="shared" si="9"/>
        <v>10</v>
      </c>
      <c r="AP105" s="2">
        <f t="shared" si="30"/>
        <v>2021</v>
      </c>
      <c r="AQ105" s="2">
        <f t="shared" si="10"/>
        <v>2021</v>
      </c>
      <c r="AR105" s="2">
        <f t="shared" si="11"/>
        <v>0</v>
      </c>
      <c r="AS105" s="2">
        <f t="shared" si="12"/>
        <v>30</v>
      </c>
      <c r="AT105" s="2">
        <f t="shared" si="13"/>
        <v>20</v>
      </c>
      <c r="AU105" s="2">
        <f t="shared" si="31"/>
        <v>30</v>
      </c>
      <c r="AV105" s="2"/>
      <c r="AW105" s="2"/>
      <c r="AX105" s="2"/>
      <c r="AY105" s="2"/>
      <c r="AZ105" s="2"/>
      <c r="BA105" s="2">
        <f t="shared" si="14"/>
        <v>1</v>
      </c>
      <c r="BB105" s="2"/>
      <c r="BC105" s="2"/>
      <c r="BD105" s="2"/>
      <c r="BE105" s="2"/>
      <c r="BF105" s="2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</row>
    <row r="106" spans="1:143" s="24" customFormat="1" ht="15" customHeight="1">
      <c r="A106" s="4">
        <v>35</v>
      </c>
      <c r="B106" s="268">
        <f t="shared" si="16"/>
        <v>44520</v>
      </c>
      <c r="C106" s="268"/>
      <c r="D106" s="269">
        <f>IF(O106=0,IF(O105=1,SUM(D$72:F105)," "),IF(O106=0," ",IF(O107=1,D$72,IF(O107=0,D$4-D$72*(N$60-1)," "))))</f>
        <v>81.08</v>
      </c>
      <c r="E106" s="269"/>
      <c r="F106" s="269"/>
      <c r="G106" s="87">
        <f>IF(O106=0,IF(O105=1,SUM(G$72:G105)," "),IF(N$41=1,Q106,IF(N$41=2,R106," ")))</f>
        <v>0.74333333333333729</v>
      </c>
      <c r="H106" s="87">
        <v>0</v>
      </c>
      <c r="I106" s="87">
        <f t="shared" si="17"/>
        <v>81.823333333333338</v>
      </c>
      <c r="J106" s="87">
        <f t="shared" si="18"/>
        <v>88.240000000000009</v>
      </c>
      <c r="K106" s="87">
        <f t="shared" si="0"/>
        <v>0.80846666666667155</v>
      </c>
      <c r="L106" s="87">
        <v>0</v>
      </c>
      <c r="M106" s="87">
        <f t="shared" si="19"/>
        <v>89.048466666666684</v>
      </c>
      <c r="N106" s="2">
        <v>35</v>
      </c>
      <c r="O106" s="2">
        <f t="shared" si="32"/>
        <v>1</v>
      </c>
      <c r="P106" s="2">
        <f t="shared" si="1"/>
        <v>20</v>
      </c>
      <c r="Q106" s="134">
        <f t="shared" si="39"/>
        <v>0.74333333333333729</v>
      </c>
      <c r="R106" s="134">
        <f t="shared" si="39"/>
        <v>0.74333333333333729</v>
      </c>
      <c r="S106" s="134">
        <f t="shared" si="21"/>
        <v>243.28000000000156</v>
      </c>
      <c r="T106" s="134">
        <f t="shared" si="22"/>
        <v>81.08</v>
      </c>
      <c r="U106" s="134">
        <f t="shared" si="23"/>
        <v>81.08</v>
      </c>
      <c r="V106" s="134">
        <f t="shared" si="34"/>
        <v>0.74333333333333729</v>
      </c>
      <c r="W106" s="134">
        <f t="shared" si="35"/>
        <v>0.74333333333333729</v>
      </c>
      <c r="X106" s="134">
        <f t="shared" si="24"/>
        <v>7.5</v>
      </c>
      <c r="Y106" s="134">
        <f t="shared" si="25"/>
        <v>10</v>
      </c>
      <c r="Z106" s="134">
        <f t="shared" si="3"/>
        <v>264.56000000000199</v>
      </c>
      <c r="AA106" s="134">
        <f t="shared" si="36"/>
        <v>0.80846666666667155</v>
      </c>
      <c r="AB106" s="134">
        <f t="shared" si="4"/>
        <v>0.80846666666667155</v>
      </c>
      <c r="AC106" s="134">
        <f t="shared" si="33"/>
        <v>8920.0000000000473</v>
      </c>
      <c r="AD106" s="134"/>
      <c r="AE106" s="134">
        <f t="shared" si="40"/>
        <v>0</v>
      </c>
      <c r="AF106" s="134">
        <f t="shared" si="40"/>
        <v>0</v>
      </c>
      <c r="AG106" s="134">
        <f t="shared" si="27"/>
        <v>0</v>
      </c>
      <c r="AH106" s="134">
        <f t="shared" si="6"/>
        <v>0</v>
      </c>
      <c r="AI106" s="134">
        <f t="shared" si="28"/>
        <v>0</v>
      </c>
      <c r="AJ106" s="134">
        <f t="shared" si="7"/>
        <v>0</v>
      </c>
      <c r="AK106" s="134">
        <f t="shared" si="8"/>
        <v>243.28000000000156</v>
      </c>
      <c r="AL106" s="134">
        <f t="shared" si="37"/>
        <v>0</v>
      </c>
      <c r="AM106" s="134">
        <f t="shared" si="38"/>
        <v>0</v>
      </c>
      <c r="AN106" s="132">
        <f t="shared" si="29"/>
        <v>11</v>
      </c>
      <c r="AO106" s="132">
        <f t="shared" si="9"/>
        <v>11</v>
      </c>
      <c r="AP106" s="2">
        <f t="shared" si="30"/>
        <v>2021</v>
      </c>
      <c r="AQ106" s="2">
        <f t="shared" si="10"/>
        <v>2021</v>
      </c>
      <c r="AR106" s="2">
        <f t="shared" si="11"/>
        <v>0</v>
      </c>
      <c r="AS106" s="2">
        <f t="shared" si="12"/>
        <v>30</v>
      </c>
      <c r="AT106" s="2">
        <f t="shared" si="13"/>
        <v>20</v>
      </c>
      <c r="AU106" s="2">
        <f t="shared" si="31"/>
        <v>30</v>
      </c>
      <c r="AV106" s="2"/>
      <c r="AW106" s="2"/>
      <c r="AX106" s="2"/>
      <c r="AY106" s="2"/>
      <c r="AZ106" s="2"/>
      <c r="BA106" s="2">
        <f t="shared" si="14"/>
        <v>1</v>
      </c>
      <c r="BB106" s="2"/>
      <c r="BC106" s="2"/>
      <c r="BD106" s="2"/>
      <c r="BE106" s="2"/>
      <c r="BF106" s="2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</row>
    <row r="107" spans="1:143" s="24" customFormat="1" ht="15" customHeight="1">
      <c r="A107" s="4">
        <v>36</v>
      </c>
      <c r="B107" s="268">
        <f t="shared" si="16"/>
        <v>44550</v>
      </c>
      <c r="C107" s="268"/>
      <c r="D107" s="269">
        <f>IF(O107=0,IF(O106=1,SUM(D$72:F106)," "),IF(O107=0," ",IF(O108=1,D$72,IF(O108=0,D$4-D$72*(N$60-1)," "))))</f>
        <v>81.08</v>
      </c>
      <c r="E107" s="269"/>
      <c r="F107" s="269"/>
      <c r="G107" s="87">
        <f>IF(O107=0,IF(O106=1,SUM(G$72:G106)," "),IF(N$41=1,Q107,IF(N$41=2,R107," ")))</f>
        <v>0.5406333333333373</v>
      </c>
      <c r="H107" s="87">
        <v>0</v>
      </c>
      <c r="I107" s="87">
        <f t="shared" si="17"/>
        <v>81.62063333333333</v>
      </c>
      <c r="J107" s="87">
        <f t="shared" si="18"/>
        <v>88.240000000000009</v>
      </c>
      <c r="K107" s="87">
        <f t="shared" si="0"/>
        <v>0.58786666666667164</v>
      </c>
      <c r="L107" s="87">
        <v>0</v>
      </c>
      <c r="M107" s="87">
        <f t="shared" si="19"/>
        <v>88.827866666666679</v>
      </c>
      <c r="N107" s="2">
        <v>36</v>
      </c>
      <c r="O107" s="2">
        <f t="shared" si="32"/>
        <v>1</v>
      </c>
      <c r="P107" s="2">
        <f t="shared" si="1"/>
        <v>20</v>
      </c>
      <c r="Q107" s="134">
        <f t="shared" si="39"/>
        <v>0.5406333333333373</v>
      </c>
      <c r="R107" s="134">
        <f t="shared" si="39"/>
        <v>0.5406333333333373</v>
      </c>
      <c r="S107" s="134">
        <f t="shared" si="21"/>
        <v>162.20000000000158</v>
      </c>
      <c r="T107" s="134">
        <f t="shared" si="22"/>
        <v>81.08</v>
      </c>
      <c r="U107" s="134">
        <f t="shared" si="23"/>
        <v>81.08</v>
      </c>
      <c r="V107" s="134">
        <f t="shared" si="34"/>
        <v>0.5406333333333373</v>
      </c>
      <c r="W107" s="134">
        <f t="shared" si="35"/>
        <v>0.5406333333333373</v>
      </c>
      <c r="X107" s="134">
        <f t="shared" si="24"/>
        <v>7.5</v>
      </c>
      <c r="Y107" s="134">
        <f t="shared" si="25"/>
        <v>10</v>
      </c>
      <c r="Z107" s="134">
        <f t="shared" si="3"/>
        <v>176.32000000000198</v>
      </c>
      <c r="AA107" s="134">
        <f t="shared" si="36"/>
        <v>0.58786666666667164</v>
      </c>
      <c r="AB107" s="134">
        <f t="shared" si="4"/>
        <v>0.58786666666667164</v>
      </c>
      <c r="AC107" s="134">
        <f t="shared" si="33"/>
        <v>6487.6000000000477</v>
      </c>
      <c r="AD107" s="134"/>
      <c r="AE107" s="134">
        <f t="shared" si="40"/>
        <v>0</v>
      </c>
      <c r="AF107" s="134">
        <f t="shared" si="40"/>
        <v>0</v>
      </c>
      <c r="AG107" s="134">
        <f t="shared" si="27"/>
        <v>0</v>
      </c>
      <c r="AH107" s="134">
        <f t="shared" si="6"/>
        <v>0</v>
      </c>
      <c r="AI107" s="134">
        <f t="shared" si="28"/>
        <v>0</v>
      </c>
      <c r="AJ107" s="134">
        <f t="shared" si="7"/>
        <v>0</v>
      </c>
      <c r="AK107" s="134">
        <f t="shared" si="8"/>
        <v>162.20000000000158</v>
      </c>
      <c r="AL107" s="134">
        <f t="shared" si="37"/>
        <v>0</v>
      </c>
      <c r="AM107" s="134">
        <f t="shared" si="38"/>
        <v>0</v>
      </c>
      <c r="AN107" s="132">
        <f t="shared" si="29"/>
        <v>12</v>
      </c>
      <c r="AO107" s="132">
        <f t="shared" si="9"/>
        <v>12</v>
      </c>
      <c r="AP107" s="2">
        <f t="shared" si="30"/>
        <v>2021</v>
      </c>
      <c r="AQ107" s="2">
        <f t="shared" si="10"/>
        <v>2021</v>
      </c>
      <c r="AR107" s="2">
        <f t="shared" si="11"/>
        <v>0</v>
      </c>
      <c r="AS107" s="2">
        <f t="shared" si="12"/>
        <v>30</v>
      </c>
      <c r="AT107" s="2">
        <f t="shared" si="13"/>
        <v>20</v>
      </c>
      <c r="AU107" s="2">
        <f t="shared" si="31"/>
        <v>30</v>
      </c>
      <c r="AV107" s="2"/>
      <c r="AW107" s="2"/>
      <c r="AX107" s="2"/>
      <c r="AY107" s="2"/>
      <c r="AZ107" s="2"/>
      <c r="BA107" s="2">
        <f t="shared" si="14"/>
        <v>1</v>
      </c>
      <c r="BB107" s="2"/>
      <c r="BC107" s="2"/>
      <c r="BD107" s="2"/>
      <c r="BE107" s="2"/>
      <c r="BF107" s="2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</row>
    <row r="108" spans="1:143" s="24" customFormat="1" ht="15" customHeight="1">
      <c r="A108" s="4">
        <v>37</v>
      </c>
      <c r="B108" s="268">
        <f t="shared" si="16"/>
        <v>44551</v>
      </c>
      <c r="C108" s="268"/>
      <c r="D108" s="269">
        <f>IF(O108=0,IF(O107=1,SUM(D$72:F107)," "),IF(O108=0," ",IF(O109=1,D$72,IF(O109=0,D$4-D$72*(N$60-1)," "))))</f>
        <v>81.119999999999891</v>
      </c>
      <c r="E108" s="269"/>
      <c r="F108" s="269"/>
      <c r="G108" s="87">
        <f>IF(O108=0,IF(O107=1,SUM(G$72:G107)," "),IF(N$41=1,Q108,IF(N$41=2,R108," ")))</f>
        <v>0.27709333333333613</v>
      </c>
      <c r="H108" s="87">
        <v>0</v>
      </c>
      <c r="I108" s="87">
        <f t="shared" si="17"/>
        <v>81.397093333333231</v>
      </c>
      <c r="J108" s="87">
        <f t="shared" si="18"/>
        <v>88.0799999999997</v>
      </c>
      <c r="K108" s="87">
        <f t="shared" si="0"/>
        <v>0.30120666666667018</v>
      </c>
      <c r="L108" s="87">
        <v>0</v>
      </c>
      <c r="M108" s="87">
        <f t="shared" si="19"/>
        <v>88.381206666666372</v>
      </c>
      <c r="N108" s="2">
        <v>37</v>
      </c>
      <c r="O108" s="2">
        <f t="shared" si="32"/>
        <v>1</v>
      </c>
      <c r="P108" s="2">
        <f t="shared" si="1"/>
        <v>21</v>
      </c>
      <c r="Q108" s="134">
        <f t="shared" si="39"/>
        <v>0.27709333333333613</v>
      </c>
      <c r="R108" s="134">
        <f t="shared" si="39"/>
        <v>0.27709333333333613</v>
      </c>
      <c r="S108" s="134">
        <f t="shared" si="21"/>
        <v>81.120000000001582</v>
      </c>
      <c r="T108" s="134">
        <f t="shared" si="22"/>
        <v>81.119999999999891</v>
      </c>
      <c r="U108" s="134">
        <f t="shared" si="23"/>
        <v>81.119999999999891</v>
      </c>
      <c r="V108" s="134">
        <f>IF(O109=1,S107*D$5*20/36000+S108*D$5*10/36000,IF(O109=0,IF(O108=0,0,IF(D$10&gt;20,S107*D$5*20/36000+S108*D$5*(R$58-20)/36000,S108*D$5*R$58/36000))))</f>
        <v>0.27709333333333613</v>
      </c>
      <c r="W108" s="134">
        <f>IF(O109=1,S107*D$5*20/36000+S108*D$5*10/36000,IF(O109=0,IF(O108=0,0,IF(D$10&gt;20,S107*D$5*20/36000+S108*D$5*(R$58-20)/36000,S108*D$5*R$58/36000))))</f>
        <v>0.27709333333333613</v>
      </c>
      <c r="X108" s="134">
        <f t="shared" si="24"/>
        <v>12.75</v>
      </c>
      <c r="Y108" s="134">
        <f t="shared" si="25"/>
        <v>10</v>
      </c>
      <c r="Z108" s="134">
        <f t="shared" si="3"/>
        <v>88.080000000001974</v>
      </c>
      <c r="AA108" s="134">
        <f>IF(O109=1,Z107*D$5*20/36000+Z108*D$5*10/36000,IF(O109=0,IF(O108=0,0,IF(D$10&gt;20,Z107*D$5*20/36000+Z108*D$5*(R$58-20)/36000,Z108*D$5*R$58/36000))))</f>
        <v>0.30120666666667018</v>
      </c>
      <c r="AB108" s="134">
        <f t="shared" si="4"/>
        <v>0.30120666666667018</v>
      </c>
      <c r="AC108" s="134">
        <f t="shared" si="33"/>
        <v>1703.5200000000332</v>
      </c>
      <c r="AD108" s="134"/>
      <c r="AE108" s="134">
        <f t="shared" si="40"/>
        <v>0</v>
      </c>
      <c r="AF108" s="134">
        <f t="shared" si="40"/>
        <v>0</v>
      </c>
      <c r="AG108" s="134">
        <f t="shared" si="27"/>
        <v>0</v>
      </c>
      <c r="AH108" s="134">
        <f t="shared" si="6"/>
        <v>0</v>
      </c>
      <c r="AI108" s="134">
        <f t="shared" si="28"/>
        <v>0</v>
      </c>
      <c r="AJ108" s="134">
        <f t="shared" si="7"/>
        <v>0</v>
      </c>
      <c r="AK108" s="134">
        <f t="shared" si="8"/>
        <v>81.120000000001582</v>
      </c>
      <c r="AL108" s="134">
        <f>IF(O109=1,AK107*H$58*20/36000+AK108*H$58*10/36000,IF(O109=0,IF(O108=0,0,AK108*H$58*R$58/36000)))</f>
        <v>0</v>
      </c>
      <c r="AM108" s="134">
        <f>IF(O109=1,AK107*H$58*20/36000+AK108*H$58*10/36000,IF(O109=0,IF(O108=0,0,AK108*H$58*R$58/36000)))</f>
        <v>0</v>
      </c>
      <c r="AN108" s="132">
        <f t="shared" si="29"/>
        <v>13</v>
      </c>
      <c r="AO108" s="132">
        <f t="shared" si="9"/>
        <v>1</v>
      </c>
      <c r="AP108" s="2">
        <f t="shared" si="30"/>
        <v>2021</v>
      </c>
      <c r="AQ108" s="2">
        <f t="shared" si="10"/>
        <v>2022</v>
      </c>
      <c r="AR108" s="2">
        <f t="shared" si="11"/>
        <v>0</v>
      </c>
      <c r="AS108" s="2">
        <f t="shared" si="12"/>
        <v>30</v>
      </c>
      <c r="AT108" s="2">
        <f t="shared" si="13"/>
        <v>20</v>
      </c>
      <c r="AU108" s="2">
        <f t="shared" si="31"/>
        <v>30</v>
      </c>
      <c r="AV108" s="2"/>
      <c r="AW108" s="2"/>
      <c r="AX108" s="2"/>
      <c r="AY108" s="2"/>
      <c r="AZ108" s="2"/>
      <c r="BA108" s="2">
        <f t="shared" si="14"/>
        <v>1</v>
      </c>
      <c r="BB108" s="2"/>
      <c r="BC108" s="2"/>
      <c r="BD108" s="2"/>
      <c r="BE108" s="2"/>
      <c r="BF108" s="2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</row>
    <row r="109" spans="1:143" s="24" customFormat="1" ht="15" hidden="1" customHeight="1">
      <c r="A109" s="4">
        <v>38</v>
      </c>
      <c r="B109" s="268" t="str">
        <f t="shared" si="16"/>
        <v>ИТОГО</v>
      </c>
      <c r="C109" s="268"/>
      <c r="D109" s="269">
        <f>IF(O109=0,IF(O108=1,SUM(D$72:F108)," "),IF(O109=0," ",IF(O110=1,D$72,IF(O110=0,D$4-D$72*(N$60-1)," "))))</f>
        <v>2999.9999999999986</v>
      </c>
      <c r="E109" s="269"/>
      <c r="F109" s="269"/>
      <c r="G109" s="87">
        <f>IF(O109=0,IF(O108=1,SUM(G$72:G108)," "),IF(N$41=1,Q109,IF(N$41=2,R109," ")))</f>
        <v>141.80576000000011</v>
      </c>
      <c r="H109" s="87">
        <v>0</v>
      </c>
      <c r="I109" s="87">
        <f t="shared" si="17"/>
        <v>3141.8057599999988</v>
      </c>
      <c r="J109" s="87">
        <f t="shared" si="18"/>
        <v>0</v>
      </c>
      <c r="K109" s="87">
        <f t="shared" si="0"/>
        <v>0</v>
      </c>
      <c r="L109" s="87">
        <v>0</v>
      </c>
      <c r="M109" s="87" t="str">
        <f t="shared" si="19"/>
        <v xml:space="preserve"> </v>
      </c>
      <c r="N109" s="2">
        <v>38</v>
      </c>
      <c r="O109" s="2">
        <f t="shared" si="32"/>
        <v>0</v>
      </c>
      <c r="P109" s="2">
        <f t="shared" si="1"/>
        <v>20</v>
      </c>
      <c r="Q109" s="134">
        <f t="shared" si="39"/>
        <v>0</v>
      </c>
      <c r="R109" s="134">
        <f t="shared" si="39"/>
        <v>0</v>
      </c>
      <c r="S109" s="134">
        <f t="shared" si="21"/>
        <v>0</v>
      </c>
      <c r="T109" s="134">
        <f t="shared" si="22"/>
        <v>2999.9999999999986</v>
      </c>
      <c r="U109" s="134">
        <f t="shared" si="23"/>
        <v>2999.9999999999986</v>
      </c>
      <c r="V109" s="134">
        <f t="shared" ref="V109:V119" si="41">IF(O110=1,S108*D$5*20/36000+S109*D$5*10/36000,IF(O110=0,IF(O109=0,0,S109*D$5*R$58/36000+S108*D$5*20/36000+S109*D$5*10/36000)))</f>
        <v>0</v>
      </c>
      <c r="W109" s="134">
        <f t="shared" ref="W109:W119" si="42">IF(O110=1,S108*D$5*20/36000+S109*D$5*10/36000,IF(O110=0,IF(O109=0,0,S109*D$5*R$58/36000+S108*D$5*20/36000+S109*D$5*10/36000)))</f>
        <v>0</v>
      </c>
      <c r="X109" s="134">
        <f t="shared" si="24"/>
        <v>0</v>
      </c>
      <c r="Y109" s="134">
        <f t="shared" si="25"/>
        <v>0</v>
      </c>
      <c r="Z109" s="134">
        <f t="shared" si="3"/>
        <v>2.2737367544323206E-12</v>
      </c>
      <c r="AA109" s="134">
        <f t="shared" ref="AA109:AA119" si="43">IF(O110=1,Z108*D$5*20/36000+Z109*D$5*10/36000,IF(O110=0,IF(O109=0,0,Z109*D$5*R$58/36000+Z108*D$5*20/36000+Z109*D$5*10/36000)))</f>
        <v>0</v>
      </c>
      <c r="AB109" s="134">
        <f t="shared" si="4"/>
        <v>0</v>
      </c>
      <c r="AC109" s="134">
        <f t="shared" si="33"/>
        <v>0</v>
      </c>
      <c r="AD109" s="134"/>
      <c r="AE109" s="134">
        <f t="shared" si="40"/>
        <v>0</v>
      </c>
      <c r="AF109" s="134">
        <f t="shared" si="40"/>
        <v>0</v>
      </c>
      <c r="AG109" s="134">
        <f t="shared" si="27"/>
        <v>0</v>
      </c>
      <c r="AH109" s="134">
        <f t="shared" si="6"/>
        <v>0</v>
      </c>
      <c r="AI109" s="134">
        <f t="shared" si="28"/>
        <v>0</v>
      </c>
      <c r="AJ109" s="134">
        <f t="shared" si="7"/>
        <v>0</v>
      </c>
      <c r="AK109" s="134">
        <f t="shared" si="8"/>
        <v>0</v>
      </c>
      <c r="AL109" s="134">
        <f t="shared" ref="AL109:AL119" si="44">IF(O110=1,AK108*H$58*20/36000+AK109*H$58*10/36000,IF(O110=0,IF(O109=0,0,AK109*H$58*R$58/36000+AK108*H$58*20/36000+AK109*H$58*10/36000)))</f>
        <v>0</v>
      </c>
      <c r="AM109" s="134">
        <f t="shared" ref="AM109:AM119" si="45">IF(O110=1,AK108*H$58*20/36000+AK109*H$58*10/36000,IF(O110=0,IF(O109=0,0,AK109*H$58*R$58/36000+AK108*H$58*20/36000+AK109*H$58*10/36000)))</f>
        <v>0</v>
      </c>
      <c r="AN109" s="132">
        <f t="shared" si="29"/>
        <v>0</v>
      </c>
      <c r="AO109" s="132">
        <f t="shared" si="9"/>
        <v>0</v>
      </c>
      <c r="AP109" s="2">
        <f t="shared" si="30"/>
        <v>0</v>
      </c>
      <c r="AQ109" s="2">
        <f t="shared" si="10"/>
        <v>0</v>
      </c>
      <c r="AR109" s="2">
        <f t="shared" si="11"/>
        <v>0</v>
      </c>
      <c r="AS109" s="2">
        <f t="shared" si="12"/>
        <v>30</v>
      </c>
      <c r="AT109" s="2">
        <f t="shared" si="13"/>
        <v>20</v>
      </c>
      <c r="AU109" s="2">
        <f t="shared" si="31"/>
        <v>30</v>
      </c>
      <c r="AV109" s="2"/>
      <c r="AW109" s="2"/>
      <c r="AX109" s="2"/>
      <c r="AY109" s="2"/>
      <c r="AZ109" s="2"/>
      <c r="BA109" s="2">
        <f t="shared" si="14"/>
        <v>0</v>
      </c>
      <c r="BB109" s="2"/>
      <c r="BC109" s="2"/>
      <c r="BD109" s="2"/>
      <c r="BE109" s="2"/>
      <c r="BF109" s="2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</row>
    <row r="110" spans="1:143" s="24" customFormat="1" ht="15" hidden="1" customHeight="1">
      <c r="A110" s="4">
        <v>39</v>
      </c>
      <c r="B110" s="268" t="str">
        <f t="shared" si="16"/>
        <v xml:space="preserve"> </v>
      </c>
      <c r="C110" s="268"/>
      <c r="D110" s="269" t="str">
        <f>IF(O110=0,IF(O109=1,SUM(D$72:F109)," "),IF(O110=0," ",IF(O111=1,D$72,IF(O111=0,D$4-D$72*(N$60-1)," "))))</f>
        <v xml:space="preserve"> </v>
      </c>
      <c r="E110" s="269"/>
      <c r="F110" s="269"/>
      <c r="G110" s="87" t="str">
        <f>IF(O110=0,IF(O109=1,SUM(G$72:G109)," "),IF(N$41=1,Q110,IF(N$41=2,R110," ")))</f>
        <v xml:space="preserve"> </v>
      </c>
      <c r="H110" s="87">
        <v>0</v>
      </c>
      <c r="I110" s="87" t="str">
        <f t="shared" si="17"/>
        <v xml:space="preserve"> </v>
      </c>
      <c r="J110" s="87">
        <f t="shared" si="18"/>
        <v>0</v>
      </c>
      <c r="K110" s="87">
        <f t="shared" si="0"/>
        <v>0</v>
      </c>
      <c r="L110" s="87">
        <v>0</v>
      </c>
      <c r="M110" s="87" t="str">
        <f t="shared" si="19"/>
        <v xml:space="preserve"> </v>
      </c>
      <c r="N110" s="2">
        <v>39</v>
      </c>
      <c r="O110" s="2">
        <f t="shared" si="32"/>
        <v>0</v>
      </c>
      <c r="P110" s="2">
        <f t="shared" si="1"/>
        <v>20</v>
      </c>
      <c r="Q110" s="134">
        <f t="shared" si="39"/>
        <v>0</v>
      </c>
      <c r="R110" s="134">
        <f t="shared" si="39"/>
        <v>0</v>
      </c>
      <c r="S110" s="134">
        <f t="shared" si="21"/>
        <v>0</v>
      </c>
      <c r="T110" s="134" t="str">
        <f t="shared" si="22"/>
        <v xml:space="preserve"> </v>
      </c>
      <c r="U110" s="134" t="str">
        <f t="shared" si="23"/>
        <v xml:space="preserve"> </v>
      </c>
      <c r="V110" s="134">
        <f t="shared" si="41"/>
        <v>0</v>
      </c>
      <c r="W110" s="134">
        <f t="shared" si="42"/>
        <v>0</v>
      </c>
      <c r="X110" s="134">
        <f t="shared" si="24"/>
        <v>0</v>
      </c>
      <c r="Y110" s="134">
        <f t="shared" si="25"/>
        <v>0</v>
      </c>
      <c r="Z110" s="134">
        <f t="shared" si="3"/>
        <v>2.2737367544323206E-12</v>
      </c>
      <c r="AA110" s="134">
        <f t="shared" si="43"/>
        <v>0</v>
      </c>
      <c r="AB110" s="134">
        <f t="shared" si="4"/>
        <v>0</v>
      </c>
      <c r="AC110" s="134">
        <f t="shared" si="33"/>
        <v>0</v>
      </c>
      <c r="AD110" s="134"/>
      <c r="AE110" s="134">
        <f t="shared" si="40"/>
        <v>0</v>
      </c>
      <c r="AF110" s="134">
        <f t="shared" si="40"/>
        <v>0</v>
      </c>
      <c r="AG110" s="134">
        <f t="shared" si="27"/>
        <v>0</v>
      </c>
      <c r="AH110" s="134">
        <f t="shared" si="6"/>
        <v>0</v>
      </c>
      <c r="AI110" s="134">
        <f t="shared" si="28"/>
        <v>0</v>
      </c>
      <c r="AJ110" s="134">
        <f t="shared" si="7"/>
        <v>0</v>
      </c>
      <c r="AK110" s="134">
        <f t="shared" si="8"/>
        <v>0</v>
      </c>
      <c r="AL110" s="134">
        <f t="shared" si="44"/>
        <v>0</v>
      </c>
      <c r="AM110" s="134">
        <f t="shared" si="45"/>
        <v>0</v>
      </c>
      <c r="AN110" s="132">
        <f t="shared" si="29"/>
        <v>0</v>
      </c>
      <c r="AO110" s="132">
        <f t="shared" si="9"/>
        <v>0</v>
      </c>
      <c r="AP110" s="2">
        <f t="shared" si="30"/>
        <v>0</v>
      </c>
      <c r="AQ110" s="2">
        <f t="shared" si="10"/>
        <v>0</v>
      </c>
      <c r="AR110" s="2">
        <f t="shared" si="11"/>
        <v>0</v>
      </c>
      <c r="AS110" s="2">
        <f t="shared" si="12"/>
        <v>30</v>
      </c>
      <c r="AT110" s="2">
        <f t="shared" si="13"/>
        <v>20</v>
      </c>
      <c r="AU110" s="2">
        <f t="shared" si="31"/>
        <v>30</v>
      </c>
      <c r="AV110" s="2"/>
      <c r="AW110" s="2"/>
      <c r="AX110" s="2"/>
      <c r="AY110" s="2"/>
      <c r="AZ110" s="2"/>
      <c r="BA110" s="2">
        <f t="shared" si="14"/>
        <v>0</v>
      </c>
      <c r="BB110" s="2"/>
      <c r="BC110" s="2"/>
      <c r="BD110" s="2"/>
      <c r="BE110" s="2"/>
      <c r="BF110" s="2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</row>
    <row r="111" spans="1:143" s="24" customFormat="1" ht="15" hidden="1" customHeight="1">
      <c r="A111" s="4">
        <v>40</v>
      </c>
      <c r="B111" s="268" t="str">
        <f t="shared" si="16"/>
        <v xml:space="preserve"> </v>
      </c>
      <c r="C111" s="268"/>
      <c r="D111" s="269" t="str">
        <f>IF(O111=0,IF(O110=1,SUM(D$72:F110)," "),IF(O111=0," ",IF(O112=1,D$72,IF(O112=0,D$4-D$72*(N$60-1)," "))))</f>
        <v xml:space="preserve"> </v>
      </c>
      <c r="E111" s="269"/>
      <c r="F111" s="269"/>
      <c r="G111" s="87" t="str">
        <f>IF(O111=0,IF(O110=1,SUM(G$72:G110)," "),IF(N$41=1,Q111,IF(N$41=2,R111," ")))</f>
        <v xml:space="preserve"> </v>
      </c>
      <c r="H111" s="87">
        <v>0</v>
      </c>
      <c r="I111" s="87" t="str">
        <f t="shared" si="17"/>
        <v xml:space="preserve"> </v>
      </c>
      <c r="J111" s="87">
        <f t="shared" si="18"/>
        <v>0</v>
      </c>
      <c r="K111" s="87">
        <f t="shared" si="0"/>
        <v>0</v>
      </c>
      <c r="L111" s="87">
        <v>0</v>
      </c>
      <c r="M111" s="87" t="str">
        <f t="shared" si="19"/>
        <v xml:space="preserve"> </v>
      </c>
      <c r="N111" s="2">
        <v>40</v>
      </c>
      <c r="O111" s="2">
        <f t="shared" si="32"/>
        <v>0</v>
      </c>
      <c r="P111" s="2">
        <f t="shared" si="1"/>
        <v>20</v>
      </c>
      <c r="Q111" s="134">
        <f t="shared" si="39"/>
        <v>0</v>
      </c>
      <c r="R111" s="134">
        <f t="shared" si="39"/>
        <v>0</v>
      </c>
      <c r="S111" s="134">
        <f t="shared" si="21"/>
        <v>0</v>
      </c>
      <c r="T111" s="134" t="str">
        <f t="shared" si="22"/>
        <v xml:space="preserve"> </v>
      </c>
      <c r="U111" s="134" t="str">
        <f t="shared" si="23"/>
        <v xml:space="preserve"> </v>
      </c>
      <c r="V111" s="134">
        <f t="shared" si="41"/>
        <v>0</v>
      </c>
      <c r="W111" s="134">
        <f t="shared" si="42"/>
        <v>0</v>
      </c>
      <c r="X111" s="134">
        <f t="shared" si="24"/>
        <v>0</v>
      </c>
      <c r="Y111" s="134">
        <f t="shared" si="25"/>
        <v>0</v>
      </c>
      <c r="Z111" s="134">
        <f t="shared" si="3"/>
        <v>2.2737367544323206E-12</v>
      </c>
      <c r="AA111" s="134">
        <f t="shared" si="43"/>
        <v>0</v>
      </c>
      <c r="AB111" s="134">
        <f t="shared" si="4"/>
        <v>0</v>
      </c>
      <c r="AC111" s="134">
        <f t="shared" si="33"/>
        <v>0</v>
      </c>
      <c r="AD111" s="134"/>
      <c r="AE111" s="134">
        <f t="shared" si="40"/>
        <v>0</v>
      </c>
      <c r="AF111" s="134">
        <f t="shared" si="40"/>
        <v>0</v>
      </c>
      <c r="AG111" s="134">
        <f t="shared" si="27"/>
        <v>0</v>
      </c>
      <c r="AH111" s="134">
        <f t="shared" si="6"/>
        <v>0</v>
      </c>
      <c r="AI111" s="134">
        <f t="shared" si="28"/>
        <v>0</v>
      </c>
      <c r="AJ111" s="134">
        <f t="shared" si="7"/>
        <v>0</v>
      </c>
      <c r="AK111" s="134">
        <f t="shared" si="8"/>
        <v>0</v>
      </c>
      <c r="AL111" s="134">
        <f t="shared" si="44"/>
        <v>0</v>
      </c>
      <c r="AM111" s="134">
        <f t="shared" si="45"/>
        <v>0</v>
      </c>
      <c r="AN111" s="132">
        <f t="shared" si="29"/>
        <v>0</v>
      </c>
      <c r="AO111" s="132">
        <f t="shared" si="9"/>
        <v>0</v>
      </c>
      <c r="AP111" s="2">
        <f t="shared" si="30"/>
        <v>0</v>
      </c>
      <c r="AQ111" s="2">
        <f t="shared" si="10"/>
        <v>0</v>
      </c>
      <c r="AR111" s="2">
        <f t="shared" si="11"/>
        <v>0</v>
      </c>
      <c r="AS111" s="2">
        <f t="shared" si="12"/>
        <v>30</v>
      </c>
      <c r="AT111" s="2">
        <f t="shared" si="13"/>
        <v>20</v>
      </c>
      <c r="AU111" s="2">
        <f t="shared" si="31"/>
        <v>30</v>
      </c>
      <c r="AV111" s="2"/>
      <c r="AW111" s="2"/>
      <c r="AX111" s="2"/>
      <c r="AY111" s="2"/>
      <c r="AZ111" s="2"/>
      <c r="BA111" s="2">
        <f t="shared" si="14"/>
        <v>0</v>
      </c>
      <c r="BB111" s="2"/>
      <c r="BC111" s="2"/>
      <c r="BD111" s="2"/>
      <c r="BE111" s="2"/>
      <c r="BF111" s="2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</row>
    <row r="112" spans="1:143" s="24" customFormat="1" ht="15" hidden="1" customHeight="1">
      <c r="A112" s="4">
        <v>41</v>
      </c>
      <c r="B112" s="268" t="str">
        <f t="shared" si="16"/>
        <v xml:space="preserve"> </v>
      </c>
      <c r="C112" s="268"/>
      <c r="D112" s="269" t="str">
        <f>IF(O112=0,IF(O111=1,SUM(D$72:F111)," "),IF(O112=0," ",IF(O113=1,D$72,IF(O113=0,D$4-D$72*(N$60-1)," "))))</f>
        <v xml:space="preserve"> </v>
      </c>
      <c r="E112" s="269"/>
      <c r="F112" s="269"/>
      <c r="G112" s="87" t="str">
        <f>IF(O112=0,IF(O111=1,SUM(G$72:G111)," "),IF(N$41=1,Q112,IF(N$41=2,R112," ")))</f>
        <v xml:space="preserve"> </v>
      </c>
      <c r="H112" s="87">
        <v>0</v>
      </c>
      <c r="I112" s="87" t="str">
        <f t="shared" si="17"/>
        <v xml:space="preserve"> </v>
      </c>
      <c r="J112" s="87">
        <f t="shared" si="18"/>
        <v>0</v>
      </c>
      <c r="K112" s="87">
        <f t="shared" si="0"/>
        <v>0</v>
      </c>
      <c r="L112" s="87">
        <v>0</v>
      </c>
      <c r="M112" s="87" t="str">
        <f t="shared" si="19"/>
        <v xml:space="preserve"> </v>
      </c>
      <c r="N112" s="2">
        <v>41</v>
      </c>
      <c r="O112" s="2">
        <f t="shared" si="32"/>
        <v>0</v>
      </c>
      <c r="P112" s="2">
        <f t="shared" si="1"/>
        <v>20</v>
      </c>
      <c r="Q112" s="134">
        <f t="shared" si="39"/>
        <v>0</v>
      </c>
      <c r="R112" s="134">
        <f t="shared" si="39"/>
        <v>0</v>
      </c>
      <c r="S112" s="134">
        <f t="shared" si="21"/>
        <v>0</v>
      </c>
      <c r="T112" s="134" t="str">
        <f t="shared" si="22"/>
        <v xml:space="preserve"> </v>
      </c>
      <c r="U112" s="134" t="str">
        <f t="shared" si="23"/>
        <v xml:space="preserve"> </v>
      </c>
      <c r="V112" s="134">
        <f t="shared" si="41"/>
        <v>0</v>
      </c>
      <c r="W112" s="134">
        <f t="shared" si="42"/>
        <v>0</v>
      </c>
      <c r="X112" s="134">
        <f t="shared" si="24"/>
        <v>0</v>
      </c>
      <c r="Y112" s="134">
        <f t="shared" si="25"/>
        <v>0</v>
      </c>
      <c r="Z112" s="134">
        <f t="shared" si="3"/>
        <v>2.2737367544323206E-12</v>
      </c>
      <c r="AA112" s="134">
        <f t="shared" si="43"/>
        <v>0</v>
      </c>
      <c r="AB112" s="134">
        <f t="shared" si="4"/>
        <v>0</v>
      </c>
      <c r="AC112" s="134">
        <f t="shared" si="33"/>
        <v>0</v>
      </c>
      <c r="AD112" s="134"/>
      <c r="AE112" s="134">
        <f t="shared" si="40"/>
        <v>0</v>
      </c>
      <c r="AF112" s="134">
        <f t="shared" si="40"/>
        <v>0</v>
      </c>
      <c r="AG112" s="134">
        <f t="shared" si="27"/>
        <v>0</v>
      </c>
      <c r="AH112" s="134">
        <f t="shared" si="6"/>
        <v>0</v>
      </c>
      <c r="AI112" s="134">
        <f t="shared" si="28"/>
        <v>0</v>
      </c>
      <c r="AJ112" s="134">
        <f t="shared" si="7"/>
        <v>0</v>
      </c>
      <c r="AK112" s="134">
        <f t="shared" si="8"/>
        <v>0</v>
      </c>
      <c r="AL112" s="134">
        <f t="shared" si="44"/>
        <v>0</v>
      </c>
      <c r="AM112" s="134">
        <f t="shared" si="45"/>
        <v>0</v>
      </c>
      <c r="AN112" s="132">
        <f t="shared" si="29"/>
        <v>0</v>
      </c>
      <c r="AO112" s="132">
        <f t="shared" si="9"/>
        <v>0</v>
      </c>
      <c r="AP112" s="2">
        <f t="shared" si="30"/>
        <v>0</v>
      </c>
      <c r="AQ112" s="2">
        <f t="shared" si="10"/>
        <v>0</v>
      </c>
      <c r="AR112" s="2">
        <f t="shared" si="11"/>
        <v>0</v>
      </c>
      <c r="AS112" s="2">
        <f t="shared" si="12"/>
        <v>30</v>
      </c>
      <c r="AT112" s="2">
        <f t="shared" si="13"/>
        <v>20</v>
      </c>
      <c r="AU112" s="2">
        <f t="shared" si="31"/>
        <v>30</v>
      </c>
      <c r="AV112" s="2"/>
      <c r="AW112" s="2"/>
      <c r="AX112" s="2"/>
      <c r="AY112" s="2"/>
      <c r="AZ112" s="2"/>
      <c r="BA112" s="2">
        <f t="shared" si="14"/>
        <v>0</v>
      </c>
      <c r="BB112" s="2"/>
      <c r="BC112" s="2"/>
      <c r="BD112" s="2"/>
      <c r="BE112" s="2"/>
      <c r="BF112" s="2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</row>
    <row r="113" spans="1:143" s="24" customFormat="1" ht="15" hidden="1" customHeight="1">
      <c r="A113" s="4">
        <v>42</v>
      </c>
      <c r="B113" s="268" t="str">
        <f t="shared" si="16"/>
        <v xml:space="preserve"> </v>
      </c>
      <c r="C113" s="268"/>
      <c r="D113" s="269" t="str">
        <f>IF(O113=0,IF(O112=1,SUM(D$72:F112)," "),IF(O113=0," ",IF(O114=1,D$72,IF(O114=0,D$4-D$72*(N$60-1)," "))))</f>
        <v xml:space="preserve"> </v>
      </c>
      <c r="E113" s="269"/>
      <c r="F113" s="269"/>
      <c r="G113" s="87" t="str">
        <f>IF(O113=0,IF(O112=1,SUM(G$72:G112)," "),IF(N$41=1,Q113,IF(N$41=2,R113," ")))</f>
        <v xml:space="preserve"> </v>
      </c>
      <c r="H113" s="87">
        <v>0</v>
      </c>
      <c r="I113" s="87" t="str">
        <f t="shared" si="17"/>
        <v xml:space="preserve"> </v>
      </c>
      <c r="J113" s="87">
        <f t="shared" si="18"/>
        <v>0</v>
      </c>
      <c r="K113" s="87">
        <f t="shared" si="0"/>
        <v>0</v>
      </c>
      <c r="L113" s="87">
        <v>0</v>
      </c>
      <c r="M113" s="87" t="str">
        <f t="shared" si="19"/>
        <v xml:space="preserve"> </v>
      </c>
      <c r="N113" s="2">
        <v>42</v>
      </c>
      <c r="O113" s="2">
        <f t="shared" si="32"/>
        <v>0</v>
      </c>
      <c r="P113" s="2">
        <f t="shared" si="1"/>
        <v>20</v>
      </c>
      <c r="Q113" s="134">
        <f t="shared" si="39"/>
        <v>0</v>
      </c>
      <c r="R113" s="134">
        <f t="shared" si="39"/>
        <v>0</v>
      </c>
      <c r="S113" s="134">
        <f t="shared" si="21"/>
        <v>0</v>
      </c>
      <c r="T113" s="134" t="str">
        <f t="shared" si="22"/>
        <v xml:space="preserve"> </v>
      </c>
      <c r="U113" s="134" t="str">
        <f t="shared" si="23"/>
        <v xml:space="preserve"> </v>
      </c>
      <c r="V113" s="134">
        <f t="shared" si="41"/>
        <v>0</v>
      </c>
      <c r="W113" s="134">
        <f t="shared" si="42"/>
        <v>0</v>
      </c>
      <c r="X113" s="134">
        <f t="shared" si="24"/>
        <v>0</v>
      </c>
      <c r="Y113" s="134">
        <f t="shared" si="25"/>
        <v>0</v>
      </c>
      <c r="Z113" s="134">
        <f t="shared" si="3"/>
        <v>2.2737367544323206E-12</v>
      </c>
      <c r="AA113" s="134">
        <f t="shared" si="43"/>
        <v>0</v>
      </c>
      <c r="AB113" s="134">
        <f t="shared" si="4"/>
        <v>0</v>
      </c>
      <c r="AC113" s="134">
        <f t="shared" si="33"/>
        <v>0</v>
      </c>
      <c r="AD113" s="134"/>
      <c r="AE113" s="134">
        <f t="shared" si="40"/>
        <v>0</v>
      </c>
      <c r="AF113" s="134">
        <f t="shared" si="40"/>
        <v>0</v>
      </c>
      <c r="AG113" s="134">
        <f t="shared" si="27"/>
        <v>0</v>
      </c>
      <c r="AH113" s="134">
        <f t="shared" si="6"/>
        <v>0</v>
      </c>
      <c r="AI113" s="134">
        <f t="shared" si="28"/>
        <v>0</v>
      </c>
      <c r="AJ113" s="134">
        <f t="shared" si="7"/>
        <v>0</v>
      </c>
      <c r="AK113" s="134">
        <f t="shared" si="8"/>
        <v>0</v>
      </c>
      <c r="AL113" s="134">
        <f t="shared" si="44"/>
        <v>0</v>
      </c>
      <c r="AM113" s="134">
        <f t="shared" si="45"/>
        <v>0</v>
      </c>
      <c r="AN113" s="132">
        <f t="shared" si="29"/>
        <v>0</v>
      </c>
      <c r="AO113" s="132">
        <f t="shared" si="9"/>
        <v>0</v>
      </c>
      <c r="AP113" s="2">
        <f t="shared" si="30"/>
        <v>0</v>
      </c>
      <c r="AQ113" s="2">
        <f t="shared" si="10"/>
        <v>0</v>
      </c>
      <c r="AR113" s="2">
        <f t="shared" si="11"/>
        <v>0</v>
      </c>
      <c r="AS113" s="2">
        <f t="shared" si="12"/>
        <v>30</v>
      </c>
      <c r="AT113" s="2">
        <f t="shared" si="13"/>
        <v>20</v>
      </c>
      <c r="AU113" s="2">
        <f t="shared" si="31"/>
        <v>30</v>
      </c>
      <c r="AV113" s="2"/>
      <c r="AW113" s="2"/>
      <c r="AX113" s="2"/>
      <c r="AY113" s="2"/>
      <c r="AZ113" s="2"/>
      <c r="BA113" s="2">
        <f t="shared" si="14"/>
        <v>0</v>
      </c>
      <c r="BB113" s="2"/>
      <c r="BC113" s="2"/>
      <c r="BD113" s="2"/>
      <c r="BE113" s="2"/>
      <c r="BF113" s="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</row>
    <row r="114" spans="1:143" s="24" customFormat="1" ht="15" hidden="1" customHeight="1">
      <c r="A114" s="4">
        <v>43</v>
      </c>
      <c r="B114" s="268" t="str">
        <f t="shared" si="16"/>
        <v xml:space="preserve"> </v>
      </c>
      <c r="C114" s="268"/>
      <c r="D114" s="269" t="str">
        <f>IF(O114=0,IF(O113=1,SUM(D$72:F113)," "),IF(O114=0," ",IF(O115=1,D$72,IF(O115=0,D$4-D$72*(N$60-1)," "))))</f>
        <v xml:space="preserve"> </v>
      </c>
      <c r="E114" s="269"/>
      <c r="F114" s="269"/>
      <c r="G114" s="87" t="str">
        <f>IF(O114=0,IF(O113=1,SUM(G$72:G113)," "),IF(N$41=1,Q114,IF(N$41=2,R114," ")))</f>
        <v xml:space="preserve"> </v>
      </c>
      <c r="H114" s="87">
        <v>0</v>
      </c>
      <c r="I114" s="87" t="str">
        <f t="shared" si="17"/>
        <v xml:space="preserve"> </v>
      </c>
      <c r="J114" s="87">
        <f t="shared" si="18"/>
        <v>0</v>
      </c>
      <c r="K114" s="87">
        <f t="shared" si="0"/>
        <v>0</v>
      </c>
      <c r="L114" s="87">
        <v>0</v>
      </c>
      <c r="M114" s="87" t="str">
        <f t="shared" si="19"/>
        <v xml:space="preserve"> </v>
      </c>
      <c r="N114" s="2">
        <v>43</v>
      </c>
      <c r="O114" s="2">
        <f t="shared" si="32"/>
        <v>0</v>
      </c>
      <c r="P114" s="2">
        <f t="shared" si="1"/>
        <v>20</v>
      </c>
      <c r="Q114" s="134">
        <f t="shared" si="39"/>
        <v>0</v>
      </c>
      <c r="R114" s="134">
        <f t="shared" si="39"/>
        <v>0</v>
      </c>
      <c r="S114" s="134">
        <f t="shared" si="21"/>
        <v>0</v>
      </c>
      <c r="T114" s="134" t="str">
        <f t="shared" si="22"/>
        <v xml:space="preserve"> </v>
      </c>
      <c r="U114" s="134" t="str">
        <f t="shared" si="23"/>
        <v xml:space="preserve"> </v>
      </c>
      <c r="V114" s="134">
        <f t="shared" si="41"/>
        <v>0</v>
      </c>
      <c r="W114" s="134">
        <f t="shared" si="42"/>
        <v>0</v>
      </c>
      <c r="X114" s="134">
        <f t="shared" si="24"/>
        <v>0</v>
      </c>
      <c r="Y114" s="134">
        <f t="shared" si="25"/>
        <v>0</v>
      </c>
      <c r="Z114" s="134">
        <f t="shared" si="3"/>
        <v>2.2737367544323206E-12</v>
      </c>
      <c r="AA114" s="134">
        <f t="shared" si="43"/>
        <v>0</v>
      </c>
      <c r="AB114" s="134">
        <f t="shared" si="4"/>
        <v>0</v>
      </c>
      <c r="AC114" s="134">
        <f t="shared" si="33"/>
        <v>0</v>
      </c>
      <c r="AD114" s="134"/>
      <c r="AE114" s="134">
        <f t="shared" si="40"/>
        <v>0</v>
      </c>
      <c r="AF114" s="134">
        <f t="shared" si="40"/>
        <v>0</v>
      </c>
      <c r="AG114" s="134">
        <f t="shared" si="27"/>
        <v>0</v>
      </c>
      <c r="AH114" s="134">
        <f t="shared" si="6"/>
        <v>0</v>
      </c>
      <c r="AI114" s="134">
        <f t="shared" si="28"/>
        <v>0</v>
      </c>
      <c r="AJ114" s="134">
        <f t="shared" si="7"/>
        <v>0</v>
      </c>
      <c r="AK114" s="134">
        <f t="shared" si="8"/>
        <v>0</v>
      </c>
      <c r="AL114" s="134">
        <f t="shared" si="44"/>
        <v>0</v>
      </c>
      <c r="AM114" s="134">
        <f t="shared" si="45"/>
        <v>0</v>
      </c>
      <c r="AN114" s="132">
        <f t="shared" si="29"/>
        <v>0</v>
      </c>
      <c r="AO114" s="132">
        <f t="shared" si="9"/>
        <v>0</v>
      </c>
      <c r="AP114" s="2">
        <f t="shared" si="30"/>
        <v>0</v>
      </c>
      <c r="AQ114" s="2">
        <f t="shared" si="10"/>
        <v>0</v>
      </c>
      <c r="AR114" s="2">
        <f t="shared" si="11"/>
        <v>0</v>
      </c>
      <c r="AS114" s="2">
        <f t="shared" si="12"/>
        <v>30</v>
      </c>
      <c r="AT114" s="2">
        <f t="shared" si="13"/>
        <v>20</v>
      </c>
      <c r="AU114" s="2">
        <f t="shared" si="31"/>
        <v>30</v>
      </c>
      <c r="AV114" s="2"/>
      <c r="AW114" s="2"/>
      <c r="AX114" s="2"/>
      <c r="AY114" s="2"/>
      <c r="AZ114" s="2"/>
      <c r="BA114" s="2">
        <f t="shared" si="14"/>
        <v>0</v>
      </c>
      <c r="BB114" s="2"/>
      <c r="BC114" s="2"/>
      <c r="BD114" s="2"/>
      <c r="BE114" s="2"/>
      <c r="BF114" s="2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</row>
    <row r="115" spans="1:143" s="24" customFormat="1" ht="15" hidden="1" customHeight="1">
      <c r="A115" s="4">
        <v>44</v>
      </c>
      <c r="B115" s="268" t="str">
        <f t="shared" si="16"/>
        <v xml:space="preserve"> </v>
      </c>
      <c r="C115" s="268"/>
      <c r="D115" s="269" t="str">
        <f>IF(O115=0,IF(O114=1,SUM(D$72:F114)," "),IF(O115=0," ",IF(O116=1,D$72,IF(O116=0,D$4-D$72*(N$60-1)," "))))</f>
        <v xml:space="preserve"> </v>
      </c>
      <c r="E115" s="269"/>
      <c r="F115" s="269"/>
      <c r="G115" s="87" t="str">
        <f>IF(O115=0,IF(O114=1,SUM(G$72:G114)," "),IF(N$41=1,Q115,IF(N$41=2,R115," ")))</f>
        <v xml:space="preserve"> </v>
      </c>
      <c r="H115" s="87">
        <v>0</v>
      </c>
      <c r="I115" s="87" t="str">
        <f t="shared" si="17"/>
        <v xml:space="preserve"> </v>
      </c>
      <c r="J115" s="87">
        <f t="shared" si="18"/>
        <v>0</v>
      </c>
      <c r="K115" s="87">
        <f t="shared" si="0"/>
        <v>0</v>
      </c>
      <c r="L115" s="87">
        <v>0</v>
      </c>
      <c r="M115" s="87" t="str">
        <f t="shared" si="19"/>
        <v xml:space="preserve"> </v>
      </c>
      <c r="N115" s="2">
        <v>44</v>
      </c>
      <c r="O115" s="2">
        <f t="shared" si="32"/>
        <v>0</v>
      </c>
      <c r="P115" s="2">
        <f t="shared" si="1"/>
        <v>20</v>
      </c>
      <c r="Q115" s="134">
        <f t="shared" si="39"/>
        <v>0</v>
      </c>
      <c r="R115" s="134">
        <f t="shared" si="39"/>
        <v>0</v>
      </c>
      <c r="S115" s="134">
        <f t="shared" si="21"/>
        <v>0</v>
      </c>
      <c r="T115" s="134" t="str">
        <f t="shared" si="22"/>
        <v xml:space="preserve"> </v>
      </c>
      <c r="U115" s="134" t="str">
        <f t="shared" si="23"/>
        <v xml:space="preserve"> </v>
      </c>
      <c r="V115" s="134">
        <f t="shared" si="41"/>
        <v>0</v>
      </c>
      <c r="W115" s="134">
        <f t="shared" si="42"/>
        <v>0</v>
      </c>
      <c r="X115" s="134">
        <f t="shared" si="24"/>
        <v>0</v>
      </c>
      <c r="Y115" s="134">
        <f t="shared" si="25"/>
        <v>0</v>
      </c>
      <c r="Z115" s="134">
        <f t="shared" si="3"/>
        <v>2.2737367544323206E-12</v>
      </c>
      <c r="AA115" s="134">
        <f t="shared" si="43"/>
        <v>0</v>
      </c>
      <c r="AB115" s="134">
        <f t="shared" si="4"/>
        <v>0</v>
      </c>
      <c r="AC115" s="134">
        <f t="shared" si="33"/>
        <v>0</v>
      </c>
      <c r="AD115" s="134"/>
      <c r="AE115" s="134">
        <f t="shared" si="40"/>
        <v>0</v>
      </c>
      <c r="AF115" s="134">
        <f t="shared" si="40"/>
        <v>0</v>
      </c>
      <c r="AG115" s="134">
        <f t="shared" si="27"/>
        <v>0</v>
      </c>
      <c r="AH115" s="134">
        <f t="shared" si="6"/>
        <v>0</v>
      </c>
      <c r="AI115" s="134">
        <f t="shared" si="28"/>
        <v>0</v>
      </c>
      <c r="AJ115" s="134">
        <f t="shared" si="7"/>
        <v>0</v>
      </c>
      <c r="AK115" s="134">
        <f t="shared" si="8"/>
        <v>0</v>
      </c>
      <c r="AL115" s="134">
        <f t="shared" si="44"/>
        <v>0</v>
      </c>
      <c r="AM115" s="134">
        <f t="shared" si="45"/>
        <v>0</v>
      </c>
      <c r="AN115" s="132">
        <f t="shared" si="29"/>
        <v>0</v>
      </c>
      <c r="AO115" s="132">
        <f t="shared" si="9"/>
        <v>0</v>
      </c>
      <c r="AP115" s="2">
        <f t="shared" si="30"/>
        <v>0</v>
      </c>
      <c r="AQ115" s="2">
        <f t="shared" si="10"/>
        <v>0</v>
      </c>
      <c r="AR115" s="2">
        <f t="shared" si="11"/>
        <v>0</v>
      </c>
      <c r="AS115" s="2">
        <f t="shared" si="12"/>
        <v>30</v>
      </c>
      <c r="AT115" s="2">
        <f t="shared" si="13"/>
        <v>20</v>
      </c>
      <c r="AU115" s="2">
        <f t="shared" si="31"/>
        <v>30</v>
      </c>
      <c r="AV115" s="2"/>
      <c r="AW115" s="2"/>
      <c r="AX115" s="2"/>
      <c r="AY115" s="2"/>
      <c r="AZ115" s="2"/>
      <c r="BA115" s="2">
        <f t="shared" si="14"/>
        <v>0</v>
      </c>
      <c r="BB115" s="2"/>
      <c r="BC115" s="2"/>
      <c r="BD115" s="2"/>
      <c r="BE115" s="2"/>
      <c r="BF115" s="2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</row>
    <row r="116" spans="1:143" s="24" customFormat="1" ht="15" hidden="1" customHeight="1">
      <c r="A116" s="4">
        <v>45</v>
      </c>
      <c r="B116" s="268" t="str">
        <f t="shared" si="16"/>
        <v xml:space="preserve"> </v>
      </c>
      <c r="C116" s="268"/>
      <c r="D116" s="269" t="str">
        <f>IF(O116=0,IF(O115=1,SUM(D$72:F115)," "),IF(O116=0," ",IF(O117=1,D$72,IF(O117=0,D$4-D$72*(N$60-1)," "))))</f>
        <v xml:space="preserve"> </v>
      </c>
      <c r="E116" s="269"/>
      <c r="F116" s="269"/>
      <c r="G116" s="87" t="str">
        <f>IF(O116=0,IF(O115=1,SUM(G$72:G115)," "),IF(N$41=1,Q116,IF(N$41=2,R116," ")))</f>
        <v xml:space="preserve"> </v>
      </c>
      <c r="H116" s="87">
        <v>0</v>
      </c>
      <c r="I116" s="87" t="str">
        <f t="shared" si="17"/>
        <v xml:space="preserve"> </v>
      </c>
      <c r="J116" s="87">
        <f t="shared" si="18"/>
        <v>0</v>
      </c>
      <c r="K116" s="87">
        <f t="shared" si="0"/>
        <v>0</v>
      </c>
      <c r="L116" s="87">
        <v>0</v>
      </c>
      <c r="M116" s="87" t="str">
        <f t="shared" si="19"/>
        <v xml:space="preserve"> </v>
      </c>
      <c r="N116" s="2">
        <v>45</v>
      </c>
      <c r="O116" s="2">
        <f t="shared" si="32"/>
        <v>0</v>
      </c>
      <c r="P116" s="2">
        <f t="shared" si="1"/>
        <v>20</v>
      </c>
      <c r="Q116" s="134">
        <f t="shared" si="39"/>
        <v>0</v>
      </c>
      <c r="R116" s="134">
        <f t="shared" si="39"/>
        <v>0</v>
      </c>
      <c r="S116" s="134">
        <f t="shared" si="21"/>
        <v>0</v>
      </c>
      <c r="T116" s="134" t="str">
        <f t="shared" si="22"/>
        <v xml:space="preserve"> </v>
      </c>
      <c r="U116" s="134" t="str">
        <f t="shared" si="23"/>
        <v xml:space="preserve"> </v>
      </c>
      <c r="V116" s="134">
        <f t="shared" si="41"/>
        <v>0</v>
      </c>
      <c r="W116" s="134">
        <f t="shared" si="42"/>
        <v>0</v>
      </c>
      <c r="X116" s="134">
        <f t="shared" si="24"/>
        <v>0</v>
      </c>
      <c r="Y116" s="134">
        <f t="shared" si="25"/>
        <v>0</v>
      </c>
      <c r="Z116" s="134">
        <f t="shared" si="3"/>
        <v>2.2737367544323206E-12</v>
      </c>
      <c r="AA116" s="134">
        <f t="shared" si="43"/>
        <v>0</v>
      </c>
      <c r="AB116" s="134">
        <f t="shared" si="4"/>
        <v>0</v>
      </c>
      <c r="AC116" s="134">
        <f t="shared" si="33"/>
        <v>0</v>
      </c>
      <c r="AD116" s="134"/>
      <c r="AE116" s="134">
        <f t="shared" si="40"/>
        <v>0</v>
      </c>
      <c r="AF116" s="134">
        <f t="shared" si="40"/>
        <v>0</v>
      </c>
      <c r="AG116" s="134">
        <f t="shared" si="27"/>
        <v>0</v>
      </c>
      <c r="AH116" s="134">
        <f t="shared" si="6"/>
        <v>0</v>
      </c>
      <c r="AI116" s="134">
        <f t="shared" si="28"/>
        <v>0</v>
      </c>
      <c r="AJ116" s="134">
        <f t="shared" si="7"/>
        <v>0</v>
      </c>
      <c r="AK116" s="134">
        <f t="shared" si="8"/>
        <v>0</v>
      </c>
      <c r="AL116" s="134">
        <f t="shared" si="44"/>
        <v>0</v>
      </c>
      <c r="AM116" s="134">
        <f t="shared" si="45"/>
        <v>0</v>
      </c>
      <c r="AN116" s="132">
        <f t="shared" si="29"/>
        <v>0</v>
      </c>
      <c r="AO116" s="132">
        <f t="shared" si="9"/>
        <v>0</v>
      </c>
      <c r="AP116" s="2">
        <f t="shared" si="30"/>
        <v>0</v>
      </c>
      <c r="AQ116" s="2">
        <f t="shared" si="10"/>
        <v>0</v>
      </c>
      <c r="AR116" s="2">
        <f t="shared" si="11"/>
        <v>0</v>
      </c>
      <c r="AS116" s="2">
        <f t="shared" si="12"/>
        <v>30</v>
      </c>
      <c r="AT116" s="2">
        <f t="shared" si="13"/>
        <v>20</v>
      </c>
      <c r="AU116" s="2">
        <f t="shared" si="31"/>
        <v>30</v>
      </c>
      <c r="AV116" s="2"/>
      <c r="AW116" s="2"/>
      <c r="AX116" s="2"/>
      <c r="AY116" s="2"/>
      <c r="AZ116" s="2"/>
      <c r="BA116" s="2">
        <f t="shared" si="14"/>
        <v>0</v>
      </c>
      <c r="BB116" s="2"/>
      <c r="BC116" s="2"/>
      <c r="BD116" s="2"/>
      <c r="BE116" s="2"/>
      <c r="BF116" s="2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</row>
    <row r="117" spans="1:143" s="24" customFormat="1" ht="15" hidden="1" customHeight="1">
      <c r="A117" s="4">
        <v>46</v>
      </c>
      <c r="B117" s="268" t="str">
        <f t="shared" si="16"/>
        <v xml:space="preserve"> </v>
      </c>
      <c r="C117" s="268"/>
      <c r="D117" s="269" t="str">
        <f>IF(O117=0,IF(O116=1,SUM(D$72:F116)," "),IF(O117=0," ",IF(O118=1,D$72,IF(O118=0,D$4-D$72*(N$60-1)," "))))</f>
        <v xml:space="preserve"> </v>
      </c>
      <c r="E117" s="269"/>
      <c r="F117" s="269"/>
      <c r="G117" s="87" t="str">
        <f>IF(O117=0,IF(O116=1,SUM(G$72:G116)," "),IF(N$41=1,Q117,IF(N$41=2,R117," ")))</f>
        <v xml:space="preserve"> </v>
      </c>
      <c r="H117" s="87">
        <v>0</v>
      </c>
      <c r="I117" s="87" t="str">
        <f t="shared" si="17"/>
        <v xml:space="preserve"> </v>
      </c>
      <c r="J117" s="87">
        <f t="shared" si="18"/>
        <v>0</v>
      </c>
      <c r="K117" s="87">
        <f t="shared" si="0"/>
        <v>0</v>
      </c>
      <c r="L117" s="87">
        <v>0</v>
      </c>
      <c r="M117" s="87" t="str">
        <f t="shared" si="19"/>
        <v xml:space="preserve"> </v>
      </c>
      <c r="N117" s="2">
        <v>46</v>
      </c>
      <c r="O117" s="2">
        <f t="shared" si="32"/>
        <v>0</v>
      </c>
      <c r="P117" s="2">
        <f t="shared" si="1"/>
        <v>20</v>
      </c>
      <c r="Q117" s="134">
        <f t="shared" si="39"/>
        <v>0</v>
      </c>
      <c r="R117" s="134">
        <f t="shared" si="39"/>
        <v>0</v>
      </c>
      <c r="S117" s="134">
        <f t="shared" si="21"/>
        <v>0</v>
      </c>
      <c r="T117" s="134" t="str">
        <f t="shared" si="22"/>
        <v xml:space="preserve"> </v>
      </c>
      <c r="U117" s="134" t="str">
        <f t="shared" si="23"/>
        <v xml:space="preserve"> </v>
      </c>
      <c r="V117" s="134">
        <f t="shared" si="41"/>
        <v>0</v>
      </c>
      <c r="W117" s="134">
        <f t="shared" si="42"/>
        <v>0</v>
      </c>
      <c r="X117" s="134">
        <f t="shared" si="24"/>
        <v>0</v>
      </c>
      <c r="Y117" s="134">
        <f t="shared" si="25"/>
        <v>0</v>
      </c>
      <c r="Z117" s="134">
        <f t="shared" si="3"/>
        <v>2.2737367544323206E-12</v>
      </c>
      <c r="AA117" s="134">
        <f t="shared" si="43"/>
        <v>0</v>
      </c>
      <c r="AB117" s="134">
        <f t="shared" si="4"/>
        <v>0</v>
      </c>
      <c r="AC117" s="134">
        <f t="shared" si="33"/>
        <v>0</v>
      </c>
      <c r="AD117" s="134"/>
      <c r="AE117" s="134">
        <f t="shared" si="40"/>
        <v>0</v>
      </c>
      <c r="AF117" s="134">
        <f t="shared" si="40"/>
        <v>0</v>
      </c>
      <c r="AG117" s="134">
        <f t="shared" si="27"/>
        <v>0</v>
      </c>
      <c r="AH117" s="134">
        <f t="shared" si="6"/>
        <v>0</v>
      </c>
      <c r="AI117" s="134">
        <f t="shared" si="28"/>
        <v>0</v>
      </c>
      <c r="AJ117" s="134">
        <f t="shared" si="7"/>
        <v>0</v>
      </c>
      <c r="AK117" s="134">
        <f t="shared" si="8"/>
        <v>0</v>
      </c>
      <c r="AL117" s="134">
        <f t="shared" si="44"/>
        <v>0</v>
      </c>
      <c r="AM117" s="134">
        <f t="shared" si="45"/>
        <v>0</v>
      </c>
      <c r="AN117" s="132">
        <f t="shared" si="29"/>
        <v>0</v>
      </c>
      <c r="AO117" s="132">
        <f t="shared" si="9"/>
        <v>0</v>
      </c>
      <c r="AP117" s="2">
        <f t="shared" si="30"/>
        <v>0</v>
      </c>
      <c r="AQ117" s="2">
        <f t="shared" si="10"/>
        <v>0</v>
      </c>
      <c r="AR117" s="2">
        <f t="shared" si="11"/>
        <v>0</v>
      </c>
      <c r="AS117" s="2">
        <f t="shared" si="12"/>
        <v>30</v>
      </c>
      <c r="AT117" s="2">
        <f t="shared" si="13"/>
        <v>20</v>
      </c>
      <c r="AU117" s="2">
        <f t="shared" si="31"/>
        <v>30</v>
      </c>
      <c r="AV117" s="2"/>
      <c r="AW117" s="2"/>
      <c r="AX117" s="2"/>
      <c r="AY117" s="2"/>
      <c r="AZ117" s="2"/>
      <c r="BA117" s="2">
        <f t="shared" si="14"/>
        <v>0</v>
      </c>
      <c r="BB117" s="2"/>
      <c r="BC117" s="2"/>
      <c r="BD117" s="2"/>
      <c r="BE117" s="2"/>
      <c r="BF117" s="2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</row>
    <row r="118" spans="1:143" s="24" customFormat="1" ht="15" hidden="1" customHeight="1">
      <c r="A118" s="4">
        <v>47</v>
      </c>
      <c r="B118" s="268" t="str">
        <f t="shared" si="16"/>
        <v xml:space="preserve"> </v>
      </c>
      <c r="C118" s="268"/>
      <c r="D118" s="269" t="str">
        <f>IF(O118=0,IF(O117=1,SUM(D$72:F117)," "),IF(O118=0," ",IF(O119=1,D$72,IF(O119=0,D$4-D$72*(N$60-1)," "))))</f>
        <v xml:space="preserve"> </v>
      </c>
      <c r="E118" s="269"/>
      <c r="F118" s="269"/>
      <c r="G118" s="87" t="str">
        <f>IF(O118=0,IF(O117=1,SUM(G$72:G117)," "),IF(N$41=1,Q118,IF(N$41=2,R118," ")))</f>
        <v xml:space="preserve"> </v>
      </c>
      <c r="H118" s="87">
        <v>0</v>
      </c>
      <c r="I118" s="87" t="str">
        <f t="shared" si="17"/>
        <v xml:space="preserve"> </v>
      </c>
      <c r="J118" s="87">
        <f t="shared" si="18"/>
        <v>0</v>
      </c>
      <c r="K118" s="87">
        <f t="shared" si="0"/>
        <v>0</v>
      </c>
      <c r="L118" s="87">
        <v>0</v>
      </c>
      <c r="M118" s="87" t="str">
        <f t="shared" si="19"/>
        <v xml:space="preserve"> </v>
      </c>
      <c r="N118" s="2">
        <v>47</v>
      </c>
      <c r="O118" s="2">
        <f t="shared" si="32"/>
        <v>0</v>
      </c>
      <c r="P118" s="2">
        <f t="shared" si="1"/>
        <v>20</v>
      </c>
      <c r="Q118" s="134">
        <f t="shared" si="39"/>
        <v>0</v>
      </c>
      <c r="R118" s="134">
        <f t="shared" si="39"/>
        <v>0</v>
      </c>
      <c r="S118" s="134">
        <f t="shared" si="21"/>
        <v>0</v>
      </c>
      <c r="T118" s="134" t="str">
        <f t="shared" si="22"/>
        <v xml:space="preserve"> </v>
      </c>
      <c r="U118" s="134" t="str">
        <f t="shared" si="23"/>
        <v xml:space="preserve"> </v>
      </c>
      <c r="V118" s="134">
        <f t="shared" si="41"/>
        <v>0</v>
      </c>
      <c r="W118" s="134">
        <f t="shared" si="42"/>
        <v>0</v>
      </c>
      <c r="X118" s="134">
        <f t="shared" si="24"/>
        <v>0</v>
      </c>
      <c r="Y118" s="134">
        <f t="shared" si="25"/>
        <v>0</v>
      </c>
      <c r="Z118" s="134">
        <f t="shared" si="3"/>
        <v>2.2737367544323206E-12</v>
      </c>
      <c r="AA118" s="134">
        <f t="shared" si="43"/>
        <v>0</v>
      </c>
      <c r="AB118" s="134">
        <f t="shared" si="4"/>
        <v>0</v>
      </c>
      <c r="AC118" s="134">
        <f t="shared" si="33"/>
        <v>0</v>
      </c>
      <c r="AD118" s="134"/>
      <c r="AE118" s="134">
        <f t="shared" si="40"/>
        <v>0</v>
      </c>
      <c r="AF118" s="134">
        <f t="shared" si="40"/>
        <v>0</v>
      </c>
      <c r="AG118" s="134">
        <f t="shared" si="27"/>
        <v>0</v>
      </c>
      <c r="AH118" s="134">
        <f t="shared" si="6"/>
        <v>0</v>
      </c>
      <c r="AI118" s="134">
        <f t="shared" si="28"/>
        <v>0</v>
      </c>
      <c r="AJ118" s="134">
        <f t="shared" si="7"/>
        <v>0</v>
      </c>
      <c r="AK118" s="134">
        <f t="shared" si="8"/>
        <v>0</v>
      </c>
      <c r="AL118" s="134">
        <f t="shared" si="44"/>
        <v>0</v>
      </c>
      <c r="AM118" s="134">
        <f t="shared" si="45"/>
        <v>0</v>
      </c>
      <c r="AN118" s="132">
        <f t="shared" si="29"/>
        <v>0</v>
      </c>
      <c r="AO118" s="132">
        <f t="shared" si="9"/>
        <v>0</v>
      </c>
      <c r="AP118" s="2">
        <f t="shared" si="30"/>
        <v>0</v>
      </c>
      <c r="AQ118" s="2">
        <f t="shared" si="10"/>
        <v>0</v>
      </c>
      <c r="AR118" s="2">
        <f t="shared" si="11"/>
        <v>0</v>
      </c>
      <c r="AS118" s="2">
        <f t="shared" si="12"/>
        <v>30</v>
      </c>
      <c r="AT118" s="2">
        <f t="shared" si="13"/>
        <v>20</v>
      </c>
      <c r="AU118" s="2">
        <f t="shared" si="31"/>
        <v>30</v>
      </c>
      <c r="AV118" s="2"/>
      <c r="AW118" s="2"/>
      <c r="AX118" s="2"/>
      <c r="AY118" s="2"/>
      <c r="AZ118" s="2"/>
      <c r="BA118" s="2">
        <f t="shared" si="14"/>
        <v>0</v>
      </c>
      <c r="BB118" s="2"/>
      <c r="BC118" s="2"/>
      <c r="BD118" s="2"/>
      <c r="BE118" s="2"/>
      <c r="BF118" s="2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</row>
    <row r="119" spans="1:143" s="24" customFormat="1" ht="15" hidden="1" customHeight="1">
      <c r="A119" s="4">
        <v>48</v>
      </c>
      <c r="B119" s="268" t="str">
        <f t="shared" si="16"/>
        <v xml:space="preserve"> </v>
      </c>
      <c r="C119" s="268"/>
      <c r="D119" s="269" t="str">
        <f>IF(O119=0,IF(O118=1,SUM(D$72:F118)," "),IF(O119=0," ",IF(O120=1,D$72,IF(O120=0,D$4-D$72*(N$60-1)," "))))</f>
        <v xml:space="preserve"> </v>
      </c>
      <c r="E119" s="269"/>
      <c r="F119" s="269"/>
      <c r="G119" s="87" t="str">
        <f>IF(O119=0,IF(O118=1,SUM(G$72:G118)," "),IF(N$41=1,Q119,IF(N$41=2,R119," ")))</f>
        <v xml:space="preserve"> </v>
      </c>
      <c r="H119" s="87">
        <v>0</v>
      </c>
      <c r="I119" s="87" t="str">
        <f t="shared" si="17"/>
        <v xml:space="preserve"> </v>
      </c>
      <c r="J119" s="87">
        <f t="shared" si="18"/>
        <v>0</v>
      </c>
      <c r="K119" s="87">
        <f t="shared" si="0"/>
        <v>0</v>
      </c>
      <c r="L119" s="87">
        <v>0</v>
      </c>
      <c r="M119" s="87" t="str">
        <f t="shared" si="19"/>
        <v xml:space="preserve"> </v>
      </c>
      <c r="N119" s="2">
        <v>48</v>
      </c>
      <c r="O119" s="2">
        <f t="shared" si="32"/>
        <v>0</v>
      </c>
      <c r="P119" s="2">
        <f t="shared" si="1"/>
        <v>20</v>
      </c>
      <c r="Q119" s="134">
        <f t="shared" si="39"/>
        <v>0</v>
      </c>
      <c r="R119" s="134">
        <f t="shared" si="39"/>
        <v>0</v>
      </c>
      <c r="S119" s="134">
        <f t="shared" si="21"/>
        <v>0</v>
      </c>
      <c r="T119" s="134" t="str">
        <f t="shared" si="22"/>
        <v xml:space="preserve"> </v>
      </c>
      <c r="U119" s="134" t="str">
        <f t="shared" si="23"/>
        <v xml:space="preserve"> </v>
      </c>
      <c r="V119" s="134">
        <f t="shared" si="41"/>
        <v>0</v>
      </c>
      <c r="W119" s="134">
        <f t="shared" si="42"/>
        <v>0</v>
      </c>
      <c r="X119" s="134">
        <f t="shared" si="24"/>
        <v>0</v>
      </c>
      <c r="Y119" s="134">
        <f t="shared" si="25"/>
        <v>0</v>
      </c>
      <c r="Z119" s="134">
        <f t="shared" si="3"/>
        <v>2.2737367544323206E-12</v>
      </c>
      <c r="AA119" s="134">
        <f t="shared" si="43"/>
        <v>0</v>
      </c>
      <c r="AB119" s="134">
        <f t="shared" si="4"/>
        <v>0</v>
      </c>
      <c r="AC119" s="134">
        <f t="shared" si="33"/>
        <v>0</v>
      </c>
      <c r="AD119" s="134"/>
      <c r="AE119" s="134">
        <f t="shared" si="40"/>
        <v>0</v>
      </c>
      <c r="AF119" s="134">
        <f t="shared" si="40"/>
        <v>0</v>
      </c>
      <c r="AG119" s="134">
        <f t="shared" si="27"/>
        <v>0</v>
      </c>
      <c r="AH119" s="134">
        <f t="shared" si="6"/>
        <v>0</v>
      </c>
      <c r="AI119" s="134">
        <f t="shared" si="28"/>
        <v>0</v>
      </c>
      <c r="AJ119" s="134">
        <f t="shared" si="7"/>
        <v>0</v>
      </c>
      <c r="AK119" s="134">
        <f t="shared" si="8"/>
        <v>0</v>
      </c>
      <c r="AL119" s="134">
        <f t="shared" si="44"/>
        <v>0</v>
      </c>
      <c r="AM119" s="134">
        <f t="shared" si="45"/>
        <v>0</v>
      </c>
      <c r="AN119" s="132">
        <f t="shared" si="29"/>
        <v>0</v>
      </c>
      <c r="AO119" s="132">
        <f t="shared" si="9"/>
        <v>0</v>
      </c>
      <c r="AP119" s="2">
        <f t="shared" si="30"/>
        <v>0</v>
      </c>
      <c r="AQ119" s="2">
        <f t="shared" si="10"/>
        <v>0</v>
      </c>
      <c r="AR119" s="2">
        <f t="shared" si="11"/>
        <v>0</v>
      </c>
      <c r="AS119" s="2">
        <f t="shared" si="12"/>
        <v>30</v>
      </c>
      <c r="AT119" s="2">
        <f t="shared" si="13"/>
        <v>20</v>
      </c>
      <c r="AU119" s="2">
        <f t="shared" si="31"/>
        <v>30</v>
      </c>
      <c r="AV119" s="2"/>
      <c r="AW119" s="2"/>
      <c r="AX119" s="2"/>
      <c r="AY119" s="2"/>
      <c r="AZ119" s="2"/>
      <c r="BA119" s="2">
        <f t="shared" si="14"/>
        <v>0</v>
      </c>
      <c r="BB119" s="2"/>
      <c r="BC119" s="2"/>
      <c r="BD119" s="2"/>
      <c r="BE119" s="2"/>
      <c r="BF119" s="2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</row>
    <row r="120" spans="1:143" s="24" customFormat="1" ht="15" hidden="1" customHeight="1">
      <c r="A120" s="4">
        <v>49</v>
      </c>
      <c r="B120" s="268" t="str">
        <f t="shared" si="16"/>
        <v xml:space="preserve"> </v>
      </c>
      <c r="C120" s="268"/>
      <c r="D120" s="269" t="str">
        <f>IF(O120=0,IF(O119=1,SUM(D$72:F119)," "),IF(O120=0," ",IF(O121=1,D$72,IF(O121=0,D$4-D$72*(N$60-1)," "))))</f>
        <v xml:space="preserve"> </v>
      </c>
      <c r="E120" s="269"/>
      <c r="F120" s="269"/>
      <c r="G120" s="87" t="str">
        <f>IF(O120=0,IF(O119=1,SUM(G$72:G119)," "),IF(N$41=1,Q120,IF(N$41=2,R120," ")))</f>
        <v xml:space="preserve"> </v>
      </c>
      <c r="H120" s="87">
        <v>0</v>
      </c>
      <c r="I120" s="87" t="str">
        <f t="shared" si="17"/>
        <v xml:space="preserve"> </v>
      </c>
      <c r="J120" s="87">
        <f t="shared" si="18"/>
        <v>0</v>
      </c>
      <c r="K120" s="87">
        <f t="shared" si="0"/>
        <v>0</v>
      </c>
      <c r="L120" s="87">
        <v>0</v>
      </c>
      <c r="M120" s="87" t="str">
        <f t="shared" si="19"/>
        <v xml:space="preserve"> </v>
      </c>
      <c r="N120" s="2">
        <v>49</v>
      </c>
      <c r="O120" s="2">
        <f t="shared" si="32"/>
        <v>0</v>
      </c>
      <c r="P120" s="2">
        <f t="shared" si="1"/>
        <v>20</v>
      </c>
      <c r="Q120" s="134">
        <f t="shared" si="39"/>
        <v>0</v>
      </c>
      <c r="R120" s="134">
        <f t="shared" si="39"/>
        <v>0</v>
      </c>
      <c r="S120" s="134">
        <f t="shared" si="21"/>
        <v>0</v>
      </c>
      <c r="T120" s="134" t="str">
        <f t="shared" si="22"/>
        <v xml:space="preserve"> </v>
      </c>
      <c r="U120" s="134" t="str">
        <f t="shared" si="23"/>
        <v xml:space="preserve"> </v>
      </c>
      <c r="V120" s="134">
        <f>IF(O121=1,S119*D$5*20/36000+S120*D$5*10/36000,IF(O121=0,IF(O120=0,0,IF(D$10&gt;20,S119*D$5*20/36000+S120*D$5*(R$58-20)/36000,S120*D$5*R$58/36000))))</f>
        <v>0</v>
      </c>
      <c r="W120" s="134">
        <f>IF(O121=1,S119*D$5*20/36000+S120*D$5*10/36000,IF(O121=0,IF(O120=0,0,IF(D$10&gt;20,S119*D$5*20/36000+S120*D$5*(R$58-20)/36000,S120*D$5*R$58/36000))))</f>
        <v>0</v>
      </c>
      <c r="X120" s="134">
        <f t="shared" si="24"/>
        <v>0</v>
      </c>
      <c r="Y120" s="134">
        <f t="shared" si="25"/>
        <v>0</v>
      </c>
      <c r="Z120" s="134">
        <f t="shared" si="3"/>
        <v>2.2737367544323206E-12</v>
      </c>
      <c r="AA120" s="134">
        <f>IF(O121=1,Z119*D$5*20/36000+Z120*D$5*10/36000,IF(O121=0,IF(O120=0,0,IF(D$10&gt;20,Z119*D$5*20/36000+Z120*D$5*(R$58-20)/36000,Z120*D$5*R$58/36000))))</f>
        <v>0</v>
      </c>
      <c r="AB120" s="134">
        <f t="shared" si="4"/>
        <v>0</v>
      </c>
      <c r="AC120" s="134">
        <f t="shared" si="33"/>
        <v>0</v>
      </c>
      <c r="AD120" s="134"/>
      <c r="AE120" s="134">
        <f t="shared" si="40"/>
        <v>0</v>
      </c>
      <c r="AF120" s="134">
        <f t="shared" si="40"/>
        <v>0</v>
      </c>
      <c r="AG120" s="134">
        <f t="shared" si="27"/>
        <v>0</v>
      </c>
      <c r="AH120" s="134">
        <f t="shared" si="6"/>
        <v>0</v>
      </c>
      <c r="AI120" s="134">
        <f t="shared" si="28"/>
        <v>0</v>
      </c>
      <c r="AJ120" s="134">
        <f t="shared" si="7"/>
        <v>0</v>
      </c>
      <c r="AK120" s="134">
        <f t="shared" si="8"/>
        <v>0</v>
      </c>
      <c r="AL120" s="134">
        <f>IF(O121=1,AK119*H$58*20/36000+AK120*H$58*10/36000,IF(O121=0,IF(O120=0,0,AK120*H$58*R$58/36000)))</f>
        <v>0</v>
      </c>
      <c r="AM120" s="134">
        <f>IF(O121=1,AK119*H$58*20/36000+AK120*H$58*10/36000,IF(O121=0,IF(O120=0,0,AK120*H$58*R$58/36000)))</f>
        <v>0</v>
      </c>
      <c r="AN120" s="132">
        <f t="shared" si="29"/>
        <v>0</v>
      </c>
      <c r="AO120" s="132">
        <f t="shared" si="9"/>
        <v>0</v>
      </c>
      <c r="AP120" s="2">
        <f t="shared" si="30"/>
        <v>0</v>
      </c>
      <c r="AQ120" s="2">
        <f t="shared" si="10"/>
        <v>0</v>
      </c>
      <c r="AR120" s="2">
        <f t="shared" si="11"/>
        <v>0</v>
      </c>
      <c r="AS120" s="2">
        <f t="shared" si="12"/>
        <v>30</v>
      </c>
      <c r="AT120" s="2">
        <f t="shared" si="13"/>
        <v>20</v>
      </c>
      <c r="AU120" s="2">
        <f t="shared" si="31"/>
        <v>30</v>
      </c>
      <c r="AV120" s="2"/>
      <c r="AW120" s="2"/>
      <c r="AX120" s="2"/>
      <c r="AY120" s="2"/>
      <c r="AZ120" s="2"/>
      <c r="BA120" s="2">
        <f t="shared" si="14"/>
        <v>0</v>
      </c>
      <c r="BB120" s="2"/>
      <c r="BC120" s="2"/>
      <c r="BD120" s="2"/>
      <c r="BE120" s="2"/>
      <c r="BF120" s="2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</row>
    <row r="121" spans="1:143" s="24" customFormat="1" ht="15" hidden="1" customHeight="1">
      <c r="A121" s="4"/>
      <c r="B121" s="268" t="str">
        <f t="shared" si="16"/>
        <v xml:space="preserve"> </v>
      </c>
      <c r="C121" s="268"/>
      <c r="D121" s="269" t="str">
        <f>IF(O121=0,IF(O120=1,SUM(D$72:F120)," "),IF(O121=0," ",IF(O122=1,D$72,IF(O122=0,D$4-D$72*(N$60-1)," "))))</f>
        <v xml:space="preserve"> </v>
      </c>
      <c r="E121" s="269"/>
      <c r="F121" s="269"/>
      <c r="G121" s="87" t="str">
        <f>IF(O121=0,IF(O120=1,SUM(G$72:G120)," "),IF(N$41=1,Q121,IF(N$41=2,R121," ")))</f>
        <v xml:space="preserve"> </v>
      </c>
      <c r="H121" s="87">
        <v>0</v>
      </c>
      <c r="I121" s="87" t="str">
        <f t="shared" si="17"/>
        <v xml:space="preserve"> </v>
      </c>
      <c r="J121" s="87">
        <f t="shared" si="18"/>
        <v>0</v>
      </c>
      <c r="K121" s="87">
        <f t="shared" si="0"/>
        <v>0</v>
      </c>
      <c r="L121" s="87">
        <v>0</v>
      </c>
      <c r="M121" s="87" t="str">
        <f t="shared" si="19"/>
        <v xml:space="preserve"> </v>
      </c>
      <c r="N121" s="2">
        <v>50</v>
      </c>
      <c r="O121" s="2">
        <f t="shared" si="32"/>
        <v>0</v>
      </c>
      <c r="P121" s="2">
        <f t="shared" si="1"/>
        <v>20</v>
      </c>
      <c r="Q121" s="134">
        <f t="shared" si="39"/>
        <v>0</v>
      </c>
      <c r="R121" s="134">
        <f t="shared" si="39"/>
        <v>0</v>
      </c>
      <c r="S121" s="134">
        <f t="shared" si="21"/>
        <v>0</v>
      </c>
      <c r="T121" s="134" t="str">
        <f t="shared" si="22"/>
        <v xml:space="preserve"> </v>
      </c>
      <c r="U121" s="134" t="str">
        <f t="shared" si="23"/>
        <v xml:space="preserve"> </v>
      </c>
      <c r="V121" s="134">
        <f t="shared" ref="V121:V131" si="46">IF(O122=1,S120*D$5*20/36000+S121*D$5*10/36000,IF(O122=0,IF(O121=0,0,S121*D$5*R$58/36000+S120*D$5*20/36000+S121*D$5*10/36000)))</f>
        <v>0</v>
      </c>
      <c r="W121" s="134">
        <f t="shared" ref="W121:W131" si="47">IF(O122=1,S120*D$5*20/36000+S121*D$5*10/36000,IF(O122=0,IF(O121=0,0,S121*D$5*R$58/36000+S120*D$5*20/36000+S121*D$5*10/36000)))</f>
        <v>0</v>
      </c>
      <c r="X121" s="134">
        <f t="shared" si="24"/>
        <v>0</v>
      </c>
      <c r="Y121" s="134">
        <f t="shared" si="25"/>
        <v>0</v>
      </c>
      <c r="Z121" s="134">
        <f t="shared" si="3"/>
        <v>2.2737367544323206E-12</v>
      </c>
      <c r="AA121" s="134">
        <f t="shared" ref="AA121:AA131" si="48">IF(O122=1,Z120*D$5*20/36000+Z121*D$5*10/36000,IF(O122=0,IF(O121=0,0,Z121*D$5*R$58/36000+Z120*D$5*20/36000+Z121*D$5*10/36000)))</f>
        <v>0</v>
      </c>
      <c r="AB121" s="134">
        <f t="shared" si="4"/>
        <v>0</v>
      </c>
      <c r="AC121" s="134">
        <f t="shared" si="33"/>
        <v>0</v>
      </c>
      <c r="AD121" s="134"/>
      <c r="AE121" s="134">
        <f t="shared" si="40"/>
        <v>0</v>
      </c>
      <c r="AF121" s="134">
        <f t="shared" si="40"/>
        <v>0</v>
      </c>
      <c r="AG121" s="134">
        <f t="shared" si="27"/>
        <v>0</v>
      </c>
      <c r="AH121" s="134">
        <f t="shared" si="6"/>
        <v>0</v>
      </c>
      <c r="AI121" s="134">
        <f t="shared" si="28"/>
        <v>0</v>
      </c>
      <c r="AJ121" s="134">
        <f t="shared" si="7"/>
        <v>0</v>
      </c>
      <c r="AK121" s="134">
        <f t="shared" si="8"/>
        <v>0</v>
      </c>
      <c r="AL121" s="134">
        <f t="shared" ref="AL121:AL131" si="49">IF(O122=1,AK120*H$58*20/36000+AK121*H$58*10/36000,IF(O122=0,IF(O121=0,0,AK121*H$58*R$58/36000+AK120*H$58*20/36000+AK121*H$58*10/36000)))</f>
        <v>0</v>
      </c>
      <c r="AM121" s="134">
        <f t="shared" ref="AM121:AM131" si="50">IF(O122=1,AK120*H$58*20/36000+AK121*H$58*10/36000,IF(O122=0,IF(O121=0,0,AK121*H$58*R$58/36000+AK120*H$58*20/36000+AK121*H$58*10/36000)))</f>
        <v>0</v>
      </c>
      <c r="AN121" s="132">
        <f t="shared" si="29"/>
        <v>0</v>
      </c>
      <c r="AO121" s="132">
        <f t="shared" si="9"/>
        <v>0</v>
      </c>
      <c r="AP121" s="2">
        <f t="shared" si="30"/>
        <v>0</v>
      </c>
      <c r="AQ121" s="2">
        <f t="shared" si="10"/>
        <v>0</v>
      </c>
      <c r="AR121" s="2">
        <f t="shared" si="11"/>
        <v>0</v>
      </c>
      <c r="AS121" s="2">
        <f t="shared" si="12"/>
        <v>30</v>
      </c>
      <c r="AT121" s="2">
        <f t="shared" si="13"/>
        <v>20</v>
      </c>
      <c r="AU121" s="2">
        <f t="shared" si="31"/>
        <v>30</v>
      </c>
      <c r="AV121" s="2"/>
      <c r="AW121" s="2"/>
      <c r="AX121" s="2"/>
      <c r="AY121" s="2"/>
      <c r="AZ121" s="2"/>
      <c r="BA121" s="2">
        <f t="shared" si="14"/>
        <v>0</v>
      </c>
      <c r="BB121" s="2"/>
      <c r="BC121" s="2"/>
      <c r="BD121" s="2"/>
      <c r="BE121" s="2"/>
      <c r="BF121" s="2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</row>
    <row r="122" spans="1:143" s="24" customFormat="1" ht="15" hidden="1" customHeight="1">
      <c r="A122" s="4"/>
      <c r="B122" s="268" t="str">
        <f t="shared" si="16"/>
        <v xml:space="preserve"> </v>
      </c>
      <c r="C122" s="268"/>
      <c r="D122" s="269" t="str">
        <f>IF(O122=0,IF(O121=1,SUM(D$72:F121)," "),IF(O122=0," ",IF(O123=1,D$72,IF(O123=0,D$4-D$72*(N$60-1)," "))))</f>
        <v xml:space="preserve"> </v>
      </c>
      <c r="E122" s="269"/>
      <c r="F122" s="269"/>
      <c r="G122" s="87" t="str">
        <f>IF(O122=0,IF(O121=1,SUM(G$72:G121)," "),IF(N$41=1,Q122,IF(N$41=2,R122," ")))</f>
        <v xml:space="preserve"> </v>
      </c>
      <c r="H122" s="87">
        <v>0</v>
      </c>
      <c r="I122" s="87" t="str">
        <f t="shared" si="17"/>
        <v xml:space="preserve"> </v>
      </c>
      <c r="J122" s="87">
        <f t="shared" si="18"/>
        <v>0</v>
      </c>
      <c r="K122" s="87">
        <f t="shared" si="0"/>
        <v>0</v>
      </c>
      <c r="L122" s="87">
        <v>0</v>
      </c>
      <c r="M122" s="87" t="str">
        <f t="shared" si="19"/>
        <v xml:space="preserve"> </v>
      </c>
      <c r="N122" s="2">
        <v>51</v>
      </c>
      <c r="O122" s="2">
        <f t="shared" si="32"/>
        <v>0</v>
      </c>
      <c r="P122" s="2">
        <f t="shared" si="1"/>
        <v>20</v>
      </c>
      <c r="Q122" s="134">
        <f t="shared" si="39"/>
        <v>0</v>
      </c>
      <c r="R122" s="134">
        <f t="shared" si="39"/>
        <v>0</v>
      </c>
      <c r="S122" s="134">
        <f t="shared" si="21"/>
        <v>0</v>
      </c>
      <c r="T122" s="134" t="str">
        <f t="shared" si="22"/>
        <v xml:space="preserve"> </v>
      </c>
      <c r="U122" s="134" t="str">
        <f t="shared" si="23"/>
        <v xml:space="preserve"> </v>
      </c>
      <c r="V122" s="134">
        <f t="shared" si="46"/>
        <v>0</v>
      </c>
      <c r="W122" s="134">
        <f t="shared" si="47"/>
        <v>0</v>
      </c>
      <c r="X122" s="134">
        <f t="shared" si="24"/>
        <v>0</v>
      </c>
      <c r="Y122" s="134">
        <f t="shared" si="25"/>
        <v>0</v>
      </c>
      <c r="Z122" s="134">
        <f t="shared" si="3"/>
        <v>2.2737367544323206E-12</v>
      </c>
      <c r="AA122" s="134">
        <f t="shared" si="48"/>
        <v>0</v>
      </c>
      <c r="AB122" s="134">
        <f t="shared" si="4"/>
        <v>0</v>
      </c>
      <c r="AC122" s="134">
        <f t="shared" si="33"/>
        <v>0</v>
      </c>
      <c r="AD122" s="134"/>
      <c r="AE122" s="134">
        <f t="shared" si="40"/>
        <v>0</v>
      </c>
      <c r="AF122" s="134">
        <f t="shared" si="40"/>
        <v>0</v>
      </c>
      <c r="AG122" s="134">
        <f t="shared" si="27"/>
        <v>0</v>
      </c>
      <c r="AH122" s="134">
        <f t="shared" si="6"/>
        <v>0</v>
      </c>
      <c r="AI122" s="134">
        <f t="shared" si="28"/>
        <v>0</v>
      </c>
      <c r="AJ122" s="134">
        <f t="shared" si="7"/>
        <v>0</v>
      </c>
      <c r="AK122" s="134">
        <f t="shared" si="8"/>
        <v>0</v>
      </c>
      <c r="AL122" s="134">
        <f t="shared" si="49"/>
        <v>0</v>
      </c>
      <c r="AM122" s="134">
        <f t="shared" si="50"/>
        <v>0</v>
      </c>
      <c r="AN122" s="132">
        <f t="shared" si="29"/>
        <v>0</v>
      </c>
      <c r="AO122" s="132">
        <f t="shared" si="9"/>
        <v>0</v>
      </c>
      <c r="AP122" s="2">
        <f t="shared" si="30"/>
        <v>0</v>
      </c>
      <c r="AQ122" s="2">
        <f t="shared" si="10"/>
        <v>0</v>
      </c>
      <c r="AR122" s="2">
        <f t="shared" si="11"/>
        <v>0</v>
      </c>
      <c r="AS122" s="2">
        <f t="shared" si="12"/>
        <v>30</v>
      </c>
      <c r="AT122" s="2">
        <f t="shared" si="13"/>
        <v>20</v>
      </c>
      <c r="AU122" s="2">
        <f t="shared" si="31"/>
        <v>30</v>
      </c>
      <c r="AV122" s="2"/>
      <c r="AW122" s="2"/>
      <c r="AX122" s="2"/>
      <c r="AY122" s="2"/>
      <c r="AZ122" s="2"/>
      <c r="BA122" s="2">
        <f t="shared" si="14"/>
        <v>0</v>
      </c>
      <c r="BB122" s="2"/>
      <c r="BC122" s="2"/>
      <c r="BD122" s="2"/>
      <c r="BE122" s="2"/>
      <c r="BF122" s="2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</row>
    <row r="123" spans="1:143" s="24" customFormat="1" ht="15" hidden="1" customHeight="1">
      <c r="A123" s="4"/>
      <c r="B123" s="268" t="str">
        <f t="shared" si="16"/>
        <v xml:space="preserve"> </v>
      </c>
      <c r="C123" s="268"/>
      <c r="D123" s="269" t="str">
        <f>IF(O123=0,IF(O122=1,SUM(D$72:F122)," "),IF(O123=0," ",IF(O124=1,D$72,IF(O124=0,D$4-D$72*(N$60-1)," "))))</f>
        <v xml:space="preserve"> </v>
      </c>
      <c r="E123" s="269"/>
      <c r="F123" s="269"/>
      <c r="G123" s="87" t="str">
        <f>IF(O123=0,IF(O122=1,SUM(G$72:G122)," "),IF(N$41=1,Q123,IF(N$41=2,R123," ")))</f>
        <v xml:space="preserve"> </v>
      </c>
      <c r="H123" s="87">
        <v>0</v>
      </c>
      <c r="I123" s="87" t="str">
        <f t="shared" si="17"/>
        <v xml:space="preserve"> </v>
      </c>
      <c r="J123" s="87">
        <f t="shared" si="18"/>
        <v>0</v>
      </c>
      <c r="K123" s="87">
        <f t="shared" si="0"/>
        <v>0</v>
      </c>
      <c r="L123" s="87">
        <v>0</v>
      </c>
      <c r="M123" s="87" t="str">
        <f t="shared" si="19"/>
        <v xml:space="preserve"> </v>
      </c>
      <c r="N123" s="2">
        <v>52</v>
      </c>
      <c r="O123" s="2">
        <f t="shared" si="32"/>
        <v>0</v>
      </c>
      <c r="P123" s="2">
        <f t="shared" si="1"/>
        <v>20</v>
      </c>
      <c r="Q123" s="134">
        <f t="shared" si="39"/>
        <v>0</v>
      </c>
      <c r="R123" s="134">
        <f t="shared" si="39"/>
        <v>0</v>
      </c>
      <c r="S123" s="134">
        <f t="shared" si="21"/>
        <v>0</v>
      </c>
      <c r="T123" s="134" t="str">
        <f t="shared" si="22"/>
        <v xml:space="preserve"> </v>
      </c>
      <c r="U123" s="134" t="str">
        <f t="shared" si="23"/>
        <v xml:space="preserve"> </v>
      </c>
      <c r="V123" s="134">
        <f t="shared" si="46"/>
        <v>0</v>
      </c>
      <c r="W123" s="134">
        <f t="shared" si="47"/>
        <v>0</v>
      </c>
      <c r="X123" s="134">
        <f t="shared" si="24"/>
        <v>0</v>
      </c>
      <c r="Y123" s="134">
        <f t="shared" si="25"/>
        <v>0</v>
      </c>
      <c r="Z123" s="134">
        <f t="shared" si="3"/>
        <v>2.2737367544323206E-12</v>
      </c>
      <c r="AA123" s="134">
        <f t="shared" si="48"/>
        <v>0</v>
      </c>
      <c r="AB123" s="134">
        <f t="shared" si="4"/>
        <v>0</v>
      </c>
      <c r="AC123" s="134">
        <f t="shared" si="33"/>
        <v>0</v>
      </c>
      <c r="AD123" s="134"/>
      <c r="AE123" s="134">
        <f t="shared" si="40"/>
        <v>0</v>
      </c>
      <c r="AF123" s="134">
        <f t="shared" si="40"/>
        <v>0</v>
      </c>
      <c r="AG123" s="134">
        <f t="shared" si="27"/>
        <v>0</v>
      </c>
      <c r="AH123" s="134">
        <f t="shared" si="6"/>
        <v>0</v>
      </c>
      <c r="AI123" s="134">
        <f t="shared" si="28"/>
        <v>0</v>
      </c>
      <c r="AJ123" s="134">
        <f t="shared" si="7"/>
        <v>0</v>
      </c>
      <c r="AK123" s="134">
        <f t="shared" si="8"/>
        <v>0</v>
      </c>
      <c r="AL123" s="134">
        <f t="shared" si="49"/>
        <v>0</v>
      </c>
      <c r="AM123" s="134">
        <f t="shared" si="50"/>
        <v>0</v>
      </c>
      <c r="AN123" s="132">
        <f t="shared" si="29"/>
        <v>0</v>
      </c>
      <c r="AO123" s="132">
        <f t="shared" si="9"/>
        <v>0</v>
      </c>
      <c r="AP123" s="2">
        <f t="shared" si="30"/>
        <v>0</v>
      </c>
      <c r="AQ123" s="2">
        <f t="shared" si="10"/>
        <v>0</v>
      </c>
      <c r="AR123" s="2">
        <f t="shared" si="11"/>
        <v>0</v>
      </c>
      <c r="AS123" s="2">
        <f t="shared" si="12"/>
        <v>30</v>
      </c>
      <c r="AT123" s="2">
        <f t="shared" si="13"/>
        <v>20</v>
      </c>
      <c r="AU123" s="2">
        <f t="shared" si="31"/>
        <v>30</v>
      </c>
      <c r="AV123" s="2"/>
      <c r="AW123" s="2"/>
      <c r="AX123" s="2"/>
      <c r="AY123" s="2"/>
      <c r="AZ123" s="2"/>
      <c r="BA123" s="2">
        <f t="shared" si="14"/>
        <v>0</v>
      </c>
      <c r="BB123" s="2"/>
      <c r="BC123" s="2"/>
      <c r="BD123" s="2"/>
      <c r="BE123" s="2"/>
      <c r="BF123" s="2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</row>
    <row r="124" spans="1:143" s="24" customFormat="1" ht="15" hidden="1" customHeight="1">
      <c r="A124" s="4"/>
      <c r="B124" s="268" t="str">
        <f t="shared" si="16"/>
        <v xml:space="preserve"> </v>
      </c>
      <c r="C124" s="268"/>
      <c r="D124" s="269" t="str">
        <f>IF(O124=0,IF(O123=1,SUM(D$72:F123)," "),IF(O124=0," ",IF(O125=1,D$72,IF(O125=0,D$4-D$72*(N$60-1)," "))))</f>
        <v xml:space="preserve"> </v>
      </c>
      <c r="E124" s="269"/>
      <c r="F124" s="269"/>
      <c r="G124" s="87" t="str">
        <f>IF(O124=0,IF(O123=1,SUM(G$72:G123)," "),IF(N$41=1,Q124,IF(N$41=2,R124," ")))</f>
        <v xml:space="preserve"> </v>
      </c>
      <c r="H124" s="87">
        <v>0</v>
      </c>
      <c r="I124" s="87" t="str">
        <f t="shared" si="17"/>
        <v xml:space="preserve"> </v>
      </c>
      <c r="J124" s="87">
        <f t="shared" si="18"/>
        <v>0</v>
      </c>
      <c r="K124" s="87">
        <f t="shared" si="0"/>
        <v>0</v>
      </c>
      <c r="L124" s="87">
        <v>0</v>
      </c>
      <c r="M124" s="87" t="str">
        <f t="shared" si="19"/>
        <v xml:space="preserve"> </v>
      </c>
      <c r="N124" s="2">
        <v>53</v>
      </c>
      <c r="O124" s="2">
        <f t="shared" si="32"/>
        <v>0</v>
      </c>
      <c r="P124" s="2">
        <f t="shared" si="1"/>
        <v>20</v>
      </c>
      <c r="Q124" s="134">
        <f t="shared" si="39"/>
        <v>0</v>
      </c>
      <c r="R124" s="134">
        <f t="shared" si="39"/>
        <v>0</v>
      </c>
      <c r="S124" s="134">
        <f t="shared" si="21"/>
        <v>0</v>
      </c>
      <c r="T124" s="134" t="str">
        <f t="shared" si="22"/>
        <v xml:space="preserve"> </v>
      </c>
      <c r="U124" s="134" t="str">
        <f t="shared" si="23"/>
        <v xml:space="preserve"> </v>
      </c>
      <c r="V124" s="134">
        <f t="shared" si="46"/>
        <v>0</v>
      </c>
      <c r="W124" s="134">
        <f t="shared" si="47"/>
        <v>0</v>
      </c>
      <c r="X124" s="134">
        <f t="shared" si="24"/>
        <v>0</v>
      </c>
      <c r="Y124" s="134">
        <f t="shared" si="25"/>
        <v>0</v>
      </c>
      <c r="Z124" s="134">
        <f t="shared" si="3"/>
        <v>2.2737367544323206E-12</v>
      </c>
      <c r="AA124" s="134">
        <f t="shared" si="48"/>
        <v>0</v>
      </c>
      <c r="AB124" s="134">
        <f t="shared" si="4"/>
        <v>0</v>
      </c>
      <c r="AC124" s="134">
        <f t="shared" si="33"/>
        <v>0</v>
      </c>
      <c r="AD124" s="134"/>
      <c r="AE124" s="134">
        <f t="shared" si="40"/>
        <v>0</v>
      </c>
      <c r="AF124" s="134">
        <f t="shared" si="40"/>
        <v>0</v>
      </c>
      <c r="AG124" s="134">
        <f t="shared" si="27"/>
        <v>0</v>
      </c>
      <c r="AH124" s="134">
        <f t="shared" si="6"/>
        <v>0</v>
      </c>
      <c r="AI124" s="134">
        <f t="shared" si="28"/>
        <v>0</v>
      </c>
      <c r="AJ124" s="134">
        <f t="shared" si="7"/>
        <v>0</v>
      </c>
      <c r="AK124" s="134">
        <f t="shared" si="8"/>
        <v>0</v>
      </c>
      <c r="AL124" s="134">
        <f t="shared" si="49"/>
        <v>0</v>
      </c>
      <c r="AM124" s="134">
        <f t="shared" si="50"/>
        <v>0</v>
      </c>
      <c r="AN124" s="132">
        <f t="shared" si="29"/>
        <v>0</v>
      </c>
      <c r="AO124" s="132">
        <f t="shared" si="9"/>
        <v>0</v>
      </c>
      <c r="AP124" s="2">
        <f t="shared" si="30"/>
        <v>0</v>
      </c>
      <c r="AQ124" s="2">
        <f t="shared" si="10"/>
        <v>0</v>
      </c>
      <c r="AR124" s="2">
        <f t="shared" si="11"/>
        <v>0</v>
      </c>
      <c r="AS124" s="2">
        <f t="shared" si="12"/>
        <v>30</v>
      </c>
      <c r="AT124" s="2">
        <f t="shared" si="13"/>
        <v>20</v>
      </c>
      <c r="AU124" s="2">
        <f t="shared" si="31"/>
        <v>30</v>
      </c>
      <c r="AV124" s="2"/>
      <c r="AW124" s="2"/>
      <c r="AX124" s="2"/>
      <c r="AY124" s="2"/>
      <c r="AZ124" s="2"/>
      <c r="BA124" s="2">
        <f t="shared" si="14"/>
        <v>0</v>
      </c>
      <c r="BB124" s="2"/>
      <c r="BC124" s="2"/>
      <c r="BD124" s="2"/>
      <c r="BE124" s="2"/>
      <c r="BF124" s="2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</row>
    <row r="125" spans="1:143" s="24" customFormat="1" ht="15" hidden="1" customHeight="1">
      <c r="A125" s="4"/>
      <c r="B125" s="268" t="str">
        <f t="shared" si="16"/>
        <v xml:space="preserve"> </v>
      </c>
      <c r="C125" s="268"/>
      <c r="D125" s="269" t="str">
        <f>IF(O125=0,IF(O124=1,SUM(D$72:F124)," "),IF(O125=0," ",IF(O126=1,D$72,IF(O126=0,D$4-D$72*(N$60-1)," "))))</f>
        <v xml:space="preserve"> </v>
      </c>
      <c r="E125" s="269"/>
      <c r="F125" s="269"/>
      <c r="G125" s="87" t="str">
        <f>IF(O125=0,IF(O124=1,SUM(G$72:G124)," "),IF(N$41=1,Q125,IF(N$41=2,R125," ")))</f>
        <v xml:space="preserve"> </v>
      </c>
      <c r="H125" s="87">
        <v>0</v>
      </c>
      <c r="I125" s="87" t="str">
        <f t="shared" si="17"/>
        <v xml:space="preserve"> </v>
      </c>
      <c r="J125" s="87">
        <f t="shared" si="18"/>
        <v>0</v>
      </c>
      <c r="K125" s="87">
        <f t="shared" si="0"/>
        <v>0</v>
      </c>
      <c r="L125" s="87">
        <v>0</v>
      </c>
      <c r="M125" s="87" t="str">
        <f t="shared" si="19"/>
        <v xml:space="preserve"> </v>
      </c>
      <c r="N125" s="2">
        <v>54</v>
      </c>
      <c r="O125" s="2">
        <f t="shared" si="32"/>
        <v>0</v>
      </c>
      <c r="P125" s="2">
        <f t="shared" si="1"/>
        <v>20</v>
      </c>
      <c r="Q125" s="134">
        <f t="shared" si="39"/>
        <v>0</v>
      </c>
      <c r="R125" s="134">
        <f t="shared" si="39"/>
        <v>0</v>
      </c>
      <c r="S125" s="134">
        <f t="shared" si="21"/>
        <v>0</v>
      </c>
      <c r="T125" s="134" t="str">
        <f t="shared" si="22"/>
        <v xml:space="preserve"> </v>
      </c>
      <c r="U125" s="134" t="str">
        <f t="shared" si="23"/>
        <v xml:space="preserve"> </v>
      </c>
      <c r="V125" s="134">
        <f t="shared" si="46"/>
        <v>0</v>
      </c>
      <c r="W125" s="134">
        <f t="shared" si="47"/>
        <v>0</v>
      </c>
      <c r="X125" s="134">
        <f t="shared" si="24"/>
        <v>0</v>
      </c>
      <c r="Y125" s="134">
        <f t="shared" si="25"/>
        <v>0</v>
      </c>
      <c r="Z125" s="134">
        <f t="shared" si="3"/>
        <v>2.2737367544323206E-12</v>
      </c>
      <c r="AA125" s="134">
        <f t="shared" si="48"/>
        <v>0</v>
      </c>
      <c r="AB125" s="134">
        <f t="shared" si="4"/>
        <v>0</v>
      </c>
      <c r="AC125" s="134">
        <f t="shared" si="33"/>
        <v>0</v>
      </c>
      <c r="AD125" s="134"/>
      <c r="AE125" s="134">
        <f t="shared" si="40"/>
        <v>0</v>
      </c>
      <c r="AF125" s="134">
        <f t="shared" si="40"/>
        <v>0</v>
      </c>
      <c r="AG125" s="134">
        <f t="shared" si="27"/>
        <v>0</v>
      </c>
      <c r="AH125" s="134">
        <f t="shared" si="6"/>
        <v>0</v>
      </c>
      <c r="AI125" s="134">
        <f t="shared" si="28"/>
        <v>0</v>
      </c>
      <c r="AJ125" s="134">
        <f t="shared" si="7"/>
        <v>0</v>
      </c>
      <c r="AK125" s="134">
        <f t="shared" si="8"/>
        <v>0</v>
      </c>
      <c r="AL125" s="134">
        <f t="shared" si="49"/>
        <v>0</v>
      </c>
      <c r="AM125" s="134">
        <f t="shared" si="50"/>
        <v>0</v>
      </c>
      <c r="AN125" s="132">
        <f t="shared" si="29"/>
        <v>0</v>
      </c>
      <c r="AO125" s="132">
        <f t="shared" si="9"/>
        <v>0</v>
      </c>
      <c r="AP125" s="2">
        <f t="shared" si="30"/>
        <v>0</v>
      </c>
      <c r="AQ125" s="2">
        <f t="shared" si="10"/>
        <v>0</v>
      </c>
      <c r="AR125" s="2">
        <f t="shared" si="11"/>
        <v>0</v>
      </c>
      <c r="AS125" s="2">
        <f t="shared" si="12"/>
        <v>30</v>
      </c>
      <c r="AT125" s="2">
        <f t="shared" si="13"/>
        <v>20</v>
      </c>
      <c r="AU125" s="2">
        <f t="shared" si="31"/>
        <v>30</v>
      </c>
      <c r="AV125" s="2"/>
      <c r="AW125" s="2"/>
      <c r="AX125" s="2"/>
      <c r="AY125" s="2"/>
      <c r="AZ125" s="2"/>
      <c r="BA125" s="2">
        <f t="shared" si="14"/>
        <v>0</v>
      </c>
      <c r="BB125" s="2"/>
      <c r="BC125" s="2"/>
      <c r="BD125" s="2"/>
      <c r="BE125" s="2"/>
      <c r="BF125" s="2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</row>
    <row r="126" spans="1:143" s="24" customFormat="1" ht="15" hidden="1" customHeight="1">
      <c r="A126" s="4"/>
      <c r="B126" s="268" t="str">
        <f t="shared" si="16"/>
        <v xml:space="preserve"> </v>
      </c>
      <c r="C126" s="268"/>
      <c r="D126" s="269" t="str">
        <f>IF(O126=0,IF(O125=1,SUM(D$72:F125)," "),IF(O126=0," ",IF(O127=1,D$72,IF(O127=0,D$4-D$72*(N$60-1)," "))))</f>
        <v xml:space="preserve"> </v>
      </c>
      <c r="E126" s="269"/>
      <c r="F126" s="269"/>
      <c r="G126" s="87" t="str">
        <f>IF(O126=0,IF(O125=1,SUM(G$72:G125)," "),IF(N$41=1,Q126,IF(N$41=2,R126," ")))</f>
        <v xml:space="preserve"> </v>
      </c>
      <c r="H126" s="87">
        <v>0</v>
      </c>
      <c r="I126" s="87" t="str">
        <f t="shared" si="17"/>
        <v xml:space="preserve"> </v>
      </c>
      <c r="J126" s="87">
        <f t="shared" si="18"/>
        <v>0</v>
      </c>
      <c r="K126" s="87">
        <f t="shared" si="0"/>
        <v>0</v>
      </c>
      <c r="L126" s="87">
        <v>0</v>
      </c>
      <c r="M126" s="87" t="str">
        <f t="shared" si="19"/>
        <v xml:space="preserve"> </v>
      </c>
      <c r="N126" s="2">
        <v>55</v>
      </c>
      <c r="O126" s="2">
        <f t="shared" si="32"/>
        <v>0</v>
      </c>
      <c r="P126" s="2">
        <f t="shared" si="1"/>
        <v>20</v>
      </c>
      <c r="Q126" s="134">
        <f t="shared" si="39"/>
        <v>0</v>
      </c>
      <c r="R126" s="134">
        <f t="shared" si="39"/>
        <v>0</v>
      </c>
      <c r="S126" s="134">
        <f t="shared" si="21"/>
        <v>0</v>
      </c>
      <c r="T126" s="134" t="str">
        <f t="shared" si="22"/>
        <v xml:space="preserve"> </v>
      </c>
      <c r="U126" s="134" t="str">
        <f t="shared" si="23"/>
        <v xml:space="preserve"> </v>
      </c>
      <c r="V126" s="134">
        <f t="shared" si="46"/>
        <v>0</v>
      </c>
      <c r="W126" s="134">
        <f t="shared" si="47"/>
        <v>0</v>
      </c>
      <c r="X126" s="134">
        <f t="shared" si="24"/>
        <v>0</v>
      </c>
      <c r="Y126" s="134">
        <f t="shared" si="25"/>
        <v>0</v>
      </c>
      <c r="Z126" s="134">
        <f t="shared" si="3"/>
        <v>2.2737367544323206E-12</v>
      </c>
      <c r="AA126" s="134">
        <f t="shared" si="48"/>
        <v>0</v>
      </c>
      <c r="AB126" s="134">
        <f t="shared" si="4"/>
        <v>0</v>
      </c>
      <c r="AC126" s="134">
        <f t="shared" si="33"/>
        <v>0</v>
      </c>
      <c r="AD126" s="134"/>
      <c r="AE126" s="134">
        <f t="shared" si="40"/>
        <v>0</v>
      </c>
      <c r="AF126" s="134">
        <f t="shared" si="40"/>
        <v>0</v>
      </c>
      <c r="AG126" s="134">
        <f t="shared" si="27"/>
        <v>0</v>
      </c>
      <c r="AH126" s="134">
        <f t="shared" si="6"/>
        <v>0</v>
      </c>
      <c r="AI126" s="134">
        <f t="shared" si="28"/>
        <v>0</v>
      </c>
      <c r="AJ126" s="134">
        <f t="shared" si="7"/>
        <v>0</v>
      </c>
      <c r="AK126" s="134">
        <f t="shared" si="8"/>
        <v>0</v>
      </c>
      <c r="AL126" s="134">
        <f t="shared" si="49"/>
        <v>0</v>
      </c>
      <c r="AM126" s="134">
        <f t="shared" si="50"/>
        <v>0</v>
      </c>
      <c r="AN126" s="132">
        <f t="shared" si="29"/>
        <v>0</v>
      </c>
      <c r="AO126" s="132">
        <f t="shared" si="9"/>
        <v>0</v>
      </c>
      <c r="AP126" s="2">
        <f t="shared" si="30"/>
        <v>0</v>
      </c>
      <c r="AQ126" s="2">
        <f t="shared" si="10"/>
        <v>0</v>
      </c>
      <c r="AR126" s="2">
        <f t="shared" si="11"/>
        <v>0</v>
      </c>
      <c r="AS126" s="2">
        <f t="shared" si="12"/>
        <v>30</v>
      </c>
      <c r="AT126" s="2">
        <f t="shared" si="13"/>
        <v>20</v>
      </c>
      <c r="AU126" s="2">
        <f t="shared" si="31"/>
        <v>30</v>
      </c>
      <c r="AV126" s="2"/>
      <c r="AW126" s="2"/>
      <c r="AX126" s="2"/>
      <c r="AY126" s="2"/>
      <c r="AZ126" s="2"/>
      <c r="BA126" s="2">
        <f t="shared" si="14"/>
        <v>0</v>
      </c>
      <c r="BB126" s="2"/>
      <c r="BC126" s="2"/>
      <c r="BD126" s="2"/>
      <c r="BE126" s="2"/>
      <c r="BF126" s="2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</row>
    <row r="127" spans="1:143" s="24" customFormat="1" ht="15" hidden="1" customHeight="1">
      <c r="A127" s="4"/>
      <c r="B127" s="268" t="str">
        <f t="shared" si="16"/>
        <v xml:space="preserve"> </v>
      </c>
      <c r="C127" s="268"/>
      <c r="D127" s="269" t="str">
        <f>IF(O127=0,IF(O126=1,SUM(D$72:F126)," "),IF(O127=0," ",IF(O128=1,D$72,IF(O128=0,D$4-D$72*(N$60-1)," "))))</f>
        <v xml:space="preserve"> </v>
      </c>
      <c r="E127" s="269"/>
      <c r="F127" s="269"/>
      <c r="G127" s="87" t="str">
        <f>IF(O127=0,IF(O126=1,SUM(G$72:G126)," "),IF(N$41=1,Q127,IF(N$41=2,R127," ")))</f>
        <v xml:space="preserve"> </v>
      </c>
      <c r="H127" s="87">
        <v>0</v>
      </c>
      <c r="I127" s="87" t="str">
        <f t="shared" si="17"/>
        <v xml:space="preserve"> </v>
      </c>
      <c r="J127" s="87">
        <f t="shared" si="18"/>
        <v>0</v>
      </c>
      <c r="K127" s="87">
        <f t="shared" si="0"/>
        <v>0</v>
      </c>
      <c r="L127" s="87">
        <v>0</v>
      </c>
      <c r="M127" s="87" t="str">
        <f t="shared" si="19"/>
        <v xml:space="preserve"> </v>
      </c>
      <c r="N127" s="2">
        <v>56</v>
      </c>
      <c r="O127" s="2">
        <f t="shared" si="32"/>
        <v>0</v>
      </c>
      <c r="P127" s="2">
        <f t="shared" si="1"/>
        <v>20</v>
      </c>
      <c r="Q127" s="134">
        <f t="shared" si="39"/>
        <v>0</v>
      </c>
      <c r="R127" s="134">
        <f t="shared" si="39"/>
        <v>0</v>
      </c>
      <c r="S127" s="134">
        <f t="shared" si="21"/>
        <v>0</v>
      </c>
      <c r="T127" s="134" t="str">
        <f t="shared" si="22"/>
        <v xml:space="preserve"> </v>
      </c>
      <c r="U127" s="134" t="str">
        <f t="shared" si="23"/>
        <v xml:space="preserve"> </v>
      </c>
      <c r="V127" s="134">
        <f t="shared" si="46"/>
        <v>0</v>
      </c>
      <c r="W127" s="134">
        <f t="shared" si="47"/>
        <v>0</v>
      </c>
      <c r="X127" s="134">
        <f t="shared" si="24"/>
        <v>0</v>
      </c>
      <c r="Y127" s="134">
        <f t="shared" si="25"/>
        <v>0</v>
      </c>
      <c r="Z127" s="134">
        <f t="shared" si="3"/>
        <v>2.2737367544323206E-12</v>
      </c>
      <c r="AA127" s="134">
        <f t="shared" si="48"/>
        <v>0</v>
      </c>
      <c r="AB127" s="134">
        <f t="shared" si="4"/>
        <v>0</v>
      </c>
      <c r="AC127" s="134">
        <f t="shared" si="33"/>
        <v>0</v>
      </c>
      <c r="AD127" s="134"/>
      <c r="AE127" s="134">
        <f t="shared" si="40"/>
        <v>0</v>
      </c>
      <c r="AF127" s="134">
        <f t="shared" si="40"/>
        <v>0</v>
      </c>
      <c r="AG127" s="134">
        <f t="shared" si="27"/>
        <v>0</v>
      </c>
      <c r="AH127" s="134">
        <f t="shared" si="6"/>
        <v>0</v>
      </c>
      <c r="AI127" s="134">
        <f t="shared" si="28"/>
        <v>0</v>
      </c>
      <c r="AJ127" s="134">
        <f t="shared" si="7"/>
        <v>0</v>
      </c>
      <c r="AK127" s="134">
        <f t="shared" si="8"/>
        <v>0</v>
      </c>
      <c r="AL127" s="134">
        <f t="shared" si="49"/>
        <v>0</v>
      </c>
      <c r="AM127" s="134">
        <f t="shared" si="50"/>
        <v>0</v>
      </c>
      <c r="AN127" s="132">
        <f t="shared" si="29"/>
        <v>0</v>
      </c>
      <c r="AO127" s="132">
        <f t="shared" si="9"/>
        <v>0</v>
      </c>
      <c r="AP127" s="2">
        <f t="shared" si="30"/>
        <v>0</v>
      </c>
      <c r="AQ127" s="2">
        <f t="shared" si="10"/>
        <v>0</v>
      </c>
      <c r="AR127" s="2">
        <f t="shared" si="11"/>
        <v>0</v>
      </c>
      <c r="AS127" s="2">
        <f t="shared" si="12"/>
        <v>30</v>
      </c>
      <c r="AT127" s="2">
        <f t="shared" si="13"/>
        <v>20</v>
      </c>
      <c r="AU127" s="2">
        <f t="shared" si="31"/>
        <v>30</v>
      </c>
      <c r="AV127" s="2"/>
      <c r="AW127" s="2"/>
      <c r="AX127" s="2"/>
      <c r="AY127" s="2"/>
      <c r="AZ127" s="2"/>
      <c r="BA127" s="2">
        <f t="shared" si="14"/>
        <v>0</v>
      </c>
      <c r="BB127" s="2"/>
      <c r="BC127" s="2"/>
      <c r="BD127" s="2"/>
      <c r="BE127" s="2"/>
      <c r="BF127" s="2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</row>
    <row r="128" spans="1:143" s="24" customFormat="1" ht="15" hidden="1" customHeight="1">
      <c r="A128" s="4"/>
      <c r="B128" s="268" t="str">
        <f t="shared" si="16"/>
        <v xml:space="preserve"> </v>
      </c>
      <c r="C128" s="268"/>
      <c r="D128" s="269" t="str">
        <f>IF(O128=0,IF(O127=1,SUM(D$72:F127)," "),IF(O128=0," ",IF(O129=1,D$72,IF(O129=0,D$4-D$72*(N$60-1)," "))))</f>
        <v xml:space="preserve"> </v>
      </c>
      <c r="E128" s="269"/>
      <c r="F128" s="269"/>
      <c r="G128" s="87" t="str">
        <f>IF(O128=0,IF(O127=1,SUM(G$72:G127)," "),IF(N$41=1,Q128,IF(N$41=2,R128," ")))</f>
        <v xml:space="preserve"> </v>
      </c>
      <c r="H128" s="87">
        <v>0</v>
      </c>
      <c r="I128" s="87" t="str">
        <f t="shared" si="17"/>
        <v xml:space="preserve"> </v>
      </c>
      <c r="J128" s="87">
        <f t="shared" si="18"/>
        <v>0</v>
      </c>
      <c r="K128" s="87">
        <f t="shared" si="0"/>
        <v>0</v>
      </c>
      <c r="L128" s="87">
        <v>0</v>
      </c>
      <c r="M128" s="87" t="str">
        <f t="shared" si="19"/>
        <v xml:space="preserve"> </v>
      </c>
      <c r="N128" s="2">
        <v>57</v>
      </c>
      <c r="O128" s="2">
        <f t="shared" si="32"/>
        <v>0</v>
      </c>
      <c r="P128" s="2">
        <f t="shared" si="1"/>
        <v>20</v>
      </c>
      <c r="Q128" s="134">
        <f t="shared" si="39"/>
        <v>0</v>
      </c>
      <c r="R128" s="134">
        <f t="shared" si="39"/>
        <v>0</v>
      </c>
      <c r="S128" s="134">
        <f t="shared" si="21"/>
        <v>0</v>
      </c>
      <c r="T128" s="134" t="str">
        <f t="shared" si="22"/>
        <v xml:space="preserve"> </v>
      </c>
      <c r="U128" s="134" t="str">
        <f t="shared" si="23"/>
        <v xml:space="preserve"> </v>
      </c>
      <c r="V128" s="134">
        <f t="shared" si="46"/>
        <v>0</v>
      </c>
      <c r="W128" s="134">
        <f t="shared" si="47"/>
        <v>0</v>
      </c>
      <c r="X128" s="134">
        <f t="shared" si="24"/>
        <v>0</v>
      </c>
      <c r="Y128" s="134">
        <f t="shared" si="25"/>
        <v>0</v>
      </c>
      <c r="Z128" s="134">
        <f t="shared" si="3"/>
        <v>2.2737367544323206E-12</v>
      </c>
      <c r="AA128" s="134">
        <f t="shared" si="48"/>
        <v>0</v>
      </c>
      <c r="AB128" s="134">
        <f t="shared" si="4"/>
        <v>0</v>
      </c>
      <c r="AC128" s="134">
        <f t="shared" si="33"/>
        <v>0</v>
      </c>
      <c r="AD128" s="134"/>
      <c r="AE128" s="134">
        <f t="shared" si="40"/>
        <v>0</v>
      </c>
      <c r="AF128" s="134">
        <f t="shared" si="40"/>
        <v>0</v>
      </c>
      <c r="AG128" s="134">
        <f t="shared" si="27"/>
        <v>0</v>
      </c>
      <c r="AH128" s="134">
        <f t="shared" si="6"/>
        <v>0</v>
      </c>
      <c r="AI128" s="134">
        <f t="shared" si="28"/>
        <v>0</v>
      </c>
      <c r="AJ128" s="134">
        <f t="shared" si="7"/>
        <v>0</v>
      </c>
      <c r="AK128" s="134">
        <f t="shared" si="8"/>
        <v>0</v>
      </c>
      <c r="AL128" s="134">
        <f t="shared" si="49"/>
        <v>0</v>
      </c>
      <c r="AM128" s="134">
        <f t="shared" si="50"/>
        <v>0</v>
      </c>
      <c r="AN128" s="132">
        <f t="shared" si="29"/>
        <v>0</v>
      </c>
      <c r="AO128" s="132">
        <f t="shared" si="9"/>
        <v>0</v>
      </c>
      <c r="AP128" s="2">
        <f t="shared" si="30"/>
        <v>0</v>
      </c>
      <c r="AQ128" s="2">
        <f t="shared" si="10"/>
        <v>0</v>
      </c>
      <c r="AR128" s="2">
        <f t="shared" si="11"/>
        <v>0</v>
      </c>
      <c r="AS128" s="2">
        <f t="shared" si="12"/>
        <v>30</v>
      </c>
      <c r="AT128" s="2">
        <f t="shared" si="13"/>
        <v>20</v>
      </c>
      <c r="AU128" s="2">
        <f t="shared" si="31"/>
        <v>30</v>
      </c>
      <c r="AV128" s="2"/>
      <c r="AW128" s="2"/>
      <c r="AX128" s="2"/>
      <c r="AY128" s="2"/>
      <c r="AZ128" s="2"/>
      <c r="BA128" s="2">
        <f t="shared" si="14"/>
        <v>0</v>
      </c>
      <c r="BB128" s="2"/>
      <c r="BC128" s="2"/>
      <c r="BD128" s="2"/>
      <c r="BE128" s="2"/>
      <c r="BF128" s="2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</row>
    <row r="129" spans="1:143" s="24" customFormat="1" ht="15" hidden="1" customHeight="1">
      <c r="A129" s="4"/>
      <c r="B129" s="268" t="str">
        <f t="shared" si="16"/>
        <v xml:space="preserve"> </v>
      </c>
      <c r="C129" s="268"/>
      <c r="D129" s="269" t="str">
        <f>IF(O129=0,IF(O128=1,SUM(D$72:F128)," "),IF(O129=0," ",IF(O130=1,D$72,IF(O130=0,D$4-D$72*(N$60-1)," "))))</f>
        <v xml:space="preserve"> </v>
      </c>
      <c r="E129" s="269"/>
      <c r="F129" s="269"/>
      <c r="G129" s="87" t="str">
        <f>IF(O129=0,IF(O128=1,SUM(G$72:G128)," "),IF(N$41=1,Q129,IF(N$41=2,R129," ")))</f>
        <v xml:space="preserve"> </v>
      </c>
      <c r="H129" s="87">
        <v>0</v>
      </c>
      <c r="I129" s="87" t="str">
        <f t="shared" si="17"/>
        <v xml:space="preserve"> </v>
      </c>
      <c r="J129" s="87">
        <f t="shared" si="18"/>
        <v>0</v>
      </c>
      <c r="K129" s="87">
        <f t="shared" si="0"/>
        <v>0</v>
      </c>
      <c r="L129" s="87">
        <v>0</v>
      </c>
      <c r="M129" s="87" t="str">
        <f t="shared" si="19"/>
        <v xml:space="preserve"> </v>
      </c>
      <c r="N129" s="2">
        <v>58</v>
      </c>
      <c r="O129" s="2">
        <f t="shared" si="32"/>
        <v>0</v>
      </c>
      <c r="P129" s="2">
        <f t="shared" si="1"/>
        <v>20</v>
      </c>
      <c r="Q129" s="134">
        <f t="shared" si="39"/>
        <v>0</v>
      </c>
      <c r="R129" s="134">
        <f t="shared" si="39"/>
        <v>0</v>
      </c>
      <c r="S129" s="134">
        <f t="shared" si="21"/>
        <v>0</v>
      </c>
      <c r="T129" s="134" t="str">
        <f t="shared" si="22"/>
        <v xml:space="preserve"> </v>
      </c>
      <c r="U129" s="134" t="str">
        <f t="shared" si="23"/>
        <v xml:space="preserve"> </v>
      </c>
      <c r="V129" s="134">
        <f t="shared" si="46"/>
        <v>0</v>
      </c>
      <c r="W129" s="134">
        <f t="shared" si="47"/>
        <v>0</v>
      </c>
      <c r="X129" s="134">
        <f t="shared" si="24"/>
        <v>0</v>
      </c>
      <c r="Y129" s="134">
        <f t="shared" si="25"/>
        <v>0</v>
      </c>
      <c r="Z129" s="134">
        <f t="shared" si="3"/>
        <v>2.2737367544323206E-12</v>
      </c>
      <c r="AA129" s="134">
        <f t="shared" si="48"/>
        <v>0</v>
      </c>
      <c r="AB129" s="134">
        <f t="shared" si="4"/>
        <v>0</v>
      </c>
      <c r="AC129" s="134">
        <f t="shared" si="33"/>
        <v>0</v>
      </c>
      <c r="AD129" s="134"/>
      <c r="AE129" s="134">
        <f t="shared" si="40"/>
        <v>0</v>
      </c>
      <c r="AF129" s="134">
        <f t="shared" si="40"/>
        <v>0</v>
      </c>
      <c r="AG129" s="134">
        <f t="shared" si="27"/>
        <v>0</v>
      </c>
      <c r="AH129" s="134">
        <f t="shared" si="6"/>
        <v>0</v>
      </c>
      <c r="AI129" s="134">
        <f t="shared" si="28"/>
        <v>0</v>
      </c>
      <c r="AJ129" s="134">
        <f t="shared" si="7"/>
        <v>0</v>
      </c>
      <c r="AK129" s="134">
        <f t="shared" si="8"/>
        <v>0</v>
      </c>
      <c r="AL129" s="134">
        <f t="shared" si="49"/>
        <v>0</v>
      </c>
      <c r="AM129" s="134">
        <f t="shared" si="50"/>
        <v>0</v>
      </c>
      <c r="AN129" s="132">
        <f t="shared" si="29"/>
        <v>0</v>
      </c>
      <c r="AO129" s="132">
        <f t="shared" si="9"/>
        <v>0</v>
      </c>
      <c r="AP129" s="2">
        <f t="shared" si="30"/>
        <v>0</v>
      </c>
      <c r="AQ129" s="2">
        <f t="shared" si="10"/>
        <v>0</v>
      </c>
      <c r="AR129" s="2">
        <f t="shared" si="11"/>
        <v>0</v>
      </c>
      <c r="AS129" s="2">
        <f t="shared" si="12"/>
        <v>30</v>
      </c>
      <c r="AT129" s="2">
        <f t="shared" si="13"/>
        <v>20</v>
      </c>
      <c r="AU129" s="2">
        <f t="shared" si="31"/>
        <v>30</v>
      </c>
      <c r="AV129" s="2"/>
      <c r="AW129" s="2"/>
      <c r="AX129" s="2"/>
      <c r="AY129" s="2"/>
      <c r="AZ129" s="2"/>
      <c r="BA129" s="2">
        <f t="shared" si="14"/>
        <v>0</v>
      </c>
      <c r="BB129" s="2"/>
      <c r="BC129" s="2"/>
      <c r="BD129" s="2"/>
      <c r="BE129" s="2"/>
      <c r="BF129" s="2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</row>
    <row r="130" spans="1:143" s="24" customFormat="1" ht="15" hidden="1" customHeight="1">
      <c r="A130" s="4"/>
      <c r="B130" s="268" t="str">
        <f t="shared" si="16"/>
        <v xml:space="preserve"> </v>
      </c>
      <c r="C130" s="268"/>
      <c r="D130" s="269" t="str">
        <f>IF(O130=0,IF(O129=1,SUM(D$72:F129)," "),IF(O130=0," ",IF(O131=1,D$72,IF(O131=0,D$4-D$72*(N$60-1)," "))))</f>
        <v xml:space="preserve"> </v>
      </c>
      <c r="E130" s="269"/>
      <c r="F130" s="269"/>
      <c r="G130" s="87" t="str">
        <f>IF(O130=0,IF(O129=1,SUM(G$72:G129)," "),IF(N$41=1,Q130,IF(N$41=2,R130," ")))</f>
        <v xml:space="preserve"> </v>
      </c>
      <c r="H130" s="87">
        <v>0</v>
      </c>
      <c r="I130" s="87" t="str">
        <f t="shared" si="17"/>
        <v xml:space="preserve"> </v>
      </c>
      <c r="J130" s="87">
        <f t="shared" si="18"/>
        <v>0</v>
      </c>
      <c r="K130" s="87">
        <f t="shared" si="0"/>
        <v>0</v>
      </c>
      <c r="L130" s="87">
        <v>0</v>
      </c>
      <c r="M130" s="87" t="str">
        <f t="shared" si="19"/>
        <v xml:space="preserve"> </v>
      </c>
      <c r="N130" s="2">
        <v>59</v>
      </c>
      <c r="O130" s="2">
        <f t="shared" si="32"/>
        <v>0</v>
      </c>
      <c r="P130" s="2">
        <f t="shared" si="1"/>
        <v>20</v>
      </c>
      <c r="Q130" s="134">
        <f t="shared" si="39"/>
        <v>0</v>
      </c>
      <c r="R130" s="134">
        <f t="shared" si="39"/>
        <v>0</v>
      </c>
      <c r="S130" s="134">
        <f t="shared" si="21"/>
        <v>0</v>
      </c>
      <c r="T130" s="134" t="str">
        <f t="shared" si="22"/>
        <v xml:space="preserve"> </v>
      </c>
      <c r="U130" s="134" t="str">
        <f t="shared" si="23"/>
        <v xml:space="preserve"> </v>
      </c>
      <c r="V130" s="134">
        <f t="shared" si="46"/>
        <v>0</v>
      </c>
      <c r="W130" s="134">
        <f t="shared" si="47"/>
        <v>0</v>
      </c>
      <c r="X130" s="134">
        <f t="shared" si="24"/>
        <v>0</v>
      </c>
      <c r="Y130" s="134">
        <f t="shared" si="25"/>
        <v>0</v>
      </c>
      <c r="Z130" s="134">
        <f t="shared" si="3"/>
        <v>2.2737367544323206E-12</v>
      </c>
      <c r="AA130" s="134">
        <f t="shared" si="48"/>
        <v>0</v>
      </c>
      <c r="AB130" s="134">
        <f t="shared" si="4"/>
        <v>0</v>
      </c>
      <c r="AC130" s="134">
        <f t="shared" si="33"/>
        <v>0</v>
      </c>
      <c r="AD130" s="134"/>
      <c r="AE130" s="134">
        <f t="shared" si="40"/>
        <v>0</v>
      </c>
      <c r="AF130" s="134">
        <f t="shared" si="40"/>
        <v>0</v>
      </c>
      <c r="AG130" s="134">
        <f t="shared" si="27"/>
        <v>0</v>
      </c>
      <c r="AH130" s="134">
        <f t="shared" si="6"/>
        <v>0</v>
      </c>
      <c r="AI130" s="134">
        <f t="shared" si="28"/>
        <v>0</v>
      </c>
      <c r="AJ130" s="134">
        <f t="shared" si="7"/>
        <v>0</v>
      </c>
      <c r="AK130" s="134">
        <f t="shared" si="8"/>
        <v>0</v>
      </c>
      <c r="AL130" s="134">
        <f t="shared" si="49"/>
        <v>0</v>
      </c>
      <c r="AM130" s="134">
        <f t="shared" si="50"/>
        <v>0</v>
      </c>
      <c r="AN130" s="132">
        <f t="shared" si="29"/>
        <v>0</v>
      </c>
      <c r="AO130" s="132">
        <f t="shared" si="9"/>
        <v>0</v>
      </c>
      <c r="AP130" s="2">
        <f t="shared" si="30"/>
        <v>0</v>
      </c>
      <c r="AQ130" s="2">
        <f t="shared" si="10"/>
        <v>0</v>
      </c>
      <c r="AR130" s="2">
        <f t="shared" si="11"/>
        <v>0</v>
      </c>
      <c r="AS130" s="2">
        <f t="shared" si="12"/>
        <v>30</v>
      </c>
      <c r="AT130" s="2">
        <f t="shared" si="13"/>
        <v>20</v>
      </c>
      <c r="AU130" s="2">
        <f t="shared" si="31"/>
        <v>30</v>
      </c>
      <c r="AV130" s="2"/>
      <c r="AW130" s="2"/>
      <c r="AX130" s="2"/>
      <c r="AY130" s="2"/>
      <c r="AZ130" s="2"/>
      <c r="BA130" s="2">
        <f t="shared" si="14"/>
        <v>0</v>
      </c>
      <c r="BB130" s="2"/>
      <c r="BC130" s="2"/>
      <c r="BD130" s="2"/>
      <c r="BE130" s="2"/>
      <c r="BF130" s="2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</row>
    <row r="131" spans="1:143" s="24" customFormat="1" ht="15" hidden="1" customHeight="1">
      <c r="A131" s="4"/>
      <c r="B131" s="268" t="str">
        <f t="shared" si="16"/>
        <v xml:space="preserve"> </v>
      </c>
      <c r="C131" s="268"/>
      <c r="D131" s="269" t="str">
        <f>IF(O131=0,IF(O130=1,SUM(D$72:F130)," "),IF(O131=0," ",IF(O132=1,D$72,IF(O132=0,D$4-D$72*(N$60-1)," "))))</f>
        <v xml:space="preserve"> </v>
      </c>
      <c r="E131" s="269"/>
      <c r="F131" s="269"/>
      <c r="G131" s="87" t="str">
        <f>IF(O131=0,IF(O130=1,SUM(G$72:G130)," "),IF(N$41=1,Q131,IF(N$41=2,R131," ")))</f>
        <v xml:space="preserve"> </v>
      </c>
      <c r="H131" s="87">
        <v>0</v>
      </c>
      <c r="I131" s="87" t="str">
        <f t="shared" si="17"/>
        <v xml:space="preserve"> </v>
      </c>
      <c r="J131" s="87">
        <f t="shared" si="18"/>
        <v>0</v>
      </c>
      <c r="K131" s="87">
        <f t="shared" si="0"/>
        <v>0</v>
      </c>
      <c r="L131" s="87">
        <v>0</v>
      </c>
      <c r="M131" s="87" t="str">
        <f t="shared" si="19"/>
        <v xml:space="preserve"> </v>
      </c>
      <c r="N131" s="2">
        <v>60</v>
      </c>
      <c r="O131" s="2">
        <f t="shared" si="32"/>
        <v>0</v>
      </c>
      <c r="P131" s="2">
        <f t="shared" si="1"/>
        <v>20</v>
      </c>
      <c r="Q131" s="134">
        <f t="shared" si="39"/>
        <v>0</v>
      </c>
      <c r="R131" s="134">
        <f t="shared" si="39"/>
        <v>0</v>
      </c>
      <c r="S131" s="134">
        <f t="shared" si="21"/>
        <v>0</v>
      </c>
      <c r="T131" s="134" t="str">
        <f t="shared" si="22"/>
        <v xml:space="preserve"> </v>
      </c>
      <c r="U131" s="134" t="str">
        <f t="shared" si="23"/>
        <v xml:space="preserve"> </v>
      </c>
      <c r="V131" s="134">
        <f t="shared" si="46"/>
        <v>0</v>
      </c>
      <c r="W131" s="134">
        <f t="shared" si="47"/>
        <v>0</v>
      </c>
      <c r="X131" s="134">
        <f t="shared" si="24"/>
        <v>0</v>
      </c>
      <c r="Y131" s="134">
        <f t="shared" si="25"/>
        <v>0</v>
      </c>
      <c r="Z131" s="134">
        <f t="shared" si="3"/>
        <v>2.2737367544323206E-12</v>
      </c>
      <c r="AA131" s="134">
        <f t="shared" si="48"/>
        <v>0</v>
      </c>
      <c r="AB131" s="134">
        <f t="shared" si="4"/>
        <v>0</v>
      </c>
      <c r="AC131" s="134">
        <f t="shared" si="33"/>
        <v>0</v>
      </c>
      <c r="AD131" s="134"/>
      <c r="AE131" s="134">
        <f t="shared" si="40"/>
        <v>0</v>
      </c>
      <c r="AF131" s="134">
        <f t="shared" si="40"/>
        <v>0</v>
      </c>
      <c r="AG131" s="134">
        <f t="shared" si="27"/>
        <v>0</v>
      </c>
      <c r="AH131" s="134">
        <f t="shared" si="6"/>
        <v>0</v>
      </c>
      <c r="AI131" s="134">
        <f t="shared" si="28"/>
        <v>0</v>
      </c>
      <c r="AJ131" s="134">
        <f t="shared" si="7"/>
        <v>0</v>
      </c>
      <c r="AK131" s="134">
        <f t="shared" si="8"/>
        <v>0</v>
      </c>
      <c r="AL131" s="134">
        <f t="shared" si="49"/>
        <v>0</v>
      </c>
      <c r="AM131" s="134">
        <f t="shared" si="50"/>
        <v>0</v>
      </c>
      <c r="AN131" s="132">
        <f t="shared" si="29"/>
        <v>0</v>
      </c>
      <c r="AO131" s="132">
        <f t="shared" si="9"/>
        <v>0</v>
      </c>
      <c r="AP131" s="2">
        <f t="shared" si="30"/>
        <v>0</v>
      </c>
      <c r="AQ131" s="2">
        <f t="shared" si="10"/>
        <v>0</v>
      </c>
      <c r="AR131" s="2">
        <f t="shared" si="11"/>
        <v>0</v>
      </c>
      <c r="AS131" s="2">
        <f t="shared" si="12"/>
        <v>30</v>
      </c>
      <c r="AT131" s="2">
        <f t="shared" si="13"/>
        <v>20</v>
      </c>
      <c r="AU131" s="2">
        <f t="shared" si="31"/>
        <v>30</v>
      </c>
      <c r="AV131" s="2"/>
      <c r="AW131" s="2"/>
      <c r="AX131" s="2"/>
      <c r="AY131" s="2"/>
      <c r="AZ131" s="2"/>
      <c r="BA131" s="2">
        <f t="shared" si="14"/>
        <v>0</v>
      </c>
      <c r="BB131" s="2"/>
      <c r="BC131" s="2"/>
      <c r="BD131" s="2"/>
      <c r="BE131" s="2"/>
      <c r="BF131" s="2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</row>
    <row r="132" spans="1:143" s="24" customFormat="1" ht="15" hidden="1" customHeight="1">
      <c r="A132" s="4"/>
      <c r="B132" s="268" t="str">
        <f t="shared" si="16"/>
        <v xml:space="preserve"> </v>
      </c>
      <c r="C132" s="268"/>
      <c r="D132" s="269" t="str">
        <f>IF(O132=0,IF(O131=1,SUM(D$72:F131)," "),IF(O132=0," ",IF(O133=1,D$72,IF(O133=0,D$4-D$72*(N$60-1)," "))))</f>
        <v xml:space="preserve"> </v>
      </c>
      <c r="E132" s="269"/>
      <c r="F132" s="269"/>
      <c r="G132" s="87" t="str">
        <f>IF(O132=0,IF(O131=1,SUM(G$72:G131)," "),IF(N$41=1,Q132,IF(N$41=2,R132," ")))</f>
        <v xml:space="preserve"> </v>
      </c>
      <c r="H132" s="87">
        <v>0</v>
      </c>
      <c r="I132" s="87" t="str">
        <f t="shared" si="17"/>
        <v xml:space="preserve"> </v>
      </c>
      <c r="J132" s="87">
        <f t="shared" si="18"/>
        <v>0</v>
      </c>
      <c r="K132" s="87">
        <f t="shared" si="0"/>
        <v>0</v>
      </c>
      <c r="L132" s="87">
        <v>0</v>
      </c>
      <c r="M132" s="87" t="str">
        <f t="shared" si="19"/>
        <v xml:space="preserve"> </v>
      </c>
      <c r="N132" s="2">
        <v>61</v>
      </c>
      <c r="O132" s="2">
        <f t="shared" si="32"/>
        <v>0</v>
      </c>
      <c r="P132" s="2">
        <f t="shared" si="1"/>
        <v>20</v>
      </c>
      <c r="Q132" s="134">
        <f t="shared" si="39"/>
        <v>0</v>
      </c>
      <c r="R132" s="134">
        <f t="shared" si="39"/>
        <v>0</v>
      </c>
      <c r="S132" s="134">
        <f t="shared" si="21"/>
        <v>0</v>
      </c>
      <c r="T132" s="134" t="str">
        <f t="shared" si="22"/>
        <v xml:space="preserve"> </v>
      </c>
      <c r="U132" s="134" t="str">
        <f t="shared" si="23"/>
        <v xml:space="preserve"> </v>
      </c>
      <c r="V132" s="134">
        <f>IF(O133=1,S131*D$5*20/36000+S132*D$5*10/36000,IF(O133=0,IF(O132=0,0,IF(D$10&gt;20,S131*D$5*20/36000+S132*D$5*(R$58-20)/36000,S132*D$5*R$58/36000))))</f>
        <v>0</v>
      </c>
      <c r="W132" s="134">
        <f>IF(O133=1,S131*D$5*20/36000+S132*D$5*10/36000,IF(O133=0,IF(O132=0,0,IF(D$10&gt;20,S131*D$5*20/36000+S132*D$5*(R$58-20)/36000,S132*D$5*R$58/36000))))</f>
        <v>0</v>
      </c>
      <c r="X132" s="134">
        <f>IF(O133=1,D4*D$5*20/36000+D4*D$5*10/36000,IF(O133=0,IF(O132=0,0,D4*D$5*R$58/36000)))</f>
        <v>0</v>
      </c>
      <c r="Y132" s="134">
        <f t="shared" si="25"/>
        <v>0</v>
      </c>
      <c r="Z132" s="134">
        <f t="shared" si="3"/>
        <v>2.2737367544323206E-12</v>
      </c>
      <c r="AA132" s="134">
        <f>IF(O133=1,Z131*D$5*20/36000+Z132*D$5*10/36000,IF(O133=0,IF(O132=0,0,IF(D$10&gt;20,Z131*D$5*20/36000+Z132*D$5*(R$58-20)/36000,Z132*D$5*R$58/36000))))</f>
        <v>0</v>
      </c>
      <c r="AB132" s="134">
        <f t="shared" si="4"/>
        <v>0</v>
      </c>
      <c r="AC132" s="134">
        <f>S132*R$58</f>
        <v>0</v>
      </c>
      <c r="AD132" s="134"/>
      <c r="AE132" s="134">
        <f t="shared" si="40"/>
        <v>0</v>
      </c>
      <c r="AF132" s="134">
        <f t="shared" si="40"/>
        <v>0</v>
      </c>
      <c r="AG132" s="134">
        <f>IF(O133=1,D4*H$58*20/36000+D4*H$58*10/36000,IF(O133=0,IF(O132=0,0,D4*H$58*R$58/36000)))</f>
        <v>0</v>
      </c>
      <c r="AH132" s="134">
        <f t="shared" si="6"/>
        <v>0</v>
      </c>
      <c r="AI132" s="134">
        <f>IF(O133=1,Z131*H$58*20/36000+Z132*H$58*10/36000,IF(O133=0,IF(O132=0,0,Z132*H$58*R$58/36000)))</f>
        <v>0</v>
      </c>
      <c r="AJ132" s="134">
        <f t="shared" si="7"/>
        <v>0</v>
      </c>
      <c r="AK132" s="134">
        <f t="shared" si="8"/>
        <v>0</v>
      </c>
      <c r="AL132" s="134">
        <f>IF(O133=1,AK131*H$58*20/36000+AK132*H$58*10/36000,IF(O133=0,IF(O132=0,0,AK132*H$58*R$58/36000)))</f>
        <v>0</v>
      </c>
      <c r="AM132" s="134">
        <f>IF(O133=1,AK131*H$58*20/36000+AK132*H$58*10/36000,IF(O133=0,IF(O132=0,0,AK132*H$58*R$58/36000)))</f>
        <v>0</v>
      </c>
      <c r="AN132" s="132">
        <f t="shared" si="29"/>
        <v>0</v>
      </c>
      <c r="AO132" s="132">
        <f t="shared" si="9"/>
        <v>0</v>
      </c>
      <c r="AP132" s="2">
        <f t="shared" si="30"/>
        <v>0</v>
      </c>
      <c r="AQ132" s="2">
        <f t="shared" si="10"/>
        <v>0</v>
      </c>
      <c r="AR132" s="2">
        <f t="shared" si="11"/>
        <v>0</v>
      </c>
      <c r="AS132" s="2">
        <f t="shared" si="12"/>
        <v>30</v>
      </c>
      <c r="AT132" s="2">
        <f t="shared" si="13"/>
        <v>20</v>
      </c>
      <c r="AU132" s="2">
        <f t="shared" si="31"/>
        <v>30</v>
      </c>
      <c r="AV132" s="2"/>
      <c r="AW132" s="2"/>
      <c r="AX132" s="2"/>
      <c r="AY132" s="2"/>
      <c r="AZ132" s="2"/>
      <c r="BA132" s="2">
        <f t="shared" si="14"/>
        <v>0</v>
      </c>
      <c r="BB132" s="2"/>
      <c r="BC132" s="2"/>
      <c r="BD132" s="2"/>
      <c r="BE132" s="2"/>
      <c r="BF132" s="2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</row>
    <row r="133" spans="1:143" s="175" customFormat="1" ht="15" customHeight="1">
      <c r="B133" s="568" t="s">
        <v>269</v>
      </c>
      <c r="C133" s="568"/>
      <c r="D133" s="645">
        <f>D69</f>
        <v>2999.9999999999986</v>
      </c>
      <c r="E133" s="645"/>
      <c r="F133" s="645"/>
      <c r="G133" s="645">
        <f>G69</f>
        <v>141.80576000000011</v>
      </c>
      <c r="H133" s="645"/>
      <c r="I133" s="253">
        <f>I69</f>
        <v>3141.8057599999993</v>
      </c>
      <c r="J133" s="253">
        <f>J69</f>
        <v>2196.3095798319328</v>
      </c>
      <c r="K133" s="645">
        <f>K69</f>
        <v>134.1298000000001</v>
      </c>
      <c r="L133" s="645"/>
      <c r="M133" s="253">
        <f>M69</f>
        <v>2330.4393798319334</v>
      </c>
      <c r="N133" s="179"/>
      <c r="O133" s="177"/>
      <c r="P133" s="177"/>
      <c r="Q133" s="178"/>
      <c r="R133" s="178"/>
      <c r="S133" s="178"/>
      <c r="T133" s="178"/>
      <c r="U133" s="178"/>
      <c r="V133" s="178">
        <f>SUM(V72:V132)</f>
        <v>141.80576000000011</v>
      </c>
      <c r="W133" s="178">
        <f>SUM(W72:W132)</f>
        <v>141.80576000000011</v>
      </c>
      <c r="X133" s="178">
        <f>SUM(X72:X132)</f>
        <v>275.25</v>
      </c>
      <c r="Y133" s="178">
        <f>SUM(Y72:Y132)</f>
        <v>360</v>
      </c>
      <c r="Z133" s="178"/>
      <c r="AA133" s="178"/>
      <c r="AB133" s="178"/>
      <c r="AC133" s="178">
        <f>SUM(AC72:AC132)</f>
        <v>1700047.5200000012</v>
      </c>
      <c r="AD133" s="178"/>
      <c r="AE133" s="178">
        <f>SUM(AE72:AE132)</f>
        <v>0</v>
      </c>
      <c r="AF133" s="178">
        <f>SUM(AF72:AF132)</f>
        <v>0</v>
      </c>
      <c r="AG133" s="178">
        <f>SUM(AG72:AG132)</f>
        <v>0</v>
      </c>
      <c r="AH133" s="178">
        <f>SUM(AH72:AH132)</f>
        <v>0</v>
      </c>
      <c r="AI133" s="178"/>
      <c r="AJ133" s="178"/>
      <c r="AK133" s="178">
        <f>SUM(AK72:AK132)</f>
        <v>57000.72000000003</v>
      </c>
      <c r="AL133" s="178">
        <f>SUM(AL72:AL132)</f>
        <v>0</v>
      </c>
      <c r="AM133" s="178">
        <f>SUM(AM72:AM132)</f>
        <v>0</v>
      </c>
      <c r="AN133" s="178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</row>
    <row r="134" spans="1:143" ht="66.75" hidden="1" customHeight="1">
      <c r="A134" s="28"/>
      <c r="B134" s="301"/>
      <c r="C134" s="301"/>
      <c r="D134" s="301"/>
      <c r="E134" s="301"/>
      <c r="F134" s="301"/>
      <c r="G134" s="301"/>
      <c r="H134" s="301"/>
      <c r="I134" s="301"/>
      <c r="J134" s="301"/>
      <c r="K134" s="301"/>
      <c r="L134" s="301"/>
      <c r="M134" s="301"/>
      <c r="N134" s="29"/>
      <c r="O134" s="29"/>
      <c r="P134" s="29"/>
      <c r="Q134" s="29"/>
      <c r="R134" s="29"/>
    </row>
    <row r="135" spans="1:143" ht="9" hidden="1" customHeight="1">
      <c r="A135" s="28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</row>
    <row r="136" spans="1:143" ht="6.75" hidden="1" customHeight="1">
      <c r="A136" s="28"/>
      <c r="B136" s="301"/>
      <c r="C136" s="301"/>
      <c r="D136" s="301"/>
      <c r="E136" s="301"/>
      <c r="F136" s="301"/>
      <c r="G136" s="301"/>
      <c r="H136" s="301"/>
      <c r="I136" s="301"/>
      <c r="J136" s="79"/>
      <c r="K136" s="79"/>
      <c r="L136" s="79"/>
      <c r="M136" s="79"/>
      <c r="N136" s="29"/>
      <c r="Q136" s="29"/>
      <c r="R136" s="29"/>
    </row>
    <row r="137" spans="1:143" ht="14.25" hidden="1" customHeight="1">
      <c r="A137" s="4"/>
      <c r="B137" s="2"/>
      <c r="C137" s="2"/>
      <c r="D137" s="2"/>
      <c r="E137" s="2"/>
      <c r="F137" s="2"/>
      <c r="G137" s="2"/>
      <c r="H137" s="30"/>
      <c r="I137" s="30"/>
      <c r="J137" s="30"/>
      <c r="K137" s="30"/>
      <c r="L137" s="30"/>
      <c r="M137" s="30"/>
      <c r="N137" s="30"/>
      <c r="O137" s="30"/>
      <c r="P137" s="30"/>
      <c r="Q137" s="30"/>
    </row>
    <row r="138" spans="1:143" ht="5.25" hidden="1" customHeight="1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43" s="19" customFormat="1" ht="19.5" hidden="1" customHeight="1">
      <c r="A139" s="4"/>
      <c r="B139" s="305"/>
      <c r="C139" s="305"/>
      <c r="D139" s="305"/>
      <c r="E139" s="305"/>
      <c r="F139" s="305"/>
      <c r="G139" s="305"/>
      <c r="H139" s="305"/>
      <c r="I139" s="305"/>
      <c r="J139" s="305"/>
      <c r="K139" s="305"/>
      <c r="L139" s="305"/>
      <c r="M139" s="305"/>
      <c r="N139" s="2"/>
      <c r="O139" s="29"/>
      <c r="P139" s="29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</row>
    <row r="140" spans="1:143" s="19" customFormat="1" ht="30" hidden="1" customHeight="1">
      <c r="A140" s="31"/>
      <c r="B140" s="305"/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2"/>
      <c r="O140" s="29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</row>
    <row r="141" spans="1:143" s="19" customFormat="1" ht="5.25" hidden="1" customHeight="1">
      <c r="A141" s="3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2"/>
      <c r="O141" s="300"/>
      <c r="P141" s="300"/>
      <c r="Q141" s="300"/>
      <c r="R141" s="300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</row>
    <row r="142" spans="1:143" s="19" customFormat="1" ht="12.75" hidden="1" customHeight="1">
      <c r="A142" s="31"/>
      <c r="B142" s="302"/>
      <c r="C142" s="302"/>
      <c r="D142" s="302"/>
      <c r="E142" s="302"/>
      <c r="F142" s="302"/>
      <c r="G142" s="302"/>
      <c r="H142" s="302"/>
      <c r="I142" s="302"/>
      <c r="J142" s="302"/>
      <c r="K142" s="302"/>
      <c r="L142" s="104"/>
      <c r="M142" s="104"/>
      <c r="N142" s="2"/>
      <c r="O142" s="2"/>
      <c r="P142" s="2"/>
      <c r="Q142" s="2"/>
      <c r="R142" s="2"/>
      <c r="S142" s="2"/>
      <c r="T142" s="2"/>
      <c r="U142" s="2"/>
      <c r="V142" s="2" t="s">
        <v>42</v>
      </c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</row>
    <row r="143" spans="1:143" s="34" customFormat="1" ht="25.5" hidden="1" customHeight="1">
      <c r="A143" s="32">
        <f t="shared" ref="A143:A149" si="51">IF(LEFT(B143,1)="I",1,0)</f>
        <v>0</v>
      </c>
      <c r="B143" s="299"/>
      <c r="C143" s="299"/>
      <c r="D143" s="299"/>
      <c r="E143" s="299"/>
      <c r="F143" s="299"/>
      <c r="G143" s="299"/>
      <c r="H143" s="299"/>
      <c r="I143" s="299"/>
      <c r="J143" s="67"/>
      <c r="K143" s="67"/>
      <c r="L143" s="67"/>
      <c r="M143" s="67"/>
      <c r="N143" s="137"/>
      <c r="O143" s="138"/>
      <c r="P143" s="138"/>
      <c r="Q143" s="138"/>
      <c r="R143" s="138"/>
      <c r="S143" s="138"/>
      <c r="T143" s="138"/>
      <c r="U143" s="138"/>
      <c r="V143" s="138" t="s">
        <v>43</v>
      </c>
      <c r="W143" s="138" t="s">
        <v>43</v>
      </c>
      <c r="X143" s="138"/>
      <c r="Y143" s="138"/>
      <c r="Z143" s="138"/>
      <c r="AA143" s="138"/>
      <c r="AB143" s="138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</row>
    <row r="144" spans="1:143" s="34" customFormat="1" ht="25.5" hidden="1" customHeight="1">
      <c r="A144" s="32">
        <f t="shared" si="51"/>
        <v>0</v>
      </c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137"/>
      <c r="O144" s="139"/>
      <c r="P144" s="139"/>
      <c r="Q144" s="139"/>
      <c r="R144" s="139"/>
      <c r="S144" s="139"/>
      <c r="T144" s="139"/>
      <c r="U144" s="139"/>
      <c r="V144" s="139" t="s">
        <v>45</v>
      </c>
      <c r="W144" s="139" t="s">
        <v>45</v>
      </c>
      <c r="X144" s="139"/>
      <c r="Y144" s="139"/>
      <c r="Z144" s="139"/>
      <c r="AA144" s="139"/>
      <c r="AB144" s="139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</row>
    <row r="145" spans="1:70" s="34" customFormat="1" ht="25.5" hidden="1" customHeight="1">
      <c r="A145" s="32">
        <f t="shared" si="51"/>
        <v>0</v>
      </c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137"/>
      <c r="O145" s="139"/>
      <c r="P145" s="139"/>
      <c r="Q145" s="139"/>
      <c r="R145" s="139"/>
      <c r="S145" s="139"/>
      <c r="T145" s="139"/>
      <c r="U145" s="139"/>
      <c r="V145" s="138" t="s">
        <v>48</v>
      </c>
      <c r="W145" s="138" t="s">
        <v>48</v>
      </c>
      <c r="X145" s="138"/>
      <c r="Y145" s="138"/>
      <c r="Z145" s="138"/>
      <c r="AA145" s="138"/>
      <c r="AB145" s="138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</row>
    <row r="146" spans="1:70" s="34" customFormat="1" ht="25.5" hidden="1" customHeight="1">
      <c r="A146" s="32">
        <f t="shared" si="51"/>
        <v>0</v>
      </c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137"/>
      <c r="O146" s="139"/>
      <c r="P146" s="139"/>
      <c r="Q146" s="139"/>
      <c r="R146" s="139"/>
      <c r="S146" s="140"/>
      <c r="T146" s="140"/>
      <c r="U146" s="140"/>
      <c r="V146" s="139" t="s">
        <v>98</v>
      </c>
      <c r="W146" s="139" t="s">
        <v>98</v>
      </c>
      <c r="X146" s="139"/>
      <c r="Y146" s="139"/>
      <c r="Z146" s="139"/>
      <c r="AA146" s="139"/>
      <c r="AB146" s="139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</row>
    <row r="147" spans="1:70" s="34" customFormat="1" ht="25.5" hidden="1" customHeight="1">
      <c r="A147" s="32">
        <f t="shared" si="51"/>
        <v>0</v>
      </c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137"/>
      <c r="O147" s="139"/>
      <c r="P147" s="139"/>
      <c r="Q147" s="139"/>
      <c r="R147" s="139"/>
      <c r="S147" s="139"/>
      <c r="T147" s="139"/>
      <c r="U147" s="139"/>
      <c r="V147" s="139" t="s">
        <v>54</v>
      </c>
      <c r="W147" s="139" t="s">
        <v>55</v>
      </c>
      <c r="X147" s="139"/>
      <c r="Y147" s="139"/>
      <c r="Z147" s="139"/>
      <c r="AA147" s="139"/>
      <c r="AB147" s="139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</row>
    <row r="148" spans="1:70" s="34" customFormat="1" ht="25.5" hidden="1" customHeight="1">
      <c r="A148" s="32">
        <f t="shared" si="51"/>
        <v>0</v>
      </c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137"/>
      <c r="O148" s="139"/>
      <c r="P148" s="139"/>
      <c r="Q148" s="139"/>
      <c r="R148" s="139"/>
      <c r="S148" s="139"/>
      <c r="T148" s="139"/>
      <c r="U148" s="139"/>
      <c r="V148" s="139" t="s">
        <v>106</v>
      </c>
      <c r="W148" s="139" t="s">
        <v>106</v>
      </c>
      <c r="X148" s="139"/>
      <c r="Y148" s="139"/>
      <c r="Z148" s="139"/>
      <c r="AA148" s="139"/>
      <c r="AB148" s="139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</row>
    <row r="149" spans="1:70" s="34" customFormat="1" ht="25.5" hidden="1" customHeight="1">
      <c r="A149" s="32">
        <f t="shared" si="51"/>
        <v>0</v>
      </c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137"/>
      <c r="O149" s="139"/>
      <c r="P149" s="139"/>
      <c r="Q149" s="139"/>
      <c r="R149" s="139"/>
      <c r="S149" s="139"/>
      <c r="T149" s="139"/>
      <c r="U149" s="139"/>
      <c r="V149" s="138" t="s">
        <v>61</v>
      </c>
      <c r="W149" s="138" t="s">
        <v>62</v>
      </c>
      <c r="X149" s="138"/>
      <c r="Y149" s="138"/>
      <c r="Z149" s="138"/>
      <c r="AA149" s="138"/>
      <c r="AB149" s="138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</row>
    <row r="150" spans="1:70" s="34" customFormat="1" ht="25.5" hidden="1" customHeight="1">
      <c r="A150" s="32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137"/>
      <c r="O150" s="139"/>
      <c r="P150" s="139"/>
      <c r="Q150" s="139"/>
      <c r="R150" s="139"/>
      <c r="S150" s="139"/>
      <c r="T150" s="141"/>
      <c r="U150" s="141"/>
      <c r="V150" s="139"/>
      <c r="W150" s="138"/>
      <c r="X150" s="138"/>
      <c r="Y150" s="138"/>
      <c r="Z150" s="138"/>
      <c r="AA150" s="138"/>
      <c r="AB150" s="138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</row>
    <row r="151" spans="1:70" s="34" customFormat="1" ht="25.5" hidden="1" customHeight="1">
      <c r="A151" s="32">
        <f t="shared" ref="A151:A166" si="52">IF(LEFT(B151,1)="I",1,0)</f>
        <v>0</v>
      </c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137"/>
      <c r="O151" s="139"/>
      <c r="P151" s="139"/>
      <c r="Q151" s="139"/>
      <c r="R151" s="139"/>
      <c r="S151" s="139"/>
      <c r="T151" s="139"/>
      <c r="U151" s="139"/>
      <c r="V151" s="139" t="s">
        <v>36</v>
      </c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</row>
    <row r="152" spans="1:70" s="34" customFormat="1" ht="25.5" hidden="1" customHeight="1">
      <c r="A152" s="32">
        <f t="shared" si="52"/>
        <v>0</v>
      </c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137"/>
      <c r="O152" s="139"/>
      <c r="P152" s="139"/>
      <c r="Q152" s="139"/>
      <c r="R152" s="139"/>
      <c r="S152" s="139"/>
      <c r="T152" s="139"/>
      <c r="U152" s="139"/>
      <c r="V152" s="139" t="s">
        <v>36</v>
      </c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</row>
    <row r="153" spans="1:70" s="34" customFormat="1" ht="25.5" hidden="1" customHeight="1">
      <c r="A153" s="32">
        <f t="shared" si="52"/>
        <v>0</v>
      </c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137"/>
      <c r="O153" s="139"/>
      <c r="P153" s="139"/>
      <c r="Q153" s="139"/>
      <c r="R153" s="139"/>
      <c r="S153" s="138"/>
      <c r="T153" s="138"/>
      <c r="U153" s="138"/>
      <c r="V153" s="139" t="s">
        <v>36</v>
      </c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</row>
    <row r="154" spans="1:70" s="34" customFormat="1" ht="25.5" hidden="1" customHeight="1">
      <c r="A154" s="32">
        <f t="shared" si="52"/>
        <v>0</v>
      </c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137"/>
      <c r="O154" s="139"/>
      <c r="P154" s="139"/>
      <c r="Q154" s="139"/>
      <c r="R154" s="139"/>
      <c r="S154" s="139"/>
      <c r="T154" s="139"/>
      <c r="U154" s="139"/>
      <c r="V154" s="139" t="s">
        <v>36</v>
      </c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</row>
    <row r="155" spans="1:70" s="34" customFormat="1" ht="25.5" hidden="1" customHeight="1">
      <c r="A155" s="32">
        <f t="shared" si="52"/>
        <v>0</v>
      </c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137"/>
      <c r="O155" s="139"/>
      <c r="P155" s="139"/>
      <c r="Q155" s="139"/>
      <c r="R155" s="139"/>
      <c r="S155" s="139"/>
      <c r="T155" s="139"/>
      <c r="U155" s="139"/>
      <c r="V155" s="137" t="s">
        <v>36</v>
      </c>
      <c r="W155" s="138" t="s">
        <v>48</v>
      </c>
      <c r="X155" s="138"/>
      <c r="Y155" s="138"/>
      <c r="Z155" s="138"/>
      <c r="AA155" s="138"/>
      <c r="AB155" s="138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</row>
    <row r="156" spans="1:70" s="34" customFormat="1" ht="25.5" hidden="1" customHeight="1">
      <c r="A156" s="32">
        <f t="shared" si="52"/>
        <v>0</v>
      </c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137"/>
      <c r="O156" s="139"/>
      <c r="P156" s="139"/>
      <c r="Q156" s="139"/>
      <c r="R156" s="139"/>
      <c r="S156" s="139"/>
      <c r="T156" s="139"/>
      <c r="U156" s="139"/>
      <c r="V156" s="137" t="s">
        <v>36</v>
      </c>
      <c r="W156" s="139" t="s">
        <v>98</v>
      </c>
      <c r="X156" s="139"/>
      <c r="Y156" s="139"/>
      <c r="Z156" s="139"/>
      <c r="AA156" s="139"/>
      <c r="AB156" s="139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</row>
    <row r="157" spans="1:70" s="34" customFormat="1" ht="25.5" hidden="1" customHeight="1">
      <c r="A157" s="32">
        <f t="shared" si="52"/>
        <v>0</v>
      </c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137"/>
      <c r="O157" s="139"/>
      <c r="P157" s="139"/>
      <c r="Q157" s="139"/>
      <c r="R157" s="139"/>
      <c r="S157" s="138"/>
      <c r="T157" s="138"/>
      <c r="U157" s="138"/>
      <c r="V157" s="137" t="s">
        <v>36</v>
      </c>
      <c r="W157" s="139" t="s">
        <v>54</v>
      </c>
      <c r="X157" s="139"/>
      <c r="Y157" s="139"/>
      <c r="Z157" s="139"/>
      <c r="AA157" s="139"/>
      <c r="AB157" s="139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</row>
    <row r="158" spans="1:70" s="34" customFormat="1" ht="25.5" hidden="1" customHeight="1">
      <c r="A158" s="32">
        <f t="shared" si="52"/>
        <v>0</v>
      </c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137"/>
      <c r="O158" s="139"/>
      <c r="P158" s="139"/>
      <c r="Q158" s="139"/>
      <c r="R158" s="139"/>
      <c r="S158" s="137"/>
      <c r="T158" s="137"/>
      <c r="U158" s="137"/>
      <c r="V158" s="137" t="s">
        <v>36</v>
      </c>
      <c r="W158" s="139" t="s">
        <v>73</v>
      </c>
      <c r="X158" s="139"/>
      <c r="Y158" s="139"/>
      <c r="Z158" s="139"/>
      <c r="AA158" s="139"/>
      <c r="AB158" s="139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</row>
    <row r="159" spans="1:70" s="34" customFormat="1" ht="25.5" hidden="1" customHeight="1">
      <c r="A159" s="32">
        <f t="shared" si="52"/>
        <v>0</v>
      </c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137"/>
      <c r="O159" s="139"/>
      <c r="P159" s="139"/>
      <c r="Q159" s="139"/>
      <c r="R159" s="139"/>
      <c r="S159" s="139"/>
      <c r="T159" s="139"/>
      <c r="U159" s="139"/>
      <c r="V159" s="139" t="s">
        <v>36</v>
      </c>
      <c r="W159" s="139" t="s">
        <v>105</v>
      </c>
      <c r="X159" s="139"/>
      <c r="Y159" s="139"/>
      <c r="Z159" s="139"/>
      <c r="AA159" s="139"/>
      <c r="AB159" s="139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</row>
    <row r="160" spans="1:70" s="34" customFormat="1" ht="25.5" hidden="1" customHeight="1">
      <c r="A160" s="32">
        <f t="shared" si="52"/>
        <v>0</v>
      </c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137"/>
      <c r="O160" s="139"/>
      <c r="P160" s="139"/>
      <c r="Q160" s="139"/>
      <c r="R160" s="139"/>
      <c r="S160" s="138"/>
      <c r="T160" s="138"/>
      <c r="U160" s="138"/>
      <c r="V160" s="138" t="s">
        <v>36</v>
      </c>
      <c r="W160" s="137" t="s">
        <v>36</v>
      </c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</row>
    <row r="161" spans="1:70" s="34" customFormat="1" ht="25.5" hidden="1" customHeight="1">
      <c r="A161" s="32">
        <f t="shared" si="52"/>
        <v>0</v>
      </c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137"/>
      <c r="O161" s="138"/>
      <c r="P161" s="138"/>
      <c r="Q161" s="138"/>
      <c r="R161" s="138"/>
      <c r="S161" s="138"/>
      <c r="T161" s="138"/>
      <c r="U161" s="138"/>
      <c r="V161" s="138" t="s">
        <v>36</v>
      </c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</row>
    <row r="162" spans="1:70" s="34" customFormat="1" ht="25.5" hidden="1" customHeight="1">
      <c r="A162" s="32">
        <f t="shared" si="52"/>
        <v>0</v>
      </c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137"/>
      <c r="O162" s="139"/>
      <c r="P162" s="139"/>
      <c r="Q162" s="139"/>
      <c r="R162" s="139"/>
      <c r="S162" s="138"/>
      <c r="T162" s="138"/>
      <c r="U162" s="138"/>
      <c r="V162" s="138" t="s">
        <v>36</v>
      </c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</row>
    <row r="163" spans="1:70" s="34" customFormat="1" ht="25.5" hidden="1" customHeight="1">
      <c r="A163" s="32">
        <f t="shared" si="52"/>
        <v>0</v>
      </c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137"/>
      <c r="O163" s="139"/>
      <c r="P163" s="139"/>
      <c r="Q163" s="139"/>
      <c r="R163" s="139"/>
      <c r="S163" s="138"/>
      <c r="T163" s="138"/>
      <c r="U163" s="138"/>
      <c r="V163" s="138" t="s">
        <v>36</v>
      </c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</row>
    <row r="164" spans="1:70" s="34" customFormat="1" ht="25.5" hidden="1" customHeight="1">
      <c r="A164" s="32">
        <f t="shared" si="52"/>
        <v>0</v>
      </c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137"/>
      <c r="O164" s="139"/>
      <c r="P164" s="139"/>
      <c r="Q164" s="139"/>
      <c r="R164" s="139"/>
      <c r="S164" s="138"/>
      <c r="T164" s="138"/>
      <c r="U164" s="138"/>
      <c r="V164" s="138" t="s">
        <v>36</v>
      </c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</row>
    <row r="165" spans="1:70" s="34" customFormat="1" ht="25.5" hidden="1" customHeight="1">
      <c r="A165" s="32">
        <f t="shared" si="52"/>
        <v>0</v>
      </c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137"/>
      <c r="O165" s="139"/>
      <c r="P165" s="139"/>
      <c r="Q165" s="138"/>
      <c r="R165" s="138"/>
      <c r="S165" s="138"/>
      <c r="T165" s="138"/>
      <c r="U165" s="138"/>
      <c r="V165" s="138" t="s">
        <v>36</v>
      </c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</row>
    <row r="166" spans="1:70" s="34" customFormat="1" ht="25.5" hidden="1" customHeight="1">
      <c r="A166" s="32">
        <f t="shared" si="52"/>
        <v>0</v>
      </c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137"/>
      <c r="O166" s="138"/>
      <c r="P166" s="138"/>
      <c r="Q166" s="138"/>
      <c r="R166" s="138"/>
      <c r="S166" s="138"/>
      <c r="T166" s="138"/>
      <c r="U166" s="138"/>
      <c r="V166" s="138" t="s">
        <v>36</v>
      </c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</row>
    <row r="169" spans="1:70">
      <c r="C169" s="642">
        <f>D10</f>
        <v>43456</v>
      </c>
      <c r="D169" s="643"/>
      <c r="E169" s="643"/>
      <c r="F169" s="643"/>
      <c r="G169" s="249"/>
      <c r="H169" s="644" t="str">
        <f>D1</f>
        <v>Иванов Иван Иванович</v>
      </c>
      <c r="I169" s="643"/>
      <c r="J169" s="643"/>
      <c r="K169" s="643"/>
    </row>
    <row r="170" spans="1:70">
      <c r="C170" s="2"/>
      <c r="D170" s="2"/>
      <c r="E170" s="2"/>
      <c r="F170" s="2"/>
      <c r="G170" s="239" t="s">
        <v>268</v>
      </c>
      <c r="H170" s="2"/>
      <c r="I170" s="2"/>
      <c r="J170" s="239" t="s">
        <v>308</v>
      </c>
      <c r="K170" s="2"/>
    </row>
  </sheetData>
  <mergeCells count="240">
    <mergeCell ref="B5:C5"/>
    <mergeCell ref="D5:F5"/>
    <mergeCell ref="B6:C6"/>
    <mergeCell ref="D6:F6"/>
    <mergeCell ref="B7:C7"/>
    <mergeCell ref="D7:G7"/>
    <mergeCell ref="B1:C1"/>
    <mergeCell ref="D1:G1"/>
    <mergeCell ref="B2:C2"/>
    <mergeCell ref="D2:G2"/>
    <mergeCell ref="B4:C4"/>
    <mergeCell ref="D4:F4"/>
    <mergeCell ref="B11:C11"/>
    <mergeCell ref="D11:G11"/>
    <mergeCell ref="D12:G12"/>
    <mergeCell ref="B14:M14"/>
    <mergeCell ref="B15:M15"/>
    <mergeCell ref="B16:M16"/>
    <mergeCell ref="B8:C8"/>
    <mergeCell ref="D8:F8"/>
    <mergeCell ref="B9:C9"/>
    <mergeCell ref="D9:F9"/>
    <mergeCell ref="B10:C10"/>
    <mergeCell ref="D10:F10"/>
    <mergeCell ref="B17:M17"/>
    <mergeCell ref="C18:F18"/>
    <mergeCell ref="G18:M18"/>
    <mergeCell ref="C19:F19"/>
    <mergeCell ref="I19:M19"/>
    <mergeCell ref="B20:B21"/>
    <mergeCell ref="C20:F21"/>
    <mergeCell ref="I20:M20"/>
    <mergeCell ref="G21:M21"/>
    <mergeCell ref="C27:F27"/>
    <mergeCell ref="G27:M27"/>
    <mergeCell ref="C28:F28"/>
    <mergeCell ref="G28:M28"/>
    <mergeCell ref="C29:F29"/>
    <mergeCell ref="G29:M29"/>
    <mergeCell ref="B22:B23"/>
    <mergeCell ref="C22:F23"/>
    <mergeCell ref="H22:M22"/>
    <mergeCell ref="G23:M23"/>
    <mergeCell ref="B24:B26"/>
    <mergeCell ref="C24:F26"/>
    <mergeCell ref="H24:M24"/>
    <mergeCell ref="G25:M25"/>
    <mergeCell ref="I26:M26"/>
    <mergeCell ref="B33:B36"/>
    <mergeCell ref="C33:F36"/>
    <mergeCell ref="G33:M36"/>
    <mergeCell ref="C37:F37"/>
    <mergeCell ref="G37:M37"/>
    <mergeCell ref="B39:F39"/>
    <mergeCell ref="G39:H39"/>
    <mergeCell ref="C30:F30"/>
    <mergeCell ref="G30:M30"/>
    <mergeCell ref="C31:F31"/>
    <mergeCell ref="G31:M31"/>
    <mergeCell ref="C32:F32"/>
    <mergeCell ref="G32:M32"/>
    <mergeCell ref="B45:D45"/>
    <mergeCell ref="E45:G45"/>
    <mergeCell ref="B47:M48"/>
    <mergeCell ref="B51:M51"/>
    <mergeCell ref="N57:Q57"/>
    <mergeCell ref="N58:Q58"/>
    <mergeCell ref="B40:F40"/>
    <mergeCell ref="G40:H40"/>
    <mergeCell ref="O41:R41"/>
    <mergeCell ref="J42:M43"/>
    <mergeCell ref="B44:D44"/>
    <mergeCell ref="E44:G44"/>
    <mergeCell ref="J70:M70"/>
    <mergeCell ref="D71:F71"/>
    <mergeCell ref="B72:C72"/>
    <mergeCell ref="D72:F72"/>
    <mergeCell ref="B73:C73"/>
    <mergeCell ref="D73:F73"/>
    <mergeCell ref="D66:G66"/>
    <mergeCell ref="D67:G67"/>
    <mergeCell ref="D68:G68"/>
    <mergeCell ref="D69:F69"/>
    <mergeCell ref="B70:C71"/>
    <mergeCell ref="D70:I70"/>
    <mergeCell ref="B77:C77"/>
    <mergeCell ref="D77:F77"/>
    <mergeCell ref="B78:C78"/>
    <mergeCell ref="D78:F78"/>
    <mergeCell ref="B79:C79"/>
    <mergeCell ref="D79:F79"/>
    <mergeCell ref="B74:C74"/>
    <mergeCell ref="D74:F74"/>
    <mergeCell ref="B75:C75"/>
    <mergeCell ref="D75:F75"/>
    <mergeCell ref="B76:C76"/>
    <mergeCell ref="D76:F76"/>
    <mergeCell ref="B83:C83"/>
    <mergeCell ref="D83:F83"/>
    <mergeCell ref="B84:C84"/>
    <mergeCell ref="D84:F84"/>
    <mergeCell ref="B85:C85"/>
    <mergeCell ref="D85:F85"/>
    <mergeCell ref="B80:C80"/>
    <mergeCell ref="D80:F80"/>
    <mergeCell ref="B81:C81"/>
    <mergeCell ref="D81:F81"/>
    <mergeCell ref="B82:C82"/>
    <mergeCell ref="D82:F82"/>
    <mergeCell ref="B89:C89"/>
    <mergeCell ref="D89:F89"/>
    <mergeCell ref="B90:C90"/>
    <mergeCell ref="D90:F90"/>
    <mergeCell ref="B91:C91"/>
    <mergeCell ref="D91:F91"/>
    <mergeCell ref="B86:C86"/>
    <mergeCell ref="D86:F86"/>
    <mergeCell ref="B87:C87"/>
    <mergeCell ref="D87:F87"/>
    <mergeCell ref="B88:C88"/>
    <mergeCell ref="D88:F88"/>
    <mergeCell ref="B95:C95"/>
    <mergeCell ref="D95:F95"/>
    <mergeCell ref="B96:C96"/>
    <mergeCell ref="D96:F96"/>
    <mergeCell ref="B97:C97"/>
    <mergeCell ref="D97:F97"/>
    <mergeCell ref="B92:C92"/>
    <mergeCell ref="D92:F92"/>
    <mergeCell ref="B93:C93"/>
    <mergeCell ref="D93:F93"/>
    <mergeCell ref="B94:C94"/>
    <mergeCell ref="D94:F94"/>
    <mergeCell ref="B101:C101"/>
    <mergeCell ref="D101:F101"/>
    <mergeCell ref="B102:C102"/>
    <mergeCell ref="D102:F102"/>
    <mergeCell ref="B103:C103"/>
    <mergeCell ref="D103:F103"/>
    <mergeCell ref="B98:C98"/>
    <mergeCell ref="D98:F98"/>
    <mergeCell ref="B99:C99"/>
    <mergeCell ref="D99:F99"/>
    <mergeCell ref="B100:C100"/>
    <mergeCell ref="D100:F100"/>
    <mergeCell ref="B107:C107"/>
    <mergeCell ref="D107:F107"/>
    <mergeCell ref="B108:C108"/>
    <mergeCell ref="D108:F108"/>
    <mergeCell ref="B109:C109"/>
    <mergeCell ref="D109:F109"/>
    <mergeCell ref="B104:C104"/>
    <mergeCell ref="D104:F104"/>
    <mergeCell ref="B105:C105"/>
    <mergeCell ref="D105:F105"/>
    <mergeCell ref="B106:C106"/>
    <mergeCell ref="D106:F106"/>
    <mergeCell ref="B113:C113"/>
    <mergeCell ref="D113:F113"/>
    <mergeCell ref="B114:C114"/>
    <mergeCell ref="D114:F114"/>
    <mergeCell ref="B115:C115"/>
    <mergeCell ref="D115:F115"/>
    <mergeCell ref="B110:C110"/>
    <mergeCell ref="D110:F110"/>
    <mergeCell ref="B111:C111"/>
    <mergeCell ref="D111:F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5:C125"/>
    <mergeCell ref="D125:F125"/>
    <mergeCell ref="B126:C126"/>
    <mergeCell ref="D126:F126"/>
    <mergeCell ref="B127:C127"/>
    <mergeCell ref="D127:F127"/>
    <mergeCell ref="B122:C122"/>
    <mergeCell ref="D122:F122"/>
    <mergeCell ref="B123:C123"/>
    <mergeCell ref="D123:F123"/>
    <mergeCell ref="B124:C124"/>
    <mergeCell ref="D124:F124"/>
    <mergeCell ref="B131:C131"/>
    <mergeCell ref="D131:F131"/>
    <mergeCell ref="B132:C132"/>
    <mergeCell ref="D132:F132"/>
    <mergeCell ref="B133:C133"/>
    <mergeCell ref="D133:F133"/>
    <mergeCell ref="B128:C128"/>
    <mergeCell ref="D128:F128"/>
    <mergeCell ref="B129:C129"/>
    <mergeCell ref="D129:F129"/>
    <mergeCell ref="B130:C130"/>
    <mergeCell ref="D130:F130"/>
    <mergeCell ref="O141:P141"/>
    <mergeCell ref="Q141:R141"/>
    <mergeCell ref="B142:K142"/>
    <mergeCell ref="B143:I143"/>
    <mergeCell ref="B144:M144"/>
    <mergeCell ref="B145:M145"/>
    <mergeCell ref="G133:H133"/>
    <mergeCell ref="K133:L133"/>
    <mergeCell ref="B134:M134"/>
    <mergeCell ref="B136:I136"/>
    <mergeCell ref="B139:M139"/>
    <mergeCell ref="B140:M140"/>
    <mergeCell ref="B152:M152"/>
    <mergeCell ref="B153:M153"/>
    <mergeCell ref="B154:M154"/>
    <mergeCell ref="B155:M155"/>
    <mergeCell ref="B156:M156"/>
    <mergeCell ref="B157:M157"/>
    <mergeCell ref="B146:M146"/>
    <mergeCell ref="B147:M147"/>
    <mergeCell ref="B148:M148"/>
    <mergeCell ref="B149:M149"/>
    <mergeCell ref="B150:M150"/>
    <mergeCell ref="B151:M151"/>
    <mergeCell ref="B164:M164"/>
    <mergeCell ref="B165:M165"/>
    <mergeCell ref="B166:M166"/>
    <mergeCell ref="C169:F169"/>
    <mergeCell ref="H169:K169"/>
    <mergeCell ref="B158:M158"/>
    <mergeCell ref="B159:M159"/>
    <mergeCell ref="B160:M160"/>
    <mergeCell ref="B161:M161"/>
    <mergeCell ref="B162:M162"/>
    <mergeCell ref="B163:M163"/>
  </mergeCells>
  <conditionalFormatting sqref="B73:C132 D95:G132 I95:I132">
    <cfRule type="expression" dxfId="35" priority="36" stopIfTrue="1">
      <formula>$O73</formula>
    </cfRule>
  </conditionalFormatting>
  <conditionalFormatting sqref="B143:E166">
    <cfRule type="expression" dxfId="34" priority="32" stopIfTrue="1">
      <formula>A143</formula>
    </cfRule>
  </conditionalFormatting>
  <conditionalFormatting sqref="B72:I72">
    <cfRule type="expression" dxfId="33" priority="30" stopIfTrue="1">
      <formula>$O$72</formula>
    </cfRule>
  </conditionalFormatting>
  <conditionalFormatting sqref="D4:E4">
    <cfRule type="cellIs" dxfId="32" priority="5" stopIfTrue="1" operator="greaterThan">
      <formula>5000</formula>
    </cfRule>
  </conditionalFormatting>
  <conditionalFormatting sqref="D6:E6">
    <cfRule type="expression" dxfId="31" priority="1" stopIfTrue="1">
      <formula>$A$71</formula>
    </cfRule>
  </conditionalFormatting>
  <conditionalFormatting sqref="D9:E9">
    <cfRule type="cellIs" dxfId="30" priority="6" stopIfTrue="1" operator="greaterThan">
      <formula>$D$8</formula>
    </cfRule>
  </conditionalFormatting>
  <conditionalFormatting sqref="D92:G92 I92">
    <cfRule type="expression" dxfId="29" priority="9" stopIfTrue="1">
      <formula>$O$92</formula>
    </cfRule>
  </conditionalFormatting>
  <conditionalFormatting sqref="D93:G93 I93">
    <cfRule type="expression" dxfId="28" priority="8" stopIfTrue="1">
      <formula>$O$93</formula>
    </cfRule>
  </conditionalFormatting>
  <conditionalFormatting sqref="D94:G94 I94">
    <cfRule type="expression" dxfId="27" priority="7" stopIfTrue="1">
      <formula>$O$94</formula>
    </cfRule>
  </conditionalFormatting>
  <conditionalFormatting sqref="D73:I73">
    <cfRule type="expression" dxfId="26" priority="29" stopIfTrue="1">
      <formula>$O$73</formula>
    </cfRule>
  </conditionalFormatting>
  <conditionalFormatting sqref="D74:I74">
    <cfRule type="expression" dxfId="25" priority="28" stopIfTrue="1">
      <formula>$O$74</formula>
    </cfRule>
  </conditionalFormatting>
  <conditionalFormatting sqref="D75:I75">
    <cfRule type="expression" dxfId="24" priority="27" stopIfTrue="1">
      <formula>$O$75</formula>
    </cfRule>
  </conditionalFormatting>
  <conditionalFormatting sqref="D76:I76">
    <cfRule type="expression" dxfId="23" priority="26" stopIfTrue="1">
      <formula>$O$76</formula>
    </cfRule>
  </conditionalFormatting>
  <conditionalFormatting sqref="D77:I77">
    <cfRule type="expression" dxfId="22" priority="25" stopIfTrue="1">
      <formula>$O$77</formula>
    </cfRule>
  </conditionalFormatting>
  <conditionalFormatting sqref="D78:I78">
    <cfRule type="expression" dxfId="21" priority="24" stopIfTrue="1">
      <formula>$O$78</formula>
    </cfRule>
  </conditionalFormatting>
  <conditionalFormatting sqref="D79:I79">
    <cfRule type="expression" dxfId="20" priority="23" stopIfTrue="1">
      <formula>$O$79</formula>
    </cfRule>
  </conditionalFormatting>
  <conditionalFormatting sqref="D80:I80">
    <cfRule type="expression" dxfId="19" priority="22" stopIfTrue="1">
      <formula>$O$80</formula>
    </cfRule>
  </conditionalFormatting>
  <conditionalFormatting sqref="D81:I81">
    <cfRule type="expression" dxfId="18" priority="21" stopIfTrue="1">
      <formula>$O$81</formula>
    </cfRule>
  </conditionalFormatting>
  <conditionalFormatting sqref="D82:I82">
    <cfRule type="expression" dxfId="17" priority="20" stopIfTrue="1">
      <formula>$O$82</formula>
    </cfRule>
  </conditionalFormatting>
  <conditionalFormatting sqref="D83:I83">
    <cfRule type="expression" dxfId="16" priority="19" stopIfTrue="1">
      <formula>$O$83</formula>
    </cfRule>
  </conditionalFormatting>
  <conditionalFormatting sqref="D84:I84">
    <cfRule type="expression" dxfId="15" priority="18" stopIfTrue="1">
      <formula>$O$84</formula>
    </cfRule>
  </conditionalFormatting>
  <conditionalFormatting sqref="D85:I85">
    <cfRule type="expression" dxfId="14" priority="17" stopIfTrue="1">
      <formula>$O$85</formula>
    </cfRule>
  </conditionalFormatting>
  <conditionalFormatting sqref="D86:I86">
    <cfRule type="expression" dxfId="13" priority="16" stopIfTrue="1">
      <formula>$O$86</formula>
    </cfRule>
  </conditionalFormatting>
  <conditionalFormatting sqref="D87:I87">
    <cfRule type="expression" dxfId="12" priority="15" stopIfTrue="1">
      <formula>$O$87</formula>
    </cfRule>
  </conditionalFormatting>
  <conditionalFormatting sqref="D88:I88">
    <cfRule type="expression" dxfId="11" priority="14" stopIfTrue="1">
      <formula>$O$88</formula>
    </cfRule>
  </conditionalFormatting>
  <conditionalFormatting sqref="D89:I89">
    <cfRule type="expression" dxfId="10" priority="13" stopIfTrue="1">
      <formula>$O$89</formula>
    </cfRule>
  </conditionalFormatting>
  <conditionalFormatting sqref="D90:I90">
    <cfRule type="expression" dxfId="9" priority="11" stopIfTrue="1">
      <formula>$O$90</formula>
    </cfRule>
  </conditionalFormatting>
  <conditionalFormatting sqref="D91:I91 H92:H132">
    <cfRule type="expression" dxfId="8" priority="10" stopIfTrue="1">
      <formula>$O$91</formula>
    </cfRule>
  </conditionalFormatting>
  <conditionalFormatting sqref="F143:K166">
    <cfRule type="expression" dxfId="7" priority="31" stopIfTrue="1">
      <formula>D143</formula>
    </cfRule>
  </conditionalFormatting>
  <conditionalFormatting sqref="G4 D5:E5">
    <cfRule type="expression" dxfId="6" priority="2" stopIfTrue="1">
      <formula>$N$51</formula>
    </cfRule>
  </conditionalFormatting>
  <conditionalFormatting sqref="H56:M56">
    <cfRule type="expression" dxfId="5" priority="12" stopIfTrue="1">
      <formula>$A$41</formula>
    </cfRule>
  </conditionalFormatting>
  <conditionalFormatting sqref="J71:L71">
    <cfRule type="expression" dxfId="4" priority="4" stopIfTrue="1">
      <formula>$D$9</formula>
    </cfRule>
  </conditionalFormatting>
  <conditionalFormatting sqref="J70:M70 M71">
    <cfRule type="expression" dxfId="3" priority="3" stopIfTrue="1">
      <formula>$D$9</formula>
    </cfRule>
  </conditionalFormatting>
  <conditionalFormatting sqref="J72:M132">
    <cfRule type="expression" dxfId="2" priority="35" stopIfTrue="1">
      <formula>$BA72</formula>
    </cfRule>
  </conditionalFormatting>
  <conditionalFormatting sqref="L143:L166">
    <cfRule type="expression" dxfId="1" priority="33" stopIfTrue="1">
      <formula>I143</formula>
    </cfRule>
  </conditionalFormatting>
  <conditionalFormatting sqref="M143:M166">
    <cfRule type="expression" dxfId="0" priority="34" stopIfTrue="1">
      <formula>I143</formula>
    </cfRule>
  </conditionalFormatting>
  <dataValidations count="2">
    <dataValidation type="list" allowBlank="1" showInputMessage="1" showErrorMessage="1" sqref="D9:F9" xr:uid="{00000000-0002-0000-1500-000000000000}">
      <formula1>$P$8:$P$9</formula1>
    </dataValidation>
    <dataValidation type="list" allowBlank="1" showInputMessage="1" showErrorMessage="1" sqref="D8:F8" xr:uid="{00000000-0002-0000-1500-000001000000}">
      <formula1>$Q$8:$Q$12</formula1>
    </dataValidation>
  </dataValidations>
  <pageMargins left="0.31496062992125984" right="0.31496062992125984" top="0.31496062992125984" bottom="0.31496062992125984" header="0.31496062992125984" footer="0.31496062992125984"/>
  <pageSetup paperSize="9" scale="95" fitToHeight="0" orientation="portrait" r:id="rId1"/>
  <rowBreaks count="1" manualBreakCount="1">
    <brk id="4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>
      <selection activeCell="Q1" sqref="Q1:Q65536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A1:EK147"/>
  <sheetViews>
    <sheetView topLeftCell="A5" zoomScale="90" zoomScaleNormal="90" workbookViewId="0">
      <selection activeCell="D11" sqref="D11:E11"/>
    </sheetView>
  </sheetViews>
  <sheetFormatPr defaultRowHeight="12.75"/>
  <cols>
    <col min="1" max="1" width="26.42578125" style="21" customWidth="1"/>
    <col min="2" max="2" width="19.28515625" style="21" customWidth="1"/>
    <col min="3" max="3" width="3.28515625" style="21" customWidth="1"/>
    <col min="4" max="5" width="8.28515625" style="21" customWidth="1"/>
    <col min="6" max="6" width="15.5703125" style="21" customWidth="1"/>
    <col min="7" max="7" width="16.5703125" style="21" hidden="1" customWidth="1"/>
    <col min="8" max="8" width="20.5703125" style="21" customWidth="1"/>
    <col min="9" max="9" width="16.5703125" style="21" customWidth="1"/>
    <col min="10" max="10" width="15.7109375" style="21" customWidth="1"/>
    <col min="11" max="11" width="17" style="21" hidden="1" customWidth="1"/>
    <col min="12" max="12" width="15.7109375" style="21" customWidth="1"/>
    <col min="13" max="45" width="15.7109375" style="2" hidden="1" customWidth="1"/>
    <col min="46" max="50" width="15.7109375" style="21" hidden="1" customWidth="1"/>
    <col min="51" max="51" width="15.7109375" style="2" hidden="1" customWidth="1"/>
    <col min="52" max="55" width="15.7109375" style="21" hidden="1" customWidth="1"/>
    <col min="56" max="57" width="9.140625" style="21" customWidth="1"/>
    <col min="58" max="60" width="9.140625" style="21"/>
    <col min="61" max="61" width="9.140625" style="19"/>
    <col min="62" max="141" width="9.140625" style="20"/>
    <col min="142" max="16384" width="9.140625" style="21"/>
  </cols>
  <sheetData>
    <row r="1" spans="1:141" ht="25.5" hidden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  <c r="U1" s="21"/>
      <c r="V1" s="21"/>
      <c r="AB1" s="21"/>
      <c r="AC1" s="21"/>
      <c r="AD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</row>
    <row r="2" spans="1:141" ht="25.5" hidden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  <c r="U2" s="21"/>
      <c r="V2" s="21"/>
      <c r="AB2" s="21"/>
      <c r="AC2" s="21"/>
      <c r="AD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BI2" s="47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</row>
    <row r="3" spans="1:141" ht="25.5" hidden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  <c r="U3" s="21"/>
      <c r="V3" s="21"/>
      <c r="AB3" s="21"/>
      <c r="AC3" s="21"/>
      <c r="AD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</row>
    <row r="4" spans="1:141" ht="25.5" hidden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  <c r="U4" s="21"/>
      <c r="V4" s="21"/>
      <c r="AB4" s="21"/>
      <c r="AC4" s="21"/>
      <c r="AD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BI4" s="47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</row>
    <row r="5" spans="1:141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  <c r="U5" s="21"/>
      <c r="V5" s="21"/>
      <c r="AB5" s="21"/>
      <c r="AC5" s="21"/>
      <c r="AD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BI5" s="47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</row>
    <row r="6" spans="1:141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U6" s="21"/>
      <c r="V6" s="21"/>
      <c r="AB6" s="21"/>
      <c r="AC6" s="21"/>
      <c r="AD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BI6" s="47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</row>
    <row r="7" spans="1:141" ht="15" customHeight="1">
      <c r="A7" s="7"/>
      <c r="B7" s="424" t="s">
        <v>2</v>
      </c>
      <c r="C7" s="425"/>
      <c r="D7" s="339" t="s">
        <v>218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  <c r="U7" s="21"/>
      <c r="V7" s="21"/>
      <c r="AB7" s="21"/>
      <c r="AC7" s="21"/>
      <c r="AD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BI7" s="47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</row>
    <row r="8" spans="1:141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4</v>
      </c>
      <c r="E8" s="429"/>
      <c r="F8" s="430"/>
      <c r="G8" s="4"/>
      <c r="H8" s="4">
        <v>0</v>
      </c>
      <c r="I8" s="4"/>
      <c r="J8" s="4"/>
      <c r="K8" s="4"/>
      <c r="L8" s="4"/>
      <c r="M8" s="2">
        <v>1</v>
      </c>
      <c r="N8" s="2">
        <v>0</v>
      </c>
      <c r="O8" s="2">
        <f>N8+M8+H8</f>
        <v>1</v>
      </c>
      <c r="U8" s="21"/>
      <c r="V8" s="21"/>
      <c r="AB8" s="21"/>
      <c r="AC8" s="21"/>
      <c r="AD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BI8" s="47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</row>
    <row r="9" spans="1:141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U9" s="21"/>
      <c r="V9" s="21"/>
      <c r="AB9" s="21"/>
      <c r="AC9" s="21"/>
      <c r="AD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</row>
    <row r="10" spans="1:141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32">
        <v>8000</v>
      </c>
      <c r="E10" s="433"/>
      <c r="F10" s="11" t="s">
        <v>189</v>
      </c>
      <c r="G10" s="12" t="s">
        <v>7</v>
      </c>
      <c r="H10" s="13">
        <f ca="1">F22+G22+A92+D10</f>
        <v>12008.593346666665</v>
      </c>
      <c r="I10" s="40"/>
      <c r="J10" s="40"/>
      <c r="K10" s="40"/>
      <c r="L10" s="40"/>
      <c r="U10" s="21"/>
      <c r="V10" s="21"/>
      <c r="AB10" s="21"/>
      <c r="AC10" s="21"/>
      <c r="AD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</row>
    <row r="11" spans="1:141" ht="15" customHeight="1">
      <c r="A11" s="17">
        <v>23.5</v>
      </c>
      <c r="B11" s="408" t="s">
        <v>8</v>
      </c>
      <c r="C11" s="409"/>
      <c r="D11" s="413">
        <v>24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27</v>
      </c>
      <c r="R11" s="2">
        <f ca="1">IF(DAY(D16)=31,31,30)</f>
        <v>30</v>
      </c>
      <c r="T11" s="2">
        <f>IF(D17="Неустойка",40000000,1E+39)</f>
        <v>40000000</v>
      </c>
      <c r="U11" s="21"/>
      <c r="V11" s="21"/>
      <c r="AB11" s="21"/>
      <c r="AC11" s="21"/>
      <c r="AD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BI11" s="47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</row>
    <row r="12" spans="1:141" ht="15" hidden="1" customHeight="1">
      <c r="A12" s="7"/>
      <c r="B12" s="408" t="s">
        <v>10</v>
      </c>
      <c r="C12" s="409"/>
      <c r="D12" s="422">
        <v>0</v>
      </c>
      <c r="E12" s="423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2</v>
      </c>
      <c r="U12" s="21"/>
      <c r="V12" s="21"/>
      <c r="AB12" s="21"/>
      <c r="AC12" s="21"/>
      <c r="AD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</row>
    <row r="13" spans="1:141" ht="27.75" customHeight="1">
      <c r="A13" s="16" t="s">
        <v>12</v>
      </c>
      <c r="B13" s="345" t="s">
        <v>181</v>
      </c>
      <c r="C13" s="346"/>
      <c r="D13" s="415" t="s">
        <v>182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U13" s="21"/>
      <c r="V13" s="21"/>
      <c r="AB13" s="21"/>
      <c r="AC13" s="21"/>
      <c r="AD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BI13" s="47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</row>
    <row r="14" spans="1:141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  <c r="U14" s="21"/>
      <c r="V14" s="21"/>
      <c r="AB14" s="21"/>
      <c r="AC14" s="21"/>
      <c r="AD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BI14" s="47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</row>
    <row r="15" spans="1:141" ht="15" customHeight="1">
      <c r="A15" s="82"/>
      <c r="B15" s="309" t="s">
        <v>139</v>
      </c>
      <c r="C15" s="310"/>
      <c r="D15" s="355">
        <v>6</v>
      </c>
      <c r="E15" s="356"/>
      <c r="F15" s="14" t="str">
        <f>IF(D15=54,"месяца",IF(D15=42,"месяца",IF(D15&gt;4,"месяцев",IF(D15&gt;1,"месяца",IF(D15=1,"месяц","месяцев")))))</f>
        <v>месяцев</v>
      </c>
      <c r="G15" s="4"/>
      <c r="H15" s="4"/>
      <c r="I15" s="4"/>
      <c r="J15" s="4"/>
      <c r="K15" s="4"/>
      <c r="L15" s="4"/>
      <c r="U15" s="21"/>
      <c r="V15" s="21"/>
      <c r="AB15" s="21"/>
      <c r="AC15" s="21"/>
      <c r="AD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BI15" s="47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</row>
    <row r="16" spans="1:141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 ca="1">A14-D15</f>
        <v>42</v>
      </c>
      <c r="U16" s="21"/>
      <c r="V16" s="21"/>
      <c r="AB16" s="21"/>
      <c r="AC16" s="21"/>
      <c r="AD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BI16" s="47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</row>
    <row r="17" spans="1:141" ht="15" customHeight="1">
      <c r="A17" s="4">
        <f ca="1"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  <c r="U17" s="21"/>
      <c r="V17" s="21"/>
      <c r="AB17" s="21"/>
      <c r="AC17" s="21"/>
      <c r="AD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BI17" s="47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</row>
    <row r="18" spans="1:141" ht="15" customHeight="1" thickBot="1">
      <c r="A18" s="4"/>
      <c r="B18" s="343" t="s">
        <v>214</v>
      </c>
      <c r="C18" s="344"/>
      <c r="D18" s="376" t="s">
        <v>215</v>
      </c>
      <c r="E18" s="377"/>
      <c r="F18" s="378"/>
      <c r="G18" s="4"/>
      <c r="H18" s="4"/>
      <c r="I18" s="4"/>
      <c r="J18" s="4"/>
      <c r="K18" s="4"/>
      <c r="L18" s="4"/>
      <c r="BI18" s="47"/>
    </row>
    <row r="19" spans="1:141" ht="11.25" hidden="1" customHeight="1">
      <c r="A19" s="4"/>
      <c r="B19" s="4"/>
      <c r="C19" s="4"/>
      <c r="D19" s="272" t="s">
        <v>17</v>
      </c>
      <c r="E19" s="272"/>
      <c r="F19" s="272"/>
      <c r="G19" s="4"/>
      <c r="H19" s="4"/>
      <c r="I19" s="4"/>
      <c r="J19" s="4"/>
      <c r="K19" s="4"/>
      <c r="L19" s="4"/>
      <c r="BI19" s="47"/>
    </row>
    <row r="20" spans="1:141" ht="0.75" hidden="1" customHeight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BI20" s="47"/>
    </row>
    <row r="21" spans="1:141">
      <c r="A21" s="4"/>
      <c r="B21" s="4"/>
      <c r="C21" s="4"/>
      <c r="D21" s="272" t="s">
        <v>20</v>
      </c>
      <c r="E21" s="272"/>
      <c r="F21" s="272"/>
      <c r="G21" s="4"/>
      <c r="H21" s="4"/>
      <c r="I21" s="4"/>
      <c r="J21" s="4"/>
      <c r="K21" s="4"/>
      <c r="L21" s="4"/>
      <c r="BI21" s="47"/>
    </row>
    <row r="22" spans="1:141" ht="4.5" customHeight="1">
      <c r="A22" s="4"/>
      <c r="B22" s="4"/>
      <c r="C22" s="4"/>
      <c r="D22" s="404">
        <f ca="1">SUM(D25:E85)</f>
        <v>16000.000000000005</v>
      </c>
      <c r="E22" s="272"/>
      <c r="F22" s="22">
        <f ca="1">SUM(F25:F86)/2</f>
        <v>4008.5933466666638</v>
      </c>
      <c r="G22" s="22">
        <f ca="1">SUM(G25:G86)/2</f>
        <v>0</v>
      </c>
      <c r="H22" s="22">
        <f ca="1">SUM(H25:H72)</f>
        <v>12008.593346666667</v>
      </c>
      <c r="I22" s="22"/>
      <c r="J22" s="22"/>
      <c r="K22" s="22"/>
      <c r="L22" s="22"/>
      <c r="BI22" s="47"/>
    </row>
    <row r="23" spans="1:141" ht="15.7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BI23" s="47"/>
    </row>
    <row r="24" spans="1:141" ht="36.75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  <c r="BI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35">
        <f ca="1">IF(N25=0,0,IF(F10="USD",ROUND(D10/M14,0),IF(F10="бел. рублей",IF(AX25&lt;=5,AU25,AU25)," ")))</f>
        <v>166.67</v>
      </c>
      <c r="E25" s="435"/>
      <c r="F25" s="151">
        <f ca="1">IF(M1=1,P25,IF(M1=2,Q25," "))</f>
        <v>144</v>
      </c>
      <c r="G25" s="151">
        <f ca="1">IF(M1=1,AC25,IF(M1=2,AD25," "))</f>
        <v>0</v>
      </c>
      <c r="H25" s="151">
        <f ca="1">SUM(D25:G25)+A87</f>
        <v>310.66999999999996</v>
      </c>
      <c r="I25" s="151">
        <f ca="1">T25</f>
        <v>166.67</v>
      </c>
      <c r="J25" s="151">
        <f t="shared" ref="J25:J30" ca="1" si="0">AA25</f>
        <v>144</v>
      </c>
      <c r="K25" s="151">
        <f t="shared" ref="K25:K30" ca="1" si="1">AH25</f>
        <v>0</v>
      </c>
      <c r="L25" s="151">
        <f ca="1">SUM(I25:K25)+A87</f>
        <v>310.66999999999996</v>
      </c>
      <c r="M25" s="2">
        <v>1</v>
      </c>
      <c r="N25" s="2">
        <f ca="1">IF(M1=1,IF(M14&gt;0,1,0),IF(M1=2,IF(M14&gt;0,1,0),0))</f>
        <v>1</v>
      </c>
      <c r="O25" s="2">
        <f t="shared" ref="O25:O30" ca="1" si="2">IF(M25=A$14,IF(DATE(YEAR(0),MONTH(0),DAY(D$16)-1)&lt;AR25,DATE(YEAR(0),MONTH(0),DAY(D$16)-1),AR25),AR25)</f>
        <v>20</v>
      </c>
      <c r="P25" s="134">
        <f ca="1">U25</f>
        <v>144</v>
      </c>
      <c r="Q25" s="134">
        <f ca="1">V25</f>
        <v>144</v>
      </c>
      <c r="R25" s="134">
        <f>D10</f>
        <v>8000</v>
      </c>
      <c r="S25" s="134">
        <f ca="1">AU25</f>
        <v>166.67</v>
      </c>
      <c r="T25" s="134">
        <f ca="1">S25</f>
        <v>166.67</v>
      </c>
      <c r="U25" s="134">
        <f ca="1">R25*Q11*D11/36000</f>
        <v>144</v>
      </c>
      <c r="V25" s="134">
        <f ca="1">R25*Q11*D11/36000</f>
        <v>144</v>
      </c>
      <c r="W25" s="134">
        <f ca="1">D10*Q11*D11/36000</f>
        <v>144</v>
      </c>
      <c r="X25" s="134">
        <f ca="1">IF(D10*Q11*D11/36000&lt;&gt;0,IF(VALUE(RIGHT(ROUND(D10*Q11*D11/36000,0)))&lt;=5,ROUND(D10*Q11*D11/36000,0)-VALUE(RIGHT(ROUND(D10*Q11*D11/36000,0))),ROUND(D10*Q11*D11/36000,0)+10-VALUE(RIGHT(ROUND(D10*Q11*D11/36000,0)))),0)</f>
        <v>140</v>
      </c>
      <c r="Y25" s="134">
        <f>IF(M25&lt;=(D$15+1),D$10,Y24-I24)</f>
        <v>8000</v>
      </c>
      <c r="Z25" s="134">
        <f ca="1">Y25*Q11*D11/36000</f>
        <v>144</v>
      </c>
      <c r="AA25" s="134">
        <f ca="1">Z25</f>
        <v>144</v>
      </c>
      <c r="AB25" s="134">
        <f ca="1">R25*Q11</f>
        <v>216000</v>
      </c>
      <c r="AC25" s="134">
        <f ca="1">IF(AJ25&lt;&gt;0,IF(VALUE(RIGHT(ROUND(AJ25,0)))&lt;=5,ROUND(AJ25,0)-VALUE(RIGHT(ROUND(AJ25,0))),ROUND(AJ25,0)+10-VALUE(RIGHT(ROUND(AJ25,0)))),0)</f>
        <v>0</v>
      </c>
      <c r="AD25" s="134">
        <f ca="1">IF(AK25&lt;&gt;0,IF(VALUE(RIGHT(ROUND(AK25,0)))&lt;=5,ROUND(AK25,0)-VALUE(RIGHT(ROUND(AK25,0))),ROUND(AK25,0)+10-VALUE(RIGHT(ROUND(AK25,0)))),0)</f>
        <v>0</v>
      </c>
      <c r="AE25" s="134">
        <f ca="1">AI25*Q11*G12/36000</f>
        <v>0</v>
      </c>
      <c r="AF25" s="134">
        <f ca="1">IF(AE25&lt;&gt;0,IF(VALUE(RIGHT(ROUND(AE25,0)))&lt;=5,ROUND(AE25,0)-VALUE(RIGHT(ROUND(AE25,0))),ROUND(AE25,0)+10-VALUE(RIGHT(ROUND(AE25,0)))),0)</f>
        <v>0</v>
      </c>
      <c r="AG25" s="134">
        <f ca="1">Y25*Q11*G12/36000</f>
        <v>0</v>
      </c>
      <c r="AH25" s="134">
        <f ca="1">IF(AG25&lt;&gt;0,IF(VALUE(RIGHT(ROUND(AG25,0)))&lt;=5,ROUND(AG25,0)-VALUE(RIGHT(ROUND(AG25,0))),ROUND(AG25,0)+10-VALUE(RIGHT(ROUND(AG25,0)))),0)</f>
        <v>0</v>
      </c>
      <c r="AI25" s="134">
        <f t="shared" ref="AI25:AI56" si="3">R25</f>
        <v>8000</v>
      </c>
      <c r="AJ25" s="134">
        <f ca="1">AI25*Q11*G12/36000</f>
        <v>0</v>
      </c>
      <c r="AK25" s="134">
        <f ca="1">AI25*Q11*G12/36000</f>
        <v>0</v>
      </c>
      <c r="AL25" s="132">
        <f ca="1">IF(N25=0,0,MONTH(D16)+1)</f>
        <v>2</v>
      </c>
      <c r="AM25" s="132">
        <f t="shared" ref="AM25:AM56" ca="1" si="4">IF(AL25=13,1,AL25)</f>
        <v>2</v>
      </c>
      <c r="AN25" s="2">
        <f ca="1">IF(N25=0,0,YEAR(D16))</f>
        <v>2024</v>
      </c>
      <c r="AO25" s="2">
        <f t="shared" ref="AO25:AO56" ca="1" si="5">IF(AM25=1,AN25+1,AN25)</f>
        <v>2024</v>
      </c>
      <c r="AP25" s="2">
        <f t="shared" ref="AP25:AP56" ca="1" si="6">IF((AN25/2012)=1,1,IF((AN25/2016)=1,1,IF((AN25/2020)=1,1,IF((AN25/2024)=1,1,IF((AN25/2028)=1,1,IF((AN25/2032)=1,1,0))))))</f>
        <v>1</v>
      </c>
      <c r="AQ25" s="2">
        <f t="shared" ref="AQ25:AQ56" ca="1" si="7">IF(AM25=2,IF(AP25=1,29,28),30)</f>
        <v>29</v>
      </c>
      <c r="AR25" s="2">
        <f t="shared" ref="AR25:AR56" si="8">IF(C$24=30,AQ25,20)</f>
        <v>20</v>
      </c>
      <c r="AS25" s="2"/>
      <c r="AT25" s="21"/>
      <c r="AU25" s="21">
        <f ca="1">ROUND(IF(N25=0,0,IF(F10="USD",ROUND(D10/M14,2),IF(F10="бел. рублей",D10/M14," "))),2)</f>
        <v>166.67</v>
      </c>
      <c r="AV25" s="147" t="str">
        <f ca="1">RIGHT(AU25)</f>
        <v>7</v>
      </c>
      <c r="AW25" s="21">
        <f ca="1">VALUE(AV25)</f>
        <v>7</v>
      </c>
      <c r="AX25" s="21">
        <f ca="1">10-AW25</f>
        <v>3</v>
      </c>
      <c r="AY25" s="2">
        <f ca="1">IF(D$15=0,0,IF(N25=1,1,0))</f>
        <v>1</v>
      </c>
      <c r="AZ25" s="21"/>
      <c r="BA25" s="21"/>
      <c r="BB25" s="21"/>
      <c r="BC25" s="21"/>
      <c r="BD25" s="21"/>
      <c r="BE25" s="21"/>
      <c r="BF25" s="21"/>
      <c r="BG25" s="21"/>
      <c r="BH25" s="21"/>
      <c r="BI25" s="52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9">A25+1</f>
        <v>2</v>
      </c>
      <c r="B26" s="268">
        <f ca="1">IF(N26=0,IF(N25=1,"ИТОГО"," "),DATE(YEAR(B25),MONTH(B25)+1,O26))</f>
        <v>45371</v>
      </c>
      <c r="C26" s="401"/>
      <c r="D26" s="435">
        <f ca="1">IF(N26=0,IF(N25=1,D25," "),IF(N26=0,0,IF(N27=1,D25,IF(N27=0,D10-D25*(M14-1)," "))))</f>
        <v>166.67</v>
      </c>
      <c r="E26" s="435"/>
      <c r="F26" s="151">
        <f ca="1">IF(N26=0,IF(N25=1,F25," "),IF(M1=1,P26,IF(M1=2,Q26," ")))</f>
        <v>158.88886666666667</v>
      </c>
      <c r="G26" s="151">
        <f ca="1">IF(N26=0,IF(N25=1,G25," "),IF(M1=1,AC26,IF(M1=2,AD26," ")))</f>
        <v>0</v>
      </c>
      <c r="H26" s="151">
        <f t="shared" ref="H26:H57" ca="1" si="10">IF(SUM(D26:G26)=0," ",SUM(D26:G26))</f>
        <v>325.55886666666663</v>
      </c>
      <c r="I26" s="151">
        <f ca="1">IF(N26=1,IF(N27=1,IF(M26&lt;=D$15,T26,AV$26),D$10-AV$26*M$16+AV$26),0)</f>
        <v>170.21276595744681</v>
      </c>
      <c r="J26" s="151">
        <f t="shared" ca="1" si="0"/>
        <v>160</v>
      </c>
      <c r="K26" s="151">
        <f t="shared" ca="1" si="1"/>
        <v>0</v>
      </c>
      <c r="L26" s="151">
        <f ca="1">IF(SUM(I26:K26)=0," ",SUM(I26:K26))</f>
        <v>330.21276595744678</v>
      </c>
      <c r="M26" s="2">
        <f t="shared" ref="M26:M48" si="11">M25+1</f>
        <v>2</v>
      </c>
      <c r="N26" s="2">
        <f ca="1">IF(M1=1,IF(M14&gt;1,1,0),IF(M1=2,IF(M14&gt;1,1,0),0))</f>
        <v>1</v>
      </c>
      <c r="O26" s="2">
        <f t="shared" ca="1" si="2"/>
        <v>20</v>
      </c>
      <c r="P26" s="134">
        <f t="shared" ref="P26:P85" ca="1" si="12">U26</f>
        <v>158.88886666666667</v>
      </c>
      <c r="Q26" s="134">
        <f t="shared" ref="Q26:Q85" ca="1" si="13">V26</f>
        <v>158.88886666666667</v>
      </c>
      <c r="R26" s="134">
        <f t="shared" ref="R26:R57" ca="1" si="14">IF(N26=0,0,R25-D25)</f>
        <v>7833.33</v>
      </c>
      <c r="S26" s="134">
        <f>IF(M26&lt;=D$15,D$10/(D$14-M25),D26)</f>
        <v>170.21276595744681</v>
      </c>
      <c r="T26" s="134">
        <f t="shared" ref="T26:T85" si="15">S26</f>
        <v>170.21276595744681</v>
      </c>
      <c r="U26" s="134">
        <f ca="1">IF(N27=1,R25*D11*20/36000+R26*D11*10/36000,IF(N27=0,IF(N26=0,0,R26*D11*Q12/36000+R25*D11*20/36000+R26*D11*10/36000)))</f>
        <v>158.88886666666667</v>
      </c>
      <c r="V26" s="134">
        <f ca="1">IF(N27=1,R25*D11*20/36000+R26*D11*10/36000,IF(N27=0,IF(N26=0,0,R26*D11*Q12/36000+R25*D11*20/36000+R26*D11*10/36000)))</f>
        <v>158.88886666666667</v>
      </c>
      <c r="W26" s="134">
        <f ca="1">IF(N27=1,$D$10*$D$11*20/36000+$D$10*$D$11*10/36000,IF(N27=0,IF(N26=0,0,$D$10*$D$11*$Q$12/36000+$D$10*$D$11*20/36000+$D$10*$D$11*10/36000)))</f>
        <v>160</v>
      </c>
      <c r="X26" s="134">
        <f ca="1">IF(W26&lt;&gt;0,IF(VALUE(RIGHT(ROUND(W26,0)))&lt;=5,ROUND(W26,0)-VALUE(RIGHT(ROUND(W26,0))),ROUND(W26,0)+10-VALUE(RIGHT(ROUND(W26,0)))),0)</f>
        <v>160</v>
      </c>
      <c r="Y26" s="134">
        <f t="shared" ref="Y26:Y85" si="16">IF(M26&lt;=(D$15+1),D$10,Y25-I25)</f>
        <v>8000</v>
      </c>
      <c r="Z26" s="134">
        <f ca="1">IF(N27=1,Y25*D$11*20/36000+Y26*D$11*10/36000,IF(N27=0,IF(N26=0,0,Y26*D$11*Q$12/36000+Y25*D$11*20/36000+Y26*D$11*10/36000)))</f>
        <v>160</v>
      </c>
      <c r="AA26" s="134">
        <f t="shared" ref="AA26:AA85" ca="1" si="17">Z26</f>
        <v>160</v>
      </c>
      <c r="AB26" s="134">
        <f ca="1">IF(R27=0,R26*Q12,(R25*20+R26*10))</f>
        <v>238333.3</v>
      </c>
      <c r="AC26" s="134">
        <f t="shared" ref="AC26:AC85" ca="1" si="18">IF(AJ26&lt;&gt;0,IF(VALUE(RIGHT(ROUND(AJ26,0)))&lt;=5,ROUND(AJ26,0)-VALUE(RIGHT(ROUND(AJ26,0))),ROUND(AJ26,0)+10-VALUE(RIGHT(ROUND(AJ26,0)))),0)</f>
        <v>0</v>
      </c>
      <c r="AD26" s="134">
        <f t="shared" ref="AD26:AD85" ca="1" si="19">IF(AK26&lt;&gt;0,IF(VALUE(RIGHT(ROUND(AK26,0)))&lt;=5,ROUND(AK26,0)-VALUE(RIGHT(ROUND(AK26,0))),ROUND(AK26,0)+10-VALUE(RIGHT(ROUND(AK26,0)))),0)</f>
        <v>0</v>
      </c>
      <c r="AE26" s="134">
        <f ca="1">IF(N27=1,D$10*G$12*20/36000+D$10*G$12*10/36000,IF(N27=0,IF(N26=0,0,D$10*G$12*Q$12/36000+D$10*G$12*20/36000+D$10*G$12*10/36000)))</f>
        <v>0</v>
      </c>
      <c r="AF26" s="134">
        <f t="shared" ref="AF26:AF85" ca="1" si="20">IF(AE26&lt;&gt;0,IF(VALUE(RIGHT(ROUND(AE26,0)))&lt;=5,ROUND(AE26,0)-VALUE(RIGHT(ROUND(AE26,0))),ROUND(AE26,0)+10-VALUE(RIGHT(ROUND(AE26,0)))),0)</f>
        <v>0</v>
      </c>
      <c r="AG26" s="134">
        <f ca="1">IF(N27=1,Y25*G$12*20/36000+Y26*G$12*10/36000,IF(N27=0,IF(N26=0,0,Y26*G$12*Q$12/36000+Y25*G$12*20/36000+Y26*G$12*10/36000)))</f>
        <v>0</v>
      </c>
      <c r="AH26" s="134">
        <f t="shared" ref="AH26:AH85" ca="1" si="21">IF(AG26&lt;&gt;0,IF(VALUE(RIGHT(ROUND(AG26,0)))&lt;=5,ROUND(AG26,0)-VALUE(RIGHT(ROUND(AG26,0))),ROUND(AG26,0)+10-VALUE(RIGHT(ROUND(AG26,0)))),0)</f>
        <v>0</v>
      </c>
      <c r="AI26" s="134">
        <f t="shared" ca="1" si="3"/>
        <v>7833.33</v>
      </c>
      <c r="AJ26" s="134">
        <f ca="1">IF(N27=1,AI25*G12*20/36000+AI26*G12*10/36000,IF(N27=0,IF(N26=0,0,AI26*G12*Q12/36000+AI25*G12*20/36000+AI26*G12*10/36000)))</f>
        <v>0</v>
      </c>
      <c r="AK26" s="134">
        <f ca="1">IF(N27=1,AI25*G12*20/36000+AI26*G12*10/36000,IF(N27=0,IF(N26=0,0,AI26*G12*Q12/36000+AI25*G12*20/36000+AI26*G12*10/36000)))</f>
        <v>0</v>
      </c>
      <c r="AL26" s="132">
        <f t="shared" ref="AL26:AL57" ca="1" si="22">IF(N26=0,0,MONTH(B25)+1)</f>
        <v>3</v>
      </c>
      <c r="AM26" s="132">
        <f t="shared" ca="1" si="4"/>
        <v>3</v>
      </c>
      <c r="AN26" s="2">
        <f t="shared" ref="AN26:AN57" ca="1" si="23">IF(N26=0,0,YEAR(B25))</f>
        <v>2024</v>
      </c>
      <c r="AO26" s="2">
        <f t="shared" ca="1" si="5"/>
        <v>2024</v>
      </c>
      <c r="AP26" s="2">
        <f t="shared" ca="1" si="6"/>
        <v>1</v>
      </c>
      <c r="AQ26" s="2">
        <f t="shared" ca="1" si="7"/>
        <v>30</v>
      </c>
      <c r="AR26" s="2">
        <f t="shared" si="8"/>
        <v>20</v>
      </c>
      <c r="AS26" s="2">
        <f t="shared" ref="AS26:AS57" ca="1" si="24">AQ25</f>
        <v>29</v>
      </c>
      <c r="AT26" s="21"/>
      <c r="AU26" s="2">
        <f ca="1">D$10/(A$14-D$15)</f>
        <v>190.47619047619048</v>
      </c>
      <c r="AV26" s="134">
        <f ca="1">ROUNDUP(AU26,2)</f>
        <v>190.48</v>
      </c>
      <c r="AW26" s="21"/>
      <c r="AX26" s="21"/>
      <c r="AY26" s="2">
        <f t="shared" ref="AY26:AY85" ca="1" si="25">IF(D$15=0,0,IF(N26=1,1,0))</f>
        <v>1</v>
      </c>
      <c r="AZ26" s="21"/>
      <c r="BA26" s="21">
        <v>12</v>
      </c>
      <c r="BB26" s="21"/>
      <c r="BC26" s="21"/>
      <c r="BD26" s="21"/>
      <c r="BE26" s="21"/>
      <c r="BF26" s="21"/>
      <c r="BG26" s="21"/>
      <c r="BH26" s="21"/>
      <c r="BI26" s="52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9"/>
        <v>3</v>
      </c>
      <c r="B27" s="268">
        <f ca="1">IF(N27=0,IF(N26=1,"ИТОГО"," "),DATE(YEAR(B26),MONTH(B26)+1,O27))</f>
        <v>45402</v>
      </c>
      <c r="C27" s="401"/>
      <c r="D27" s="435">
        <f ca="1">IF(N27=0,IF(N26=1,D25+D26," "),IF(N27=0,0,IF(N28=1,D25,IF(N28=0,D10-D25*(M14-1)," "))))</f>
        <v>166.67</v>
      </c>
      <c r="E27" s="435"/>
      <c r="F27" s="151">
        <f ca="1">IF(N27=0,IF(N26=1,F25+F26," "),IF(M1=1,P27,IF(M1=2,Q27," ")))</f>
        <v>155.55546666666666</v>
      </c>
      <c r="G27" s="151">
        <f ca="1">IF(N27=0,IF(N26=1,G25+G26," "),IF(M1=1,AC27,IF(M1=2,AD27," ")))</f>
        <v>0</v>
      </c>
      <c r="H27" s="151">
        <f t="shared" ca="1" si="10"/>
        <v>322.22546666666665</v>
      </c>
      <c r="I27" s="151">
        <f ca="1">IF(N27=1,IF(N28=1,IF(M27&lt;=D$15,T27,AV$26),D$10-AV$26*M$16+AV$26),0)</f>
        <v>173.91304347826087</v>
      </c>
      <c r="J27" s="151">
        <f t="shared" ca="1" si="0"/>
        <v>160</v>
      </c>
      <c r="K27" s="151">
        <f t="shared" ca="1" si="1"/>
        <v>0</v>
      </c>
      <c r="L27" s="151">
        <f ca="1">IF(SUM(I27:K27)=0," ",SUM(I27:K27))</f>
        <v>333.91304347826087</v>
      </c>
      <c r="M27" s="2">
        <f t="shared" si="11"/>
        <v>3</v>
      </c>
      <c r="N27" s="2">
        <f ca="1">IF(M1=1,IF(M14&gt;2,1,0),IF(M1=2,IF(M14&gt;2,1,0),0))</f>
        <v>1</v>
      </c>
      <c r="O27" s="2">
        <f t="shared" ca="1" si="2"/>
        <v>20</v>
      </c>
      <c r="P27" s="134">
        <f t="shared" ca="1" si="12"/>
        <v>155.55546666666666</v>
      </c>
      <c r="Q27" s="134">
        <f t="shared" ca="1" si="13"/>
        <v>155.55546666666666</v>
      </c>
      <c r="R27" s="134">
        <f t="shared" ca="1" si="14"/>
        <v>7666.66</v>
      </c>
      <c r="S27" s="134">
        <f t="shared" ref="S27:S85" si="26">IF(M27&lt;=D$15,D$10/(D$14-M26),D27)</f>
        <v>173.91304347826087</v>
      </c>
      <c r="T27" s="134">
        <f t="shared" si="15"/>
        <v>173.91304347826087</v>
      </c>
      <c r="U27" s="134">
        <f ca="1">IF(N28=1,R26*D11*20/36000+R27*D11*10/36000,IF(N28=0,IF(N27=0,0,R27*D11*Q12/36000+R26*D11*20/36000+R27*D11*10/36000)))</f>
        <v>155.55546666666666</v>
      </c>
      <c r="V27" s="134">
        <f ca="1">IF(N28=1,R26*D11*20/36000+R27*D11*10/36000,IF(N28=0,IF(N27=0,0,R27*D11*Q12/36000+R26*D11*20/36000+R27*D11*10/36000)))</f>
        <v>155.55546666666666</v>
      </c>
      <c r="W27" s="134">
        <f t="shared" ref="W27:W84" ca="1" si="27">IF(N28=1,$D$10*$D$11*20/36000+$D$10*$D$11*10/36000,IF(N28=0,IF(N27=0,0,$D$10*$D$11*$Q$12/36000+$D$10*$D$11*20/36000+$D$10*$D$11*10/36000)))</f>
        <v>160</v>
      </c>
      <c r="X27" s="134">
        <f t="shared" ref="X27:X85" ca="1" si="28">IF(W27&lt;&gt;0,IF(VALUE(RIGHT(ROUND(W27,0)))&lt;=5,ROUND(W27,0)-VALUE(RIGHT(ROUND(W27,0))),ROUND(W27,0)+10-VALUE(RIGHT(ROUND(W27,0)))),0)</f>
        <v>160</v>
      </c>
      <c r="Y27" s="134">
        <f t="shared" si="16"/>
        <v>8000</v>
      </c>
      <c r="Z27" s="134">
        <f ca="1">IF(N28=1,Y26*D$11*20/36000+Y27*D$11*10/36000,IF(N28=0,IF(N27=0,0,Y27*D$11*Q$12/36000+Y26*D$11*20/36000+Y27*D$11*10/36000)))</f>
        <v>160</v>
      </c>
      <c r="AA27" s="134">
        <f t="shared" ca="1" si="17"/>
        <v>160</v>
      </c>
      <c r="AB27" s="134">
        <f ca="1">IF(R28=0,R27*Q12,(R26*20+R27*10))</f>
        <v>233333.2</v>
      </c>
      <c r="AC27" s="134">
        <f t="shared" ca="1" si="18"/>
        <v>0</v>
      </c>
      <c r="AD27" s="134">
        <f t="shared" ca="1" si="19"/>
        <v>0</v>
      </c>
      <c r="AE27" s="134">
        <f ca="1">IF(N28=1,D$10*G$12*20/36000+D$10*G$12*10/36000,IF(N28=0,IF(N27=0,0,D$10*G$12*Q$12/36000+D$10*G$12*20/36000+D$10*G$12*10/36000)))</f>
        <v>0</v>
      </c>
      <c r="AF27" s="134">
        <f t="shared" ca="1" si="20"/>
        <v>0</v>
      </c>
      <c r="AG27" s="134">
        <f t="shared" ref="AG27:AG84" ca="1" si="29">IF(N28=1,Y26*G$12*20/36000+Y27*G$12*10/36000,IF(N28=0,IF(N27=0,0,Y27*G$12*Q$12/36000+Y26*G$12*20/36000+Y27*G$12*10/36000)))</f>
        <v>0</v>
      </c>
      <c r="AH27" s="134">
        <f t="shared" ca="1" si="21"/>
        <v>0</v>
      </c>
      <c r="AI27" s="134">
        <f t="shared" ca="1" si="3"/>
        <v>7666.66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ca="1" si="22"/>
        <v>4</v>
      </c>
      <c r="AM27" s="132">
        <f t="shared" ca="1" si="4"/>
        <v>4</v>
      </c>
      <c r="AN27" s="2">
        <f t="shared" ca="1" si="23"/>
        <v>2024</v>
      </c>
      <c r="AO27" s="2">
        <f t="shared" ca="1" si="5"/>
        <v>2024</v>
      </c>
      <c r="AP27" s="2">
        <f t="shared" ca="1" si="6"/>
        <v>1</v>
      </c>
      <c r="AQ27" s="2">
        <f t="shared" ca="1" si="7"/>
        <v>30</v>
      </c>
      <c r="AR27" s="2">
        <f t="shared" si="8"/>
        <v>20</v>
      </c>
      <c r="AS27" s="2">
        <f t="shared" ca="1" si="24"/>
        <v>30</v>
      </c>
      <c r="AT27" s="21"/>
      <c r="AU27" s="21"/>
      <c r="AV27" s="21"/>
      <c r="AW27" s="21"/>
      <c r="AX27" s="21"/>
      <c r="AY27" s="2">
        <f t="shared" ca="1" si="25"/>
        <v>1</v>
      </c>
      <c r="AZ27" s="21"/>
      <c r="BA27" s="21">
        <v>24</v>
      </c>
      <c r="BB27" s="21">
        <v>3</v>
      </c>
      <c r="BC27" s="21"/>
      <c r="BD27" s="21"/>
      <c r="BE27" s="21"/>
      <c r="BF27" s="21"/>
      <c r="BG27" s="21"/>
      <c r="BH27" s="21"/>
      <c r="BI27" s="52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9"/>
        <v>4</v>
      </c>
      <c r="B28" s="268">
        <f ca="1">IF(N28=0,IF(N27=1,"ИТОГО"," "),DATE(YEAR(B27),MONTH(B27)+1,O28))</f>
        <v>45432</v>
      </c>
      <c r="C28" s="401"/>
      <c r="D28" s="435">
        <f ca="1">IF(N28=0,IF(N27=1,D25+D26+D27," "),IF(N28=0,0,IF(N29=1,D25,IF(N29=0,D10-D25*(M14-1)," "))))</f>
        <v>166.67</v>
      </c>
      <c r="E28" s="435"/>
      <c r="F28" s="151">
        <f ca="1">IF(N28=0,IF(N27=1,F26+F27+F28," "),IF(M2=1,P28,IF(M1=2,Q28," ")))</f>
        <v>152.22206666666668</v>
      </c>
      <c r="G28" s="151">
        <f ca="1">IF(N28=0,IF(N27=1,G25+G26+G27," "),IF(M1=1,AC28,IF(M1=2,AD28," ")))</f>
        <v>0</v>
      </c>
      <c r="H28" s="151">
        <f t="shared" ca="1" si="10"/>
        <v>318.89206666666666</v>
      </c>
      <c r="I28" s="151">
        <f ca="1">IF(N28=1,IF(N29=1,IF(M28&lt;=D$15,T28,AV$26),D$10-AV$26*M$16+AV$26),0)</f>
        <v>177.77777777777777</v>
      </c>
      <c r="J28" s="151">
        <f t="shared" ca="1" si="0"/>
        <v>160</v>
      </c>
      <c r="K28" s="151">
        <f t="shared" ca="1" si="1"/>
        <v>0</v>
      </c>
      <c r="L28" s="151">
        <f ca="1">IF(SUM(I28:K28)=0," ",SUM(I28:K28))</f>
        <v>337.77777777777777</v>
      </c>
      <c r="M28" s="2">
        <f t="shared" si="11"/>
        <v>4</v>
      </c>
      <c r="N28" s="2">
        <f ca="1">IF(M1=1,IF(M14&gt;3,1,0),IF(M1=2,IF(M14&gt;3,1,0),0))</f>
        <v>1</v>
      </c>
      <c r="O28" s="2">
        <f t="shared" ca="1" si="2"/>
        <v>20</v>
      </c>
      <c r="P28" s="134">
        <f t="shared" ca="1" si="12"/>
        <v>152.22206666666668</v>
      </c>
      <c r="Q28" s="134">
        <f t="shared" ca="1" si="13"/>
        <v>152.22206666666668</v>
      </c>
      <c r="R28" s="134">
        <f t="shared" ca="1" si="14"/>
        <v>7499.99</v>
      </c>
      <c r="S28" s="134">
        <f t="shared" si="26"/>
        <v>177.77777777777777</v>
      </c>
      <c r="T28" s="134">
        <f t="shared" si="15"/>
        <v>177.77777777777777</v>
      </c>
      <c r="U28" s="134">
        <f ca="1">IF(N29=1,R27*D11*20/36000+R28*D11*10/36000,IF(N29=0,IF(N28=0,0,R28*D11*Q12/36000+R27*D11*20/36000+R28*D11*10/36000)))</f>
        <v>152.22206666666668</v>
      </c>
      <c r="V28" s="134">
        <f ca="1">IF(N29=1,R27*D11*20/36000+R28*D11*10/36000,IF(N29=0,IF(N28=0,0,R28*D11*Q12/36000+R27*D11*20/36000+R28*D11*10/36000)))</f>
        <v>152.22206666666668</v>
      </c>
      <c r="W28" s="134">
        <f t="shared" ca="1" si="27"/>
        <v>160</v>
      </c>
      <c r="X28" s="134">
        <f t="shared" ca="1" si="28"/>
        <v>160</v>
      </c>
      <c r="Y28" s="134">
        <f t="shared" si="16"/>
        <v>8000</v>
      </c>
      <c r="Z28" s="134">
        <f ca="1">IF(N29=1,Y27*D$11*20/36000+Y28*D$11*10/36000,IF(N29=0,IF(N28=0,0,Y28*D$11*Q$12/36000+Y27*D$11*20/36000+Y28*D$11*10/36000)))</f>
        <v>160</v>
      </c>
      <c r="AA28" s="134">
        <f t="shared" ca="1" si="17"/>
        <v>160</v>
      </c>
      <c r="AB28" s="134">
        <f ca="1">IF(R29=0,R28*Q12,(R27*20+R28*10))</f>
        <v>228333.1</v>
      </c>
      <c r="AC28" s="134">
        <f t="shared" ca="1" si="18"/>
        <v>0</v>
      </c>
      <c r="AD28" s="134">
        <f t="shared" ca="1" si="19"/>
        <v>0</v>
      </c>
      <c r="AE28" s="134">
        <f t="shared" ref="AE28:AE84" ca="1" si="30">IF(N29=1,D$10*G$12*20/36000+D$10*G$12*10/36000,IF(N29=0,IF(N28=0,0,D$10*G$12*Q$12/36000+D$10*G$12*20/36000+D$10*G$12*10/36000)))</f>
        <v>0</v>
      </c>
      <c r="AF28" s="134">
        <f t="shared" ca="1" si="20"/>
        <v>0</v>
      </c>
      <c r="AG28" s="134">
        <f t="shared" ca="1" si="29"/>
        <v>0</v>
      </c>
      <c r="AH28" s="134">
        <f t="shared" ca="1" si="21"/>
        <v>0</v>
      </c>
      <c r="AI28" s="134">
        <f t="shared" ca="1" si="3"/>
        <v>7499.99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22"/>
        <v>5</v>
      </c>
      <c r="AM28" s="132">
        <f t="shared" ca="1" si="4"/>
        <v>5</v>
      </c>
      <c r="AN28" s="2">
        <f t="shared" ca="1" si="23"/>
        <v>2024</v>
      </c>
      <c r="AO28" s="2">
        <f t="shared" ca="1" si="5"/>
        <v>2024</v>
      </c>
      <c r="AP28" s="2">
        <f t="shared" ca="1" si="6"/>
        <v>1</v>
      </c>
      <c r="AQ28" s="2">
        <f t="shared" ca="1" si="7"/>
        <v>30</v>
      </c>
      <c r="AR28" s="2">
        <f t="shared" si="8"/>
        <v>20</v>
      </c>
      <c r="AS28" s="2">
        <f t="shared" ca="1" si="24"/>
        <v>30</v>
      </c>
      <c r="AT28" s="21"/>
      <c r="AU28" s="21"/>
      <c r="AV28" s="21"/>
      <c r="AW28" s="21"/>
      <c r="AX28" s="21"/>
      <c r="AY28" s="2">
        <f t="shared" ca="1" si="25"/>
        <v>1</v>
      </c>
      <c r="AZ28" s="21"/>
      <c r="BA28" s="21">
        <v>36</v>
      </c>
      <c r="BB28" s="21">
        <v>6</v>
      </c>
      <c r="BC28" s="21"/>
      <c r="BD28" s="21"/>
      <c r="BE28" s="21"/>
      <c r="BF28" s="21"/>
      <c r="BG28" s="21"/>
      <c r="BH28" s="21"/>
      <c r="BI28" s="52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9"/>
        <v>5</v>
      </c>
      <c r="B29" s="268">
        <f ca="1">IF(N29=0,IF(N28=1,"ИТОГО"," "),DATE(YEAR(B28),MONTH(B28)+1,O29))</f>
        <v>45463</v>
      </c>
      <c r="C29" s="401"/>
      <c r="D29" s="435">
        <f ca="1">IF(N29=0,IF(N28=1,D25+D26+D27+D28," "),IF(N29=0,0,IF(N30=1,D25,IF(N30=0,D10-D25*(M14-1)," "))))</f>
        <v>166.67</v>
      </c>
      <c r="E29" s="435"/>
      <c r="F29" s="151">
        <f ca="1">IF(N29=0,IF(N28=1,F25+F26+F27+F28," "),IF(M1=1,P29,IF(M1=2,Q29," ")))</f>
        <v>148.88866666666667</v>
      </c>
      <c r="G29" s="151">
        <f ca="1">IF(N29=0,IF(N28=1,G25+G26+G27+G28," "),IF(M1=1,AC29,IF(M1=2,AD29," ")))</f>
        <v>0</v>
      </c>
      <c r="H29" s="151">
        <f t="shared" ca="1" si="10"/>
        <v>315.55866666666668</v>
      </c>
      <c r="I29" s="151">
        <f ca="1">IF(N29=1,IF(N30=1,IF(M29&lt;=D$15,T29,AV$26),D$10-AV$26*M$16+AV$26),0)</f>
        <v>181.81818181818181</v>
      </c>
      <c r="J29" s="151">
        <f t="shared" ca="1" si="0"/>
        <v>160</v>
      </c>
      <c r="K29" s="151">
        <f t="shared" ca="1" si="1"/>
        <v>0</v>
      </c>
      <c r="L29" s="151">
        <f ca="1">IF(SUM(I29:K29)=0," ",SUM(I29:K29))</f>
        <v>341.81818181818181</v>
      </c>
      <c r="M29" s="2">
        <f t="shared" si="11"/>
        <v>5</v>
      </c>
      <c r="N29" s="2">
        <f ca="1">IF(M1=1,IF(M14&gt;4,1,0),IF(M1=2,IF(M14&gt;4,1,0),0))</f>
        <v>1</v>
      </c>
      <c r="O29" s="2">
        <f t="shared" ca="1" si="2"/>
        <v>20</v>
      </c>
      <c r="P29" s="134">
        <f t="shared" ca="1" si="12"/>
        <v>148.88866666666667</v>
      </c>
      <c r="Q29" s="134">
        <f t="shared" ca="1" si="13"/>
        <v>148.88866666666667</v>
      </c>
      <c r="R29" s="134">
        <f t="shared" ca="1" si="14"/>
        <v>7333.32</v>
      </c>
      <c r="S29" s="134">
        <f t="shared" si="26"/>
        <v>181.81818181818181</v>
      </c>
      <c r="T29" s="134">
        <f t="shared" si="15"/>
        <v>181.81818181818181</v>
      </c>
      <c r="U29" s="134">
        <f ca="1">IF(N30=1,R28*D11*20/36000+R29*D11*10/36000,IF(N30=0,IF(N29=0,0,R29*D11*Q12/36000+R28*D11*20/36000+R29*D11*10/36000)))</f>
        <v>148.88866666666667</v>
      </c>
      <c r="V29" s="134">
        <f ca="1">IF(N30=1,R28*D11*20/36000+R29*D11*10/36000,IF(N30=0,IF(N29=0,0,R29*D11*Q12/36000+R28*D11*20/36000+R29*D11*10/36000)))</f>
        <v>148.88866666666667</v>
      </c>
      <c r="W29" s="134">
        <f t="shared" ca="1" si="27"/>
        <v>160</v>
      </c>
      <c r="X29" s="134">
        <f t="shared" ca="1" si="28"/>
        <v>160</v>
      </c>
      <c r="Y29" s="134">
        <f t="shared" si="16"/>
        <v>8000</v>
      </c>
      <c r="Z29" s="134">
        <f ca="1">IF(N30=1,Y28*D$11*20/36000+Y29*D$11*10/36000,IF(N30=0,IF(N29=0,0,Y29*D$11*Q$12/36000+Y28*D$11*20/36000+Y29*D$11*10/36000)))</f>
        <v>160</v>
      </c>
      <c r="AA29" s="134">
        <f t="shared" ca="1" si="17"/>
        <v>160</v>
      </c>
      <c r="AB29" s="134">
        <f ca="1">IF(R30=0,R29*Q12,(R28*20+R29*10))</f>
        <v>223333</v>
      </c>
      <c r="AC29" s="134">
        <f t="shared" ca="1" si="18"/>
        <v>0</v>
      </c>
      <c r="AD29" s="134">
        <f t="shared" ca="1" si="19"/>
        <v>0</v>
      </c>
      <c r="AE29" s="134">
        <f t="shared" ca="1" si="30"/>
        <v>0</v>
      </c>
      <c r="AF29" s="134">
        <f t="shared" ca="1" si="20"/>
        <v>0</v>
      </c>
      <c r="AG29" s="134">
        <f t="shared" ca="1" si="29"/>
        <v>0</v>
      </c>
      <c r="AH29" s="134">
        <f t="shared" ca="1" si="21"/>
        <v>0</v>
      </c>
      <c r="AI29" s="134">
        <f t="shared" ca="1" si="3"/>
        <v>7333.32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22"/>
        <v>6</v>
      </c>
      <c r="AM29" s="132">
        <f t="shared" ca="1" si="4"/>
        <v>6</v>
      </c>
      <c r="AN29" s="2">
        <f t="shared" ca="1" si="23"/>
        <v>2024</v>
      </c>
      <c r="AO29" s="2">
        <f t="shared" ca="1" si="5"/>
        <v>2024</v>
      </c>
      <c r="AP29" s="2">
        <f t="shared" ca="1" si="6"/>
        <v>1</v>
      </c>
      <c r="AQ29" s="2">
        <f t="shared" ca="1" si="7"/>
        <v>30</v>
      </c>
      <c r="AR29" s="2">
        <f t="shared" si="8"/>
        <v>20</v>
      </c>
      <c r="AS29" s="2">
        <f t="shared" ca="1" si="24"/>
        <v>30</v>
      </c>
      <c r="AT29" s="21"/>
      <c r="AU29" s="21"/>
      <c r="AV29" s="21"/>
      <c r="AW29" s="21"/>
      <c r="AX29" s="21"/>
      <c r="AY29" s="2">
        <f t="shared" ca="1" si="25"/>
        <v>1</v>
      </c>
      <c r="AZ29" s="21"/>
      <c r="BA29" s="21">
        <v>48</v>
      </c>
      <c r="BB29" s="21">
        <v>12</v>
      </c>
      <c r="BC29" s="21"/>
      <c r="BD29" s="21"/>
      <c r="BE29" s="21"/>
      <c r="BF29" s="21"/>
      <c r="BG29" s="21"/>
      <c r="BH29" s="21"/>
      <c r="BI29" s="52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9"/>
        <v>6</v>
      </c>
      <c r="B30" s="268">
        <f ca="1">IF(N30=0,IF(N29=1,"ИТОГО"," "),DATE(YEAR(B29),MONTH(B29)+1,O30))</f>
        <v>45493</v>
      </c>
      <c r="C30" s="401"/>
      <c r="D30" s="435">
        <f ca="1">IF(N30=0,IF(N29=1,D25+D26+D27+D28+D29," "),IF(N30=0,0,IF(N31=1,D25,IF(N31=0,D10-D25*(M14-1)," "))))</f>
        <v>166.67</v>
      </c>
      <c r="E30" s="435"/>
      <c r="F30" s="151">
        <f ca="1">IF(N30=0,IF(N29=1,F25+F26+F27+F28+F29," "),IF(M1=1,P30,IF(M1=2,Q30," ")))</f>
        <v>145.55526666666665</v>
      </c>
      <c r="G30" s="151">
        <f ca="1">IF(N30=0,IF(N29=1,G25+G26+G27+G28+G29," "),IF(M1=1,AC30,IF(M1=2,AD30," ")))</f>
        <v>0</v>
      </c>
      <c r="H30" s="151">
        <f t="shared" ca="1" si="10"/>
        <v>312.22526666666664</v>
      </c>
      <c r="I30" s="151">
        <f ca="1">IF(N30=1,IF(N31=1,IF(M30&lt;=D$15,T30,AV$26),D$10-AV$26*M$16+AV$26),0)</f>
        <v>186.04651162790697</v>
      </c>
      <c r="J30" s="151">
        <f t="shared" ca="1" si="0"/>
        <v>160</v>
      </c>
      <c r="K30" s="151">
        <f t="shared" ca="1" si="1"/>
        <v>0</v>
      </c>
      <c r="L30" s="151">
        <f ca="1">IF(SUM(I30:K30)=0," ",SUM(I30:K30))</f>
        <v>346.04651162790697</v>
      </c>
      <c r="M30" s="2">
        <f t="shared" si="11"/>
        <v>6</v>
      </c>
      <c r="N30" s="2">
        <f ca="1">IF(M1=1,IF(M14&gt;5,1,0),IF(M1=2,IF(M14&gt;5,1,0),0))</f>
        <v>1</v>
      </c>
      <c r="O30" s="2">
        <f t="shared" ca="1" si="2"/>
        <v>20</v>
      </c>
      <c r="P30" s="134">
        <f t="shared" ca="1" si="12"/>
        <v>145.55526666666665</v>
      </c>
      <c r="Q30" s="134">
        <f t="shared" ca="1" si="13"/>
        <v>145.55526666666665</v>
      </c>
      <c r="R30" s="134">
        <f t="shared" ca="1" si="14"/>
        <v>7166.65</v>
      </c>
      <c r="S30" s="134">
        <f t="shared" si="26"/>
        <v>186.04651162790697</v>
      </c>
      <c r="T30" s="134">
        <f t="shared" si="15"/>
        <v>186.04651162790697</v>
      </c>
      <c r="U30" s="134">
        <f ca="1">IF(N31=1,R29*D11*20/36000+R30*D11*10/36000,IF(N31=0,IF(N30=0,0,R30*D11*Q12/36000+R29*D11*20/36000+R30*D11*10/36000)))</f>
        <v>145.55526666666665</v>
      </c>
      <c r="V30" s="134">
        <f ca="1">IF(N31=1,R29*D11*20/36000+R30*D11*10/36000,IF(N31=0,IF(N30=0,0,R30*D11*Q12/36000+R29*D11*20/36000+R30*D11*10/36000)))</f>
        <v>145.55526666666665</v>
      </c>
      <c r="W30" s="134">
        <f t="shared" ca="1" si="27"/>
        <v>160</v>
      </c>
      <c r="X30" s="134">
        <f t="shared" ca="1" si="28"/>
        <v>160</v>
      </c>
      <c r="Y30" s="134">
        <f t="shared" si="16"/>
        <v>8000</v>
      </c>
      <c r="Z30" s="134">
        <f ca="1">IF(N31=1,Y29*D$11*20/36000+Y30*D$11*10/36000,IF(N31=0,IF(N30=0,0,Y30*D$11*Q$12/36000+Y29*D$11*20/36000+Y30*D$11*10/36000)))</f>
        <v>160</v>
      </c>
      <c r="AA30" s="134">
        <f t="shared" ca="1" si="17"/>
        <v>160</v>
      </c>
      <c r="AB30" s="134">
        <f ca="1">IF(R31=0,R30*Q12,(R29*20+R30*10))</f>
        <v>218332.9</v>
      </c>
      <c r="AC30" s="134">
        <f t="shared" ca="1" si="18"/>
        <v>0</v>
      </c>
      <c r="AD30" s="134">
        <f t="shared" ca="1" si="19"/>
        <v>0</v>
      </c>
      <c r="AE30" s="134">
        <f t="shared" ca="1" si="30"/>
        <v>0</v>
      </c>
      <c r="AF30" s="134">
        <f t="shared" ca="1" si="20"/>
        <v>0</v>
      </c>
      <c r="AG30" s="134">
        <f t="shared" ca="1" si="29"/>
        <v>0</v>
      </c>
      <c r="AH30" s="134">
        <f t="shared" ca="1" si="21"/>
        <v>0</v>
      </c>
      <c r="AI30" s="134">
        <f t="shared" ca="1" si="3"/>
        <v>7166.65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22"/>
        <v>7</v>
      </c>
      <c r="AM30" s="132">
        <f t="shared" ca="1" si="4"/>
        <v>7</v>
      </c>
      <c r="AN30" s="2">
        <f t="shared" ca="1" si="23"/>
        <v>2024</v>
      </c>
      <c r="AO30" s="2">
        <f t="shared" ca="1" si="5"/>
        <v>2024</v>
      </c>
      <c r="AP30" s="2">
        <f t="shared" ca="1" si="6"/>
        <v>1</v>
      </c>
      <c r="AQ30" s="2">
        <f t="shared" ca="1" si="7"/>
        <v>30</v>
      </c>
      <c r="AR30" s="2">
        <f t="shared" si="8"/>
        <v>20</v>
      </c>
      <c r="AS30" s="2">
        <f t="shared" ca="1" si="24"/>
        <v>30</v>
      </c>
      <c r="AT30" s="21"/>
      <c r="AU30" s="21"/>
      <c r="AV30" s="21"/>
      <c r="AW30" s="21"/>
      <c r="AX30" s="21"/>
      <c r="AY30" s="2">
        <f t="shared" ca="1" si="25"/>
        <v>1</v>
      </c>
      <c r="AZ30" s="21"/>
      <c r="BA30" s="21"/>
      <c r="BB30" s="21">
        <v>18</v>
      </c>
      <c r="BC30" s="21"/>
      <c r="BD30" s="21"/>
      <c r="BE30" s="21"/>
      <c r="BF30" s="21"/>
      <c r="BG30" s="21"/>
      <c r="BH30" s="21"/>
      <c r="BI30" s="52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9"/>
        <v>7</v>
      </c>
      <c r="B31" s="268">
        <f ca="1">IF(N31=0,IF(N30=1,"ИТОГО"," "),IF(M31=M$14,DATE(YEAR(B30),MONTH(B30),O31),DATE(YEAR(B30),MONTH(B30)+1,O31)))</f>
        <v>45524</v>
      </c>
      <c r="C31" s="401"/>
      <c r="D31" s="435">
        <f ca="1">IF(N31=0,IF(N30=1,D25+D26+D27+D28+D29+D30," "),IF(N31=0," ",IF(N32=1,D25,IF(N32=0,D10-D25*(M14-1)," "))))</f>
        <v>166.67</v>
      </c>
      <c r="E31" s="435"/>
      <c r="F31" s="151">
        <f ca="1">IF(N31=0,IF(N30=1,F25+F26+F27+F28+F29+F30," "),IF(M1=1,P31,IF(M1=2,Q31," ")))</f>
        <v>142.22186666666664</v>
      </c>
      <c r="G31" s="151">
        <f ca="1">IF(N31=0,IF(N30=1,G25+G26+G27+G28+G29+G30," "),IF(M1=1,AC31,IF(M1=2,AD31," ")))</f>
        <v>0</v>
      </c>
      <c r="H31" s="151">
        <f t="shared" ca="1" si="10"/>
        <v>308.8918666666666</v>
      </c>
      <c r="I31" s="151">
        <f t="shared" ref="I31:I84" ca="1" si="31">IF(N31=1,IF(N32=1,IF(M31&lt;=D$15,T31,AV$26),D$10-AV$26*M$16+AV$26),0)</f>
        <v>190.48</v>
      </c>
      <c r="J31" s="151">
        <f t="shared" ref="J31:J84" ca="1" si="32">AA31</f>
        <v>160</v>
      </c>
      <c r="K31" s="151">
        <f t="shared" ref="K31:K84" ca="1" si="33">AH31</f>
        <v>0</v>
      </c>
      <c r="L31" s="151">
        <f t="shared" ref="L31:L84" ca="1" si="34">IF(SUM(I31:K31)=0," ",SUM(I31:K31))</f>
        <v>350.48</v>
      </c>
      <c r="M31" s="2">
        <f t="shared" si="11"/>
        <v>7</v>
      </c>
      <c r="N31" s="2">
        <f ca="1">IF(M1=1,IF(M14&gt;6,1,0),IF(M1=2,IF(M14&gt;6,1,0),0))</f>
        <v>1</v>
      </c>
      <c r="O31" s="2">
        <f ca="1">IF(M31=A$14,IF(MONTH(B30)=-2,AS31,DATE(YEAR(0),MONTH(0),DAY(D$16)-1)),AR31)</f>
        <v>20</v>
      </c>
      <c r="P31" s="134">
        <f t="shared" ca="1" si="12"/>
        <v>142.22186666666664</v>
      </c>
      <c r="Q31" s="134">
        <f t="shared" ca="1" si="13"/>
        <v>142.22186666666664</v>
      </c>
      <c r="R31" s="134">
        <f t="shared" ca="1" si="14"/>
        <v>6999.98</v>
      </c>
      <c r="S31" s="134">
        <f t="shared" ca="1" si="26"/>
        <v>166.67</v>
      </c>
      <c r="T31" s="134">
        <f t="shared" ca="1" si="15"/>
        <v>166.67</v>
      </c>
      <c r="U31" s="134">
        <f ca="1">IF(N32=1,R30*D$11*20/36000+R31*D$11*10/36000,IF(N32=0,IF(N31=0,0,IF(D$16&gt;20,R30*D$11*20/36000+R31*D$11*(Q$12-20)/36000,R31*D$11*Q$12/36000))))</f>
        <v>142.22186666666664</v>
      </c>
      <c r="V31" s="134">
        <f ca="1">IF(N32=1,R30*D$11*20/36000+R31*D$11*10/36000,IF(N32=0,IF(N31=0,0,IF(D$16&gt;20,R30*D$11*20/36000+R31*D$11*(Q$12-20)/36000,R31*D$11*Q$12/36000))))</f>
        <v>142.22186666666664</v>
      </c>
      <c r="W31" s="134">
        <f t="shared" ca="1" si="27"/>
        <v>160</v>
      </c>
      <c r="X31" s="134">
        <f t="shared" ca="1" si="28"/>
        <v>160</v>
      </c>
      <c r="Y31" s="134">
        <f t="shared" si="16"/>
        <v>8000</v>
      </c>
      <c r="Z31" s="134">
        <f ca="1">IF(N32=1,Y30*D$11*20/36000+Y31*D$11*10/36000,IF(N32=0,IF(N31=0,0,IF(D$16&gt;20,Y30*D$11*20/36000+Y31*D$11*(Q$12-20)/36000,Y31*D$11*Q$12/36000))))</f>
        <v>160</v>
      </c>
      <c r="AA31" s="134">
        <f t="shared" ca="1" si="17"/>
        <v>160</v>
      </c>
      <c r="AB31" s="134">
        <f ca="1">IF(R32=0,R31*Q12,(R30*20+R31*10))</f>
        <v>213332.8</v>
      </c>
      <c r="AC31" s="134">
        <f t="shared" ca="1" si="18"/>
        <v>0</v>
      </c>
      <c r="AD31" s="134">
        <f t="shared" ca="1" si="19"/>
        <v>0</v>
      </c>
      <c r="AE31" s="134">
        <f t="shared" ca="1" si="30"/>
        <v>0</v>
      </c>
      <c r="AF31" s="134">
        <f t="shared" ca="1" si="20"/>
        <v>0</v>
      </c>
      <c r="AG31" s="134">
        <f t="shared" ca="1" si="29"/>
        <v>0</v>
      </c>
      <c r="AH31" s="134">
        <f t="shared" ca="1" si="21"/>
        <v>0</v>
      </c>
      <c r="AI31" s="134">
        <f t="shared" ca="1" si="3"/>
        <v>6999.98</v>
      </c>
      <c r="AJ31" s="134">
        <f ca="1">IF(N32=1,AI30*G$12*20/36000+AI31*G$12*10/36000,IF(N32=0,IF(N31=0,0,AI31*G$12*Q$12/36000)))</f>
        <v>0</v>
      </c>
      <c r="AK31" s="134">
        <f ca="1">IF(N32=1,AI30*G$12*20/36000+AI31*G$12*10/36000,IF(N32=0,IF(N31=0,0,AI31*G$12*Q$12/36000)))</f>
        <v>0</v>
      </c>
      <c r="AL31" s="132">
        <f t="shared" ca="1" si="22"/>
        <v>8</v>
      </c>
      <c r="AM31" s="132">
        <f t="shared" ca="1" si="4"/>
        <v>8</v>
      </c>
      <c r="AN31" s="2">
        <f t="shared" ca="1" si="23"/>
        <v>2024</v>
      </c>
      <c r="AO31" s="2">
        <f t="shared" ca="1" si="5"/>
        <v>2024</v>
      </c>
      <c r="AP31" s="2">
        <f t="shared" ca="1" si="6"/>
        <v>1</v>
      </c>
      <c r="AQ31" s="2">
        <f t="shared" ca="1" si="7"/>
        <v>30</v>
      </c>
      <c r="AR31" s="2">
        <f t="shared" si="8"/>
        <v>20</v>
      </c>
      <c r="AS31" s="2">
        <f t="shared" ca="1" si="24"/>
        <v>30</v>
      </c>
      <c r="AT31" s="21"/>
      <c r="AU31" s="21"/>
      <c r="AV31" s="21"/>
      <c r="AW31" s="21"/>
      <c r="AX31" s="21"/>
      <c r="AY31" s="2">
        <f t="shared" ca="1" si="25"/>
        <v>1</v>
      </c>
      <c r="AZ31" s="21"/>
      <c r="BA31" s="21"/>
      <c r="BB31" s="21">
        <v>30</v>
      </c>
      <c r="BC31" s="21"/>
      <c r="BD31" s="21"/>
      <c r="BE31" s="21"/>
      <c r="BF31" s="21"/>
      <c r="BG31" s="21"/>
      <c r="BH31" s="21"/>
      <c r="BI31" s="52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9"/>
        <v>8</v>
      </c>
      <c r="B32" s="268">
        <f ca="1">IF(N32=0,IF(N31=1,"ИТОГО"," "),DATE(YEAR(B31),MONTH(B31)+1,O32))</f>
        <v>45555</v>
      </c>
      <c r="C32" s="401"/>
      <c r="D32" s="435">
        <f ca="1">IF(N32=0,IF(N31=1,D25+D26+D27+D28+D29+D30+D31," "),IF(N32=0," ",IF(N33=1,D25,IF(N33=0,D10-D25*(M14-1)," "))))</f>
        <v>166.67</v>
      </c>
      <c r="E32" s="435"/>
      <c r="F32" s="151">
        <f ca="1">IF(N32=0,IF(N31=1,F25+F26+F27+F28+F29+F30+F31," "),IF(M1=1,P32,IF(M1=2,Q32," ")))</f>
        <v>138.88846666666666</v>
      </c>
      <c r="G32" s="151">
        <f ca="1">IF(N32=0,IF(N31=1,G25+G26+G27+G28+G29+G30+G31," "),IF(M1=1,AC32,IF(M1=2,AD32," ")))</f>
        <v>0</v>
      </c>
      <c r="H32" s="151">
        <f t="shared" ca="1" si="10"/>
        <v>305.55846666666662</v>
      </c>
      <c r="I32" s="151">
        <f t="shared" ca="1" si="31"/>
        <v>190.48</v>
      </c>
      <c r="J32" s="151">
        <f t="shared" ca="1" si="32"/>
        <v>158.73013333333336</v>
      </c>
      <c r="K32" s="151">
        <f t="shared" ca="1" si="33"/>
        <v>0</v>
      </c>
      <c r="L32" s="151">
        <f t="shared" ca="1" si="34"/>
        <v>349.21013333333337</v>
      </c>
      <c r="M32" s="2">
        <f t="shared" si="11"/>
        <v>8</v>
      </c>
      <c r="N32" s="2">
        <f ca="1">IF(M1=1,IF(M14&gt;7,1,0),IF(M1=2,IF(M14&gt;7,1,0),0))</f>
        <v>1</v>
      </c>
      <c r="O32" s="2">
        <f ca="1">IF(M32=A$14,IF(DATE(YEAR(0),MONTH(0),DAY(D$16)-1)&lt;AR32,DATE(YEAR(0),MONTH(0),DAY(D$16)-1),AR32),AR32)</f>
        <v>20</v>
      </c>
      <c r="P32" s="134">
        <f t="shared" ca="1" si="12"/>
        <v>138.88846666666666</v>
      </c>
      <c r="Q32" s="134">
        <f t="shared" ca="1" si="13"/>
        <v>138.88846666666666</v>
      </c>
      <c r="R32" s="134">
        <f t="shared" ca="1" si="14"/>
        <v>6833.3099999999995</v>
      </c>
      <c r="S32" s="134">
        <f t="shared" ca="1" si="26"/>
        <v>166.67</v>
      </c>
      <c r="T32" s="134">
        <f t="shared" ca="1" si="15"/>
        <v>166.67</v>
      </c>
      <c r="U32" s="134">
        <f t="shared" ref="U32:U85" ca="1" si="35">IF(N33=1,R31*D$11*20/36000+R32*D$11*10/36000,IF(N33=0,IF(N32=0,0,IF(D$16&gt;20,R31*D$11*20/36000+R32*D$11*(Q$12-20)/36000,R32*D$11*Q$12/36000))))</f>
        <v>138.88846666666666</v>
      </c>
      <c r="V32" s="134">
        <f t="shared" ref="V32:V85" ca="1" si="36">IF(N33=1,R31*D$11*20/36000+R32*D$11*10/36000,IF(N33=0,IF(N32=0,0,IF(D$16&gt;20,R31*D$11*20/36000+R32*D$11*(Q$12-20)/36000,R32*D$11*Q$12/36000))))</f>
        <v>138.88846666666666</v>
      </c>
      <c r="W32" s="134">
        <f t="shared" ca="1" si="27"/>
        <v>160</v>
      </c>
      <c r="X32" s="134">
        <f t="shared" ca="1" si="28"/>
        <v>160</v>
      </c>
      <c r="Y32" s="134">
        <f t="shared" ca="1" si="16"/>
        <v>7809.52</v>
      </c>
      <c r="Z32" s="134">
        <f t="shared" ref="Z32:Z85" ca="1" si="37">IF(N33=1,Y31*D$11*20/36000+Y32*D$11*10/36000,IF(N33=0,IF(N32=0,0,IF(D$16&gt;20,Y31*D$11*20/36000+Y32*D$11*(Q$12-20)/36000,Y32*D$11*Q$12/36000))))</f>
        <v>158.73013333333336</v>
      </c>
      <c r="AA32" s="134">
        <f t="shared" ca="1" si="17"/>
        <v>158.73013333333336</v>
      </c>
      <c r="AB32" s="134">
        <f ca="1">IF(R33=0,R32*Q12,(R31*20+R32*10))</f>
        <v>208332.69999999995</v>
      </c>
      <c r="AC32" s="134">
        <f t="shared" ca="1" si="18"/>
        <v>0</v>
      </c>
      <c r="AD32" s="134">
        <f t="shared" ca="1" si="19"/>
        <v>0</v>
      </c>
      <c r="AE32" s="134">
        <f t="shared" ca="1" si="30"/>
        <v>0</v>
      </c>
      <c r="AF32" s="134">
        <f t="shared" ca="1" si="20"/>
        <v>0</v>
      </c>
      <c r="AG32" s="134">
        <f t="shared" ca="1" si="29"/>
        <v>0</v>
      </c>
      <c r="AH32" s="134">
        <f t="shared" ca="1" si="21"/>
        <v>0</v>
      </c>
      <c r="AI32" s="134">
        <f t="shared" ca="1" si="3"/>
        <v>6833.3099999999995</v>
      </c>
      <c r="AJ32" s="134">
        <f ca="1">IF(N33=1,AI31*G12*20/36000+AI32*G12*10/36000,IF(N33=0,IF(N32=0,0,AI32*G12*Q12/36000+AI31*G12*20/36000+AI32*G12*10/36000)))</f>
        <v>0</v>
      </c>
      <c r="AK32" s="134">
        <f ca="1">IF(N33=1,AI31*G12*20/36000+AI32*G12*10/36000,IF(N33=0,IF(N32=0,0,AI32*G12*Q12/36000+AI31*G12*20/36000+AI32*G12*10/36000)))</f>
        <v>0</v>
      </c>
      <c r="AL32" s="132">
        <f t="shared" ca="1" si="22"/>
        <v>9</v>
      </c>
      <c r="AM32" s="132">
        <f t="shared" ca="1" si="4"/>
        <v>9</v>
      </c>
      <c r="AN32" s="2">
        <f t="shared" ca="1" si="23"/>
        <v>2024</v>
      </c>
      <c r="AO32" s="2">
        <f t="shared" ca="1" si="5"/>
        <v>2024</v>
      </c>
      <c r="AP32" s="2">
        <f t="shared" ca="1" si="6"/>
        <v>1</v>
      </c>
      <c r="AQ32" s="2">
        <f t="shared" ca="1" si="7"/>
        <v>30</v>
      </c>
      <c r="AR32" s="2">
        <f t="shared" si="8"/>
        <v>20</v>
      </c>
      <c r="AS32" s="2">
        <f t="shared" ca="1" si="24"/>
        <v>30</v>
      </c>
      <c r="AT32" s="21"/>
      <c r="AU32" s="21"/>
      <c r="AV32" s="21"/>
      <c r="AW32" s="21"/>
      <c r="AX32" s="21"/>
      <c r="AY32" s="2">
        <f t="shared" ca="1" si="25"/>
        <v>1</v>
      </c>
      <c r="AZ32" s="21"/>
      <c r="BA32" s="21"/>
      <c r="BB32" s="21">
        <v>42</v>
      </c>
      <c r="BC32" s="21"/>
      <c r="BD32" s="21"/>
      <c r="BE32" s="21"/>
      <c r="BF32" s="21"/>
      <c r="BG32" s="21"/>
      <c r="BH32" s="21"/>
      <c r="BI32" s="52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9"/>
        <v>9</v>
      </c>
      <c r="B33" s="268">
        <f ca="1">IF(N33=0,IF(N32=1,"ИТОГО"," "),DATE(YEAR(B32),MONTH(B32)+1,O33))</f>
        <v>45585</v>
      </c>
      <c r="C33" s="401"/>
      <c r="D33" s="435">
        <f ca="1">IF(N33=0,IF(N32=1,D25+D26+D27+D28+D29+D30+D31+D32," "),IF(N33=0," ",IF(N34=1,D25,IF(N34=0,D10-D25*(M14-1)," "))))</f>
        <v>166.67</v>
      </c>
      <c r="E33" s="435"/>
      <c r="F33" s="151">
        <f ca="1">IF(N33=0,IF(N32=1,F25+F26+F27+F28+F29+F30+F31+F32," "),IF(M1=1,P33,IF(M1=2,Q33," ")))</f>
        <v>135.55506666666668</v>
      </c>
      <c r="G33" s="151">
        <f ca="1">IF(N33=0,IF(N32=1,G25+G26+G27+G28+G29+G30+G31+G32," "),IF(M1=1,AC33,IF(M1=2,AD33," ")))</f>
        <v>0</v>
      </c>
      <c r="H33" s="151">
        <f t="shared" ca="1" si="10"/>
        <v>302.22506666666663</v>
      </c>
      <c r="I33" s="151">
        <f t="shared" ca="1" si="31"/>
        <v>190.48</v>
      </c>
      <c r="J33" s="151">
        <f t="shared" ca="1" si="32"/>
        <v>154.92053333333334</v>
      </c>
      <c r="K33" s="151">
        <f t="shared" ca="1" si="33"/>
        <v>0</v>
      </c>
      <c r="L33" s="151">
        <f t="shared" ca="1" si="34"/>
        <v>345.40053333333333</v>
      </c>
      <c r="M33" s="2">
        <f t="shared" si="11"/>
        <v>9</v>
      </c>
      <c r="N33" s="2">
        <f ca="1">IF(M1=1,IF(M14&gt;8,1,0),IF(M1=2,IF(M14&gt;8,1,0),0))</f>
        <v>1</v>
      </c>
      <c r="O33" s="2">
        <f ca="1">IF(M33=A$14,IF(DATE(YEAR(0),MONTH(0),DAY(D$16)-1)&lt;AR33,DATE(YEAR(0),MONTH(0),DAY(D$16)-1),AR33),AR33)</f>
        <v>20</v>
      </c>
      <c r="P33" s="134">
        <f t="shared" ca="1" si="12"/>
        <v>135.55506666666668</v>
      </c>
      <c r="Q33" s="134">
        <f t="shared" ca="1" si="13"/>
        <v>135.55506666666668</v>
      </c>
      <c r="R33" s="134">
        <f t="shared" ca="1" si="14"/>
        <v>6666.6399999999994</v>
      </c>
      <c r="S33" s="134">
        <f t="shared" ca="1" si="26"/>
        <v>166.67</v>
      </c>
      <c r="T33" s="134">
        <f t="shared" ca="1" si="15"/>
        <v>166.67</v>
      </c>
      <c r="U33" s="134">
        <f t="shared" ca="1" si="35"/>
        <v>135.55506666666668</v>
      </c>
      <c r="V33" s="134">
        <f t="shared" ca="1" si="36"/>
        <v>135.55506666666668</v>
      </c>
      <c r="W33" s="134">
        <f t="shared" ca="1" si="27"/>
        <v>160</v>
      </c>
      <c r="X33" s="134">
        <f t="shared" ca="1" si="28"/>
        <v>160</v>
      </c>
      <c r="Y33" s="134">
        <f t="shared" ca="1" si="16"/>
        <v>7619.0400000000009</v>
      </c>
      <c r="Z33" s="134">
        <f t="shared" ca="1" si="37"/>
        <v>154.92053333333334</v>
      </c>
      <c r="AA33" s="134">
        <f t="shared" ca="1" si="17"/>
        <v>154.92053333333334</v>
      </c>
      <c r="AB33" s="134">
        <f ca="1">IF(R34=0,R33*Q12,(R32*20+R33*10))</f>
        <v>203332.59999999998</v>
      </c>
      <c r="AC33" s="134">
        <f t="shared" ca="1" si="18"/>
        <v>0</v>
      </c>
      <c r="AD33" s="134">
        <f t="shared" ca="1" si="19"/>
        <v>0</v>
      </c>
      <c r="AE33" s="134">
        <f t="shared" ca="1" si="30"/>
        <v>0</v>
      </c>
      <c r="AF33" s="134">
        <f t="shared" ca="1" si="20"/>
        <v>0</v>
      </c>
      <c r="AG33" s="134">
        <f t="shared" ca="1" si="29"/>
        <v>0</v>
      </c>
      <c r="AH33" s="134">
        <f t="shared" ca="1" si="21"/>
        <v>0</v>
      </c>
      <c r="AI33" s="134">
        <f t="shared" ca="1" si="3"/>
        <v>6666.6399999999994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22"/>
        <v>10</v>
      </c>
      <c r="AM33" s="132">
        <f t="shared" ca="1" si="4"/>
        <v>10</v>
      </c>
      <c r="AN33" s="2">
        <f t="shared" ca="1" si="23"/>
        <v>2024</v>
      </c>
      <c r="AO33" s="2">
        <f t="shared" ca="1" si="5"/>
        <v>2024</v>
      </c>
      <c r="AP33" s="2">
        <f t="shared" ca="1" si="6"/>
        <v>1</v>
      </c>
      <c r="AQ33" s="2">
        <f t="shared" ca="1" si="7"/>
        <v>30</v>
      </c>
      <c r="AR33" s="2">
        <f t="shared" si="8"/>
        <v>20</v>
      </c>
      <c r="AS33" s="2">
        <f t="shared" ca="1" si="24"/>
        <v>30</v>
      </c>
      <c r="AT33" s="21"/>
      <c r="AU33" s="21"/>
      <c r="AV33" s="21"/>
      <c r="AW33" s="21"/>
      <c r="AX33" s="21"/>
      <c r="AY33" s="2">
        <f t="shared" ca="1" si="25"/>
        <v>1</v>
      </c>
      <c r="AZ33" s="21"/>
      <c r="BA33" s="21"/>
      <c r="BB33" s="21">
        <v>54</v>
      </c>
      <c r="BC33" s="21"/>
      <c r="BD33" s="21"/>
      <c r="BE33" s="21"/>
      <c r="BF33" s="21"/>
      <c r="BG33" s="21"/>
      <c r="BH33" s="21"/>
      <c r="BI33" s="52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9"/>
        <v>10</v>
      </c>
      <c r="B34" s="268">
        <f ca="1">IF(N34=0,IF(N33=1,"ИТОГО"," "),DATE(YEAR(B33),MONTH(B33)+1,O34))</f>
        <v>45616</v>
      </c>
      <c r="C34" s="401"/>
      <c r="D34" s="435">
        <f ca="1">IF(N34=0,IF(N33=1,D25+D26+D27+D28+D29+D30+D31+D32+D33," "),IF(N34=0," ",IF(N35=1,D25,IF(N35=0,D10-D25*(M14-1)," "))))</f>
        <v>166.67</v>
      </c>
      <c r="E34" s="435"/>
      <c r="F34" s="151">
        <f ca="1">IF(N34=0,IF(N33=1,F25+F26+F27+F28+F29+F30+F31+F32+F33," "),IF(M1=1,P34,IF(M1=2,Q34," ")))</f>
        <v>132.22166666666666</v>
      </c>
      <c r="G34" s="151">
        <f ca="1">IF(N34=0,IF(N33=1,G25+G26+G27+G28+G29+G30+G31+G32+G33," "),IF(M1=1,AC34,IF(M1=2,AD34," ")))</f>
        <v>0</v>
      </c>
      <c r="H34" s="151">
        <f t="shared" ca="1" si="10"/>
        <v>298.89166666666665</v>
      </c>
      <c r="I34" s="151">
        <f t="shared" ca="1" si="31"/>
        <v>190.48</v>
      </c>
      <c r="J34" s="151">
        <f t="shared" ca="1" si="32"/>
        <v>151.11093333333335</v>
      </c>
      <c r="K34" s="151">
        <f t="shared" ca="1" si="33"/>
        <v>0</v>
      </c>
      <c r="L34" s="151">
        <f t="shared" ca="1" si="34"/>
        <v>341.59093333333334</v>
      </c>
      <c r="M34" s="2">
        <f t="shared" si="11"/>
        <v>10</v>
      </c>
      <c r="N34" s="2">
        <f ca="1">IF(M1=1,IF(M14&gt;9,1,0),IF(M1=2,IF(M14&gt;9,1,0),0))</f>
        <v>1</v>
      </c>
      <c r="O34" s="2">
        <f ca="1">IF(M34=A$14,IF(DATE(YEAR(0),MONTH(0),DAY(D$16)-1)&lt;AR34,DATE(YEAR(0),MONTH(0),DAY(D$16)-1),AR34),AR34)</f>
        <v>20</v>
      </c>
      <c r="P34" s="134">
        <f t="shared" ca="1" si="12"/>
        <v>132.22166666666666</v>
      </c>
      <c r="Q34" s="134">
        <f t="shared" ca="1" si="13"/>
        <v>132.22166666666666</v>
      </c>
      <c r="R34" s="134">
        <f t="shared" ca="1" si="14"/>
        <v>6499.9699999999993</v>
      </c>
      <c r="S34" s="134">
        <f t="shared" ca="1" si="26"/>
        <v>166.67</v>
      </c>
      <c r="T34" s="134">
        <f t="shared" ca="1" si="15"/>
        <v>166.67</v>
      </c>
      <c r="U34" s="134">
        <f t="shared" ca="1" si="35"/>
        <v>132.22166666666666</v>
      </c>
      <c r="V34" s="134">
        <f t="shared" ca="1" si="36"/>
        <v>132.22166666666666</v>
      </c>
      <c r="W34" s="134">
        <f t="shared" ca="1" si="27"/>
        <v>160</v>
      </c>
      <c r="X34" s="134">
        <f t="shared" ca="1" si="28"/>
        <v>160</v>
      </c>
      <c r="Y34" s="134">
        <f t="shared" ca="1" si="16"/>
        <v>7428.5600000000013</v>
      </c>
      <c r="Z34" s="134">
        <f t="shared" ca="1" si="37"/>
        <v>151.11093333333335</v>
      </c>
      <c r="AA34" s="134">
        <f t="shared" ca="1" si="17"/>
        <v>151.11093333333335</v>
      </c>
      <c r="AB34" s="134">
        <f ca="1">IF(R35=0,R34*Q12,(R33*20+R34*10))</f>
        <v>198332.5</v>
      </c>
      <c r="AC34" s="134">
        <f t="shared" ca="1" si="18"/>
        <v>0</v>
      </c>
      <c r="AD34" s="134">
        <f t="shared" ca="1" si="19"/>
        <v>0</v>
      </c>
      <c r="AE34" s="134">
        <f t="shared" ca="1" si="30"/>
        <v>0</v>
      </c>
      <c r="AF34" s="134">
        <f t="shared" ca="1" si="20"/>
        <v>0</v>
      </c>
      <c r="AG34" s="134">
        <f t="shared" ca="1" si="29"/>
        <v>0</v>
      </c>
      <c r="AH34" s="134">
        <f t="shared" ca="1" si="21"/>
        <v>0</v>
      </c>
      <c r="AI34" s="134">
        <f t="shared" ca="1" si="3"/>
        <v>6499.9699999999993</v>
      </c>
      <c r="AJ34" s="134">
        <f ca="1">IF(N35=1,AI33*G12*20/36000+AI34*G12*10/36000,IF(N35=0,IF(N34=0,0,AI34*G12*Q12/36000+29*G12*20/36000+AI34*G12*10/36000)))</f>
        <v>0</v>
      </c>
      <c r="AK34" s="134">
        <f ca="1">IF(N35=1,AI33*G12*20/36000+AI34*G12*10/36000,IF(N35=0,IF(N34=0,0,AI34*G12*Q12/36000+29*G12*20/36000+AI34*G12*10/36000)))</f>
        <v>0</v>
      </c>
      <c r="AL34" s="132">
        <f t="shared" ca="1" si="22"/>
        <v>11</v>
      </c>
      <c r="AM34" s="132">
        <f t="shared" ca="1" si="4"/>
        <v>11</v>
      </c>
      <c r="AN34" s="2">
        <f t="shared" ca="1" si="23"/>
        <v>2024</v>
      </c>
      <c r="AO34" s="2">
        <f t="shared" ca="1" si="5"/>
        <v>2024</v>
      </c>
      <c r="AP34" s="2">
        <f t="shared" ca="1" si="6"/>
        <v>1</v>
      </c>
      <c r="AQ34" s="2">
        <f t="shared" ca="1" si="7"/>
        <v>30</v>
      </c>
      <c r="AR34" s="2">
        <f t="shared" si="8"/>
        <v>20</v>
      </c>
      <c r="AS34" s="2">
        <f t="shared" ca="1" si="24"/>
        <v>30</v>
      </c>
      <c r="AT34" s="21"/>
      <c r="AU34" s="21"/>
      <c r="AV34" s="21"/>
      <c r="AW34" s="21"/>
      <c r="AX34" s="21"/>
      <c r="AY34" s="2">
        <f t="shared" ca="1" si="25"/>
        <v>1</v>
      </c>
      <c r="AZ34" s="21"/>
      <c r="BA34" s="21"/>
      <c r="BB34" s="21"/>
      <c r="BC34" s="21"/>
      <c r="BD34" s="21"/>
      <c r="BE34" s="21"/>
      <c r="BF34" s="21"/>
      <c r="BG34" s="21"/>
      <c r="BH34" s="21"/>
      <c r="BI34" s="52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9"/>
        <v>11</v>
      </c>
      <c r="B35" s="268">
        <f ca="1">IF(N35=0,IF(N34=1,"ИТОГО"," "),DATE(YEAR(B34),MONTH(B34)+1,O35))</f>
        <v>45646</v>
      </c>
      <c r="C35" s="401"/>
      <c r="D35" s="435">
        <f ca="1">IF(N35=0,IF(N34=1,D25+D26+D27+D28+D29+D30+D31+D32+D33+D34," "),IF(N35=0," ",IF(N36=1,D25,IF(N36=0,D10-D25*(M14-1)," "))))</f>
        <v>166.67</v>
      </c>
      <c r="E35" s="435"/>
      <c r="F35" s="151">
        <f ca="1">IF(N35=0,IF(N34=1,F25+F26+F27+F28+F29+F30+F31+F32+F33+F34," "),IF(M1=1,P35,IF(M1=2,Q35," ")))</f>
        <v>128.88826666666665</v>
      </c>
      <c r="G35" s="151">
        <f ca="1">IF(N35=0,IF(N34=1,G25+G26+G27+G28+G29+G30+G31+G32+G33+G34," "),IF(M1=1,AC35,IF(M1=2,AD35," ")))</f>
        <v>0</v>
      </c>
      <c r="H35" s="151">
        <f t="shared" ca="1" si="10"/>
        <v>295.55826666666667</v>
      </c>
      <c r="I35" s="151">
        <f t="shared" ca="1" si="31"/>
        <v>190.48</v>
      </c>
      <c r="J35" s="151">
        <f t="shared" ca="1" si="32"/>
        <v>147.30133333333339</v>
      </c>
      <c r="K35" s="151">
        <f t="shared" ca="1" si="33"/>
        <v>0</v>
      </c>
      <c r="L35" s="151">
        <f t="shared" ca="1" si="34"/>
        <v>337.78133333333335</v>
      </c>
      <c r="M35" s="2">
        <f t="shared" si="11"/>
        <v>11</v>
      </c>
      <c r="N35" s="2">
        <f ca="1">IF(M1=1,IF(M14&gt;10,1,0),IF(M1=2,IF(M14&gt;10,1,0),0))</f>
        <v>1</v>
      </c>
      <c r="O35" s="2">
        <f ca="1">IF(M35=A$14,IF(DATE(YEAR(0),MONTH(0),DAY(D$16)-1)&lt;AR35,DATE(YEAR(0),MONTH(0),DAY(D$16)-1),AR35),AR35)</f>
        <v>20</v>
      </c>
      <c r="P35" s="134">
        <f t="shared" ca="1" si="12"/>
        <v>128.88826666666665</v>
      </c>
      <c r="Q35" s="134">
        <f t="shared" ca="1" si="13"/>
        <v>128.88826666666665</v>
      </c>
      <c r="R35" s="134">
        <f t="shared" ca="1" si="14"/>
        <v>6333.2999999999993</v>
      </c>
      <c r="S35" s="134">
        <f t="shared" ca="1" si="26"/>
        <v>166.67</v>
      </c>
      <c r="T35" s="134">
        <f t="shared" ca="1" si="15"/>
        <v>166.67</v>
      </c>
      <c r="U35" s="134">
        <f t="shared" ca="1" si="35"/>
        <v>128.88826666666665</v>
      </c>
      <c r="V35" s="134">
        <f t="shared" ca="1" si="36"/>
        <v>128.88826666666665</v>
      </c>
      <c r="W35" s="134">
        <f t="shared" ca="1" si="27"/>
        <v>160</v>
      </c>
      <c r="X35" s="134">
        <f t="shared" ca="1" si="28"/>
        <v>160</v>
      </c>
      <c r="Y35" s="134">
        <f t="shared" ca="1" si="16"/>
        <v>7238.0800000000017</v>
      </c>
      <c r="Z35" s="134">
        <f t="shared" ca="1" si="37"/>
        <v>147.30133333333339</v>
      </c>
      <c r="AA35" s="134">
        <f t="shared" ca="1" si="17"/>
        <v>147.30133333333339</v>
      </c>
      <c r="AB35" s="134">
        <f ca="1">IF(R36=0,R35*Q12,(R34*20+R35*10))</f>
        <v>193332.4</v>
      </c>
      <c r="AC35" s="134">
        <f t="shared" ca="1" si="18"/>
        <v>0</v>
      </c>
      <c r="AD35" s="134">
        <f t="shared" ca="1" si="19"/>
        <v>0</v>
      </c>
      <c r="AE35" s="134">
        <f t="shared" ca="1" si="30"/>
        <v>0</v>
      </c>
      <c r="AF35" s="134">
        <f t="shared" ca="1" si="20"/>
        <v>0</v>
      </c>
      <c r="AG35" s="134">
        <f t="shared" ca="1" si="29"/>
        <v>0</v>
      </c>
      <c r="AH35" s="134">
        <f t="shared" ca="1" si="21"/>
        <v>0</v>
      </c>
      <c r="AI35" s="134">
        <f t="shared" ca="1" si="3"/>
        <v>6333.2999999999993</v>
      </c>
      <c r="AJ35" s="134">
        <f ca="1">IF(N36=1,AI34*G12*20/36000+AI35*G12*10/36000,IF(N36=0,IF(N35=0,0,AI35*G12*Q12/36000+AI34*G12*20/36000+AI35*G12*10/36000)))</f>
        <v>0</v>
      </c>
      <c r="AK35" s="134">
        <f ca="1">IF(N36=1,AI34*G12*20/36000+AI35*G12*10/36000,IF(N36=0,IF(N35=0,0,AI35*G12*Q12/36000+AI34*G12*20/36000+AI35*G12*10/36000)))</f>
        <v>0</v>
      </c>
      <c r="AL35" s="132">
        <f t="shared" ca="1" si="22"/>
        <v>12</v>
      </c>
      <c r="AM35" s="132">
        <f t="shared" ca="1" si="4"/>
        <v>12</v>
      </c>
      <c r="AN35" s="2">
        <f t="shared" ca="1" si="23"/>
        <v>2024</v>
      </c>
      <c r="AO35" s="2">
        <f t="shared" ca="1" si="5"/>
        <v>2024</v>
      </c>
      <c r="AP35" s="2">
        <f t="shared" ca="1" si="6"/>
        <v>1</v>
      </c>
      <c r="AQ35" s="2">
        <f t="shared" ca="1" si="7"/>
        <v>30</v>
      </c>
      <c r="AR35" s="2">
        <f t="shared" si="8"/>
        <v>20</v>
      </c>
      <c r="AS35" s="2">
        <f t="shared" ca="1" si="24"/>
        <v>30</v>
      </c>
      <c r="AT35" s="21"/>
      <c r="AU35" s="21"/>
      <c r="AV35" s="21"/>
      <c r="AW35" s="21"/>
      <c r="AX35" s="21"/>
      <c r="AY35" s="2">
        <f t="shared" ca="1" si="25"/>
        <v>1</v>
      </c>
      <c r="AZ35" s="21"/>
      <c r="BA35" s="21"/>
      <c r="BB35" s="21"/>
      <c r="BC35" s="21"/>
      <c r="BD35" s="21"/>
      <c r="BE35" s="21"/>
      <c r="BF35" s="21"/>
      <c r="BG35" s="21"/>
      <c r="BH35" s="21"/>
      <c r="BI35" s="52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9"/>
        <v>12</v>
      </c>
      <c r="B36" s="268">
        <f ca="1">IF(N36=0,IF(N35=1,"ИТОГО"," "),DATE(YEAR(B35),MONTH(B35)+1,O36))</f>
        <v>45677</v>
      </c>
      <c r="C36" s="401"/>
      <c r="D36" s="435">
        <f ca="1">IF(N36=0,IF(N35=1,D25+D26+D27+D28+D29+D30+D31+D32+D33+D34+D35," "),IF(N36=0," ",IF(N37=1,D25,IF(N37=0,D10-D25*(M14-1)," "))))</f>
        <v>166.67</v>
      </c>
      <c r="E36" s="435"/>
      <c r="F36" s="151">
        <f ca="1">IF(N36=0,IF(N35=1,F25+F26+F27+F28+F29+F30+F31+F32+F33+F34+F35," "),IF(M1=1,P36,IF(M1=2,Q36," ")))</f>
        <v>125.55486666666665</v>
      </c>
      <c r="G36" s="151">
        <f ca="1">IF(N36=0,IF(N35=1,G25+G26+G27+G28+G29+G30+G31+G32+G33+G34+G35," "),IF(M1=1,AC36,IF(M1=2,AD36," ")))</f>
        <v>0</v>
      </c>
      <c r="H36" s="151">
        <f t="shared" ca="1" si="10"/>
        <v>292.22486666666663</v>
      </c>
      <c r="I36" s="151">
        <f t="shared" ca="1" si="31"/>
        <v>190.48</v>
      </c>
      <c r="J36" s="151">
        <f t="shared" ca="1" si="32"/>
        <v>143.49173333333337</v>
      </c>
      <c r="K36" s="151">
        <f t="shared" ca="1" si="33"/>
        <v>0</v>
      </c>
      <c r="L36" s="151">
        <f t="shared" ca="1" si="34"/>
        <v>333.97173333333336</v>
      </c>
      <c r="M36" s="2">
        <f t="shared" si="11"/>
        <v>12</v>
      </c>
      <c r="N36" s="2">
        <f ca="1">IF(M1=1,IF(M14&gt;11,1,0),IF(M1=2,IF(M14&gt;11,1,0),0))</f>
        <v>1</v>
      </c>
      <c r="O36" s="2">
        <f ca="1">IF(M36=A$14,IF(DATE(YEAR(0),MONTH(0),DAY(D$16)-1)&lt;AR36,DATE(YEAR(0),MONTH(0),DAY(D$16)-1),AR36),AR36)</f>
        <v>20</v>
      </c>
      <c r="P36" s="134">
        <f t="shared" ca="1" si="12"/>
        <v>125.55486666666665</v>
      </c>
      <c r="Q36" s="134">
        <f t="shared" ca="1" si="13"/>
        <v>125.55486666666665</v>
      </c>
      <c r="R36" s="134">
        <f t="shared" ca="1" si="14"/>
        <v>6166.6299999999992</v>
      </c>
      <c r="S36" s="134">
        <f t="shared" ca="1" si="26"/>
        <v>166.67</v>
      </c>
      <c r="T36" s="134">
        <f t="shared" ca="1" si="15"/>
        <v>166.67</v>
      </c>
      <c r="U36" s="134">
        <f ca="1">IF(N37=1,R35*D11*20/36000+R36*D11*10/36000,IF(N37=0,IF(N36=0,0,R36*D11*Q12/36000+R35*D11*20/36000+R36*D11*10/36000)))</f>
        <v>125.55486666666665</v>
      </c>
      <c r="V36" s="134">
        <f ca="1">IF(N37=1,R35*D11*20/36000+R36*D11*10/36000,IF(N37=0,IF(N36=0,0,R36*D11*Q12/36000+R35*D11*20/36000+R36*D11*10/36000)))</f>
        <v>125.55486666666665</v>
      </c>
      <c r="W36" s="134">
        <f t="shared" ca="1" si="27"/>
        <v>160</v>
      </c>
      <c r="X36" s="134">
        <f t="shared" ca="1" si="28"/>
        <v>160</v>
      </c>
      <c r="Y36" s="134">
        <f t="shared" ca="1" si="16"/>
        <v>7047.6000000000022</v>
      </c>
      <c r="Z36" s="134">
        <f t="shared" ca="1" si="37"/>
        <v>143.49173333333337</v>
      </c>
      <c r="AA36" s="134">
        <f t="shared" ca="1" si="17"/>
        <v>143.49173333333337</v>
      </c>
      <c r="AB36" s="134">
        <f ca="1">IF(R37=0,R36*Q12,(R35*20+R36*10))</f>
        <v>188332.3</v>
      </c>
      <c r="AC36" s="134">
        <f t="shared" ca="1" si="18"/>
        <v>0</v>
      </c>
      <c r="AD36" s="134">
        <f t="shared" ca="1" si="19"/>
        <v>0</v>
      </c>
      <c r="AE36" s="134">
        <f t="shared" ca="1" si="30"/>
        <v>0</v>
      </c>
      <c r="AF36" s="134">
        <f t="shared" ca="1" si="20"/>
        <v>0</v>
      </c>
      <c r="AG36" s="134">
        <f t="shared" ca="1" si="29"/>
        <v>0</v>
      </c>
      <c r="AH36" s="134">
        <f t="shared" ca="1" si="21"/>
        <v>0</v>
      </c>
      <c r="AI36" s="134">
        <f t="shared" ca="1" si="3"/>
        <v>6166.6299999999992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22"/>
        <v>13</v>
      </c>
      <c r="AM36" s="132">
        <f t="shared" ca="1" si="4"/>
        <v>1</v>
      </c>
      <c r="AN36" s="2">
        <f t="shared" ca="1" si="23"/>
        <v>2024</v>
      </c>
      <c r="AO36" s="2">
        <f t="shared" ca="1" si="5"/>
        <v>2025</v>
      </c>
      <c r="AP36" s="2">
        <f t="shared" ca="1" si="6"/>
        <v>1</v>
      </c>
      <c r="AQ36" s="2">
        <f t="shared" ca="1" si="7"/>
        <v>30</v>
      </c>
      <c r="AR36" s="2">
        <f t="shared" si="8"/>
        <v>20</v>
      </c>
      <c r="AS36" s="2">
        <f t="shared" ca="1" si="24"/>
        <v>30</v>
      </c>
      <c r="AT36" s="21"/>
      <c r="AU36" s="21"/>
      <c r="AV36" s="21"/>
      <c r="AW36" s="21"/>
      <c r="AX36" s="21"/>
      <c r="AY36" s="2">
        <f t="shared" ca="1" si="25"/>
        <v>1</v>
      </c>
      <c r="AZ36" s="21"/>
      <c r="BA36" s="21"/>
      <c r="BB36" s="21"/>
      <c r="BC36" s="21"/>
      <c r="BD36" s="21"/>
      <c r="BE36" s="21"/>
      <c r="BF36" s="21"/>
      <c r="BG36" s="21"/>
      <c r="BH36" s="21"/>
      <c r="BI36" s="52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9"/>
        <v>13</v>
      </c>
      <c r="B37" s="268">
        <f ca="1">IF(N37=0,IF(N36=1,"ИТОГО"," "),IF(M37=M14,DATE(YEAR(B36),MONTH(B36),O37),DATE(YEAR(B36),MONTH(B36)+1,O37)))</f>
        <v>45708</v>
      </c>
      <c r="C37" s="401"/>
      <c r="D37" s="435">
        <f ca="1">IF(N37=0,IF(N36=1,D25+D26+D27+D28+D29+D30+D31+D32+D33+D34+D35+D36," "),IF(N37=0," ",IF(N38=1,D25,IF(N38=0,D10-D25*(M14-1)," "))))</f>
        <v>166.67</v>
      </c>
      <c r="E37" s="435"/>
      <c r="F37" s="151">
        <f ca="1">IF(N37=0,IF(N36=1,F25+F26+F27+F28+F29+F30+F31+F32+F33+F34+F35+F36," "),IF(M1=1,P37,IF(M1=2,Q37," ")))</f>
        <v>122.22146666666666</v>
      </c>
      <c r="G37" s="151">
        <f ca="1">IF(N37=0,IF(N36=1,G25+G26+G27+G28+G29+G30+G31+G32+G33+G34+G35+G36," "),IF(M1=1,AC37,IF(M1=2,AD37," ")))</f>
        <v>0</v>
      </c>
      <c r="H37" s="151">
        <f t="shared" ca="1" si="10"/>
        <v>288.89146666666664</v>
      </c>
      <c r="I37" s="151">
        <f t="shared" ca="1" si="31"/>
        <v>190.48</v>
      </c>
      <c r="J37" s="151">
        <f t="shared" ca="1" si="32"/>
        <v>139.68213333333338</v>
      </c>
      <c r="K37" s="151">
        <f t="shared" ca="1" si="33"/>
        <v>0</v>
      </c>
      <c r="L37" s="151">
        <f t="shared" ca="1" si="34"/>
        <v>330.16213333333337</v>
      </c>
      <c r="M37" s="2">
        <f t="shared" si="11"/>
        <v>13</v>
      </c>
      <c r="N37" s="2">
        <f ca="1">IF(M1=1,IF(M14&gt;12,1,0),IF(M1=2,IF(M14&gt;12,1,0),0))</f>
        <v>1</v>
      </c>
      <c r="O37" s="2">
        <f ca="1">IF(M37=A$14,IF(MONTH(B36)=-2,AS37,DATE(YEAR(0),MONTH(0),DAY(D$16)-1)),AR37)</f>
        <v>20</v>
      </c>
      <c r="P37" s="134">
        <f t="shared" ca="1" si="12"/>
        <v>122.22146666666666</v>
      </c>
      <c r="Q37" s="134">
        <f t="shared" ca="1" si="13"/>
        <v>122.22146666666666</v>
      </c>
      <c r="R37" s="134">
        <f t="shared" ca="1" si="14"/>
        <v>5999.9599999999991</v>
      </c>
      <c r="S37" s="134">
        <f t="shared" ca="1" si="26"/>
        <v>166.67</v>
      </c>
      <c r="T37" s="134">
        <f t="shared" ca="1" si="15"/>
        <v>166.67</v>
      </c>
      <c r="U37" s="134">
        <f t="shared" ca="1" si="35"/>
        <v>122.22146666666666</v>
      </c>
      <c r="V37" s="134">
        <f t="shared" ca="1" si="36"/>
        <v>122.22146666666666</v>
      </c>
      <c r="W37" s="134">
        <f t="shared" ca="1" si="27"/>
        <v>160</v>
      </c>
      <c r="X37" s="134">
        <f t="shared" ca="1" si="28"/>
        <v>160</v>
      </c>
      <c r="Y37" s="134">
        <f t="shared" ca="1" si="16"/>
        <v>6857.1200000000026</v>
      </c>
      <c r="Z37" s="134">
        <f t="shared" ca="1" si="37"/>
        <v>139.68213333333338</v>
      </c>
      <c r="AA37" s="134">
        <f t="shared" ca="1" si="17"/>
        <v>139.68213333333338</v>
      </c>
      <c r="AB37" s="134">
        <f ca="1">IF(R38=0,R37*Q12,(R36*20+R37*10))</f>
        <v>183332.19999999995</v>
      </c>
      <c r="AC37" s="134">
        <f t="shared" ca="1" si="18"/>
        <v>0</v>
      </c>
      <c r="AD37" s="134">
        <f t="shared" ca="1" si="19"/>
        <v>0</v>
      </c>
      <c r="AE37" s="134">
        <f t="shared" ca="1" si="30"/>
        <v>0</v>
      </c>
      <c r="AF37" s="134">
        <f t="shared" ca="1" si="20"/>
        <v>0</v>
      </c>
      <c r="AG37" s="134">
        <f t="shared" ca="1" si="29"/>
        <v>0</v>
      </c>
      <c r="AH37" s="134">
        <f t="shared" ca="1" si="21"/>
        <v>0</v>
      </c>
      <c r="AI37" s="134">
        <f t="shared" ca="1" si="3"/>
        <v>5999.9599999999991</v>
      </c>
      <c r="AJ37" s="134">
        <f ca="1">IF(N38=1,AI36*G12*20/36000+AI37*G12*10/36000,IF(N38=0,IF(N37=0,0,AI37*G12*Q12/36000)))</f>
        <v>0</v>
      </c>
      <c r="AK37" s="134">
        <f ca="1">IF(N38=1,AI36*G12*20/36000+AI37*G12*10/36000,IF(N38=0,IF(N37=0,0,AI37*G12*Q12/36000)))</f>
        <v>0</v>
      </c>
      <c r="AL37" s="132">
        <f t="shared" ca="1" si="22"/>
        <v>2</v>
      </c>
      <c r="AM37" s="132">
        <f t="shared" ca="1" si="4"/>
        <v>2</v>
      </c>
      <c r="AN37" s="2">
        <f t="shared" ca="1" si="23"/>
        <v>2025</v>
      </c>
      <c r="AO37" s="2">
        <f t="shared" ca="1" si="5"/>
        <v>2025</v>
      </c>
      <c r="AP37" s="2">
        <f t="shared" ca="1" si="6"/>
        <v>0</v>
      </c>
      <c r="AQ37" s="2">
        <f t="shared" ca="1" si="7"/>
        <v>28</v>
      </c>
      <c r="AR37" s="2">
        <f t="shared" si="8"/>
        <v>20</v>
      </c>
      <c r="AS37" s="2">
        <f t="shared" ca="1" si="24"/>
        <v>30</v>
      </c>
      <c r="AT37" s="21"/>
      <c r="AU37" s="21"/>
      <c r="AV37" s="21"/>
      <c r="AW37" s="21"/>
      <c r="AX37" s="21"/>
      <c r="AY37" s="2">
        <f t="shared" ca="1" si="25"/>
        <v>1</v>
      </c>
      <c r="AZ37" s="21"/>
      <c r="BA37" s="21"/>
      <c r="BB37" s="21"/>
      <c r="BC37" s="21"/>
      <c r="BD37" s="21"/>
      <c r="BE37" s="21"/>
      <c r="BF37" s="21"/>
      <c r="BG37" s="21"/>
      <c r="BH37" s="21"/>
      <c r="BI37" s="52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9"/>
        <v>14</v>
      </c>
      <c r="B38" s="268">
        <f ca="1">IF(N38=0,IF(N37=1,"ИТОГО"," "),DATE(YEAR(B37),MONTH(B37)+1,O38))</f>
        <v>45736</v>
      </c>
      <c r="C38" s="401"/>
      <c r="D38" s="435">
        <f ca="1">IF(N38=0,IF(N37=1,D25+D26+D27+D28+D29+D30+D31+D32+D33+D34+D35+D36+D37," "),IF(N38=0," ",IF(N39=1,D25,IF(N39=0,D10-D25*(M14-1)," "))))</f>
        <v>166.67</v>
      </c>
      <c r="E38" s="435"/>
      <c r="F38" s="151">
        <f ca="1">IF(N38=0,IF(N37=1,F25+F26+F27+F28+F29+F30+F31+F32+F33+F34+F35+F36+F37," "),IF(M1=1,P38,IF(M1=2,Q38," ")))</f>
        <v>118.88806666666665</v>
      </c>
      <c r="G38" s="151">
        <f ca="1">IF(N38=0,IF(N37=1,G25+G26+G27+G28+G29+G30+G31+G32+G33+G34+G35+G36+G37," "),IF(M1=1,AC38,IF(M1=2,AD38," ")))</f>
        <v>0</v>
      </c>
      <c r="H38" s="151">
        <f t="shared" ca="1" si="10"/>
        <v>285.5580666666666</v>
      </c>
      <c r="I38" s="151">
        <f t="shared" ca="1" si="31"/>
        <v>190.48</v>
      </c>
      <c r="J38" s="151">
        <f t="shared" ca="1" si="32"/>
        <v>135.87253333333339</v>
      </c>
      <c r="K38" s="151">
        <f t="shared" ca="1" si="33"/>
        <v>0</v>
      </c>
      <c r="L38" s="151">
        <f t="shared" ca="1" si="34"/>
        <v>326.35253333333338</v>
      </c>
      <c r="M38" s="2">
        <f t="shared" si="11"/>
        <v>14</v>
      </c>
      <c r="N38" s="2">
        <f ca="1">IF(M1=1,IF(M14&gt;13,1,0),IF(M1=2,IF(M14&gt;13,1,0),0))</f>
        <v>1</v>
      </c>
      <c r="O38" s="2">
        <f ca="1">IF(M38=A$14,IF(DATE(YEAR(0),MONTH(0),DAY(D$16)-1)&lt;AR38,DATE(YEAR(0),MONTH(0),DAY(D$16)-1),AR38),AR38)</f>
        <v>20</v>
      </c>
      <c r="P38" s="134">
        <f t="shared" ca="1" si="12"/>
        <v>118.88806666666665</v>
      </c>
      <c r="Q38" s="134">
        <f t="shared" ca="1" si="13"/>
        <v>118.88806666666665</v>
      </c>
      <c r="R38" s="134">
        <f t="shared" ca="1" si="14"/>
        <v>5833.2899999999991</v>
      </c>
      <c r="S38" s="134">
        <f t="shared" ca="1" si="26"/>
        <v>166.67</v>
      </c>
      <c r="T38" s="134">
        <f t="shared" ca="1" si="15"/>
        <v>166.67</v>
      </c>
      <c r="U38" s="134">
        <f t="shared" ca="1" si="35"/>
        <v>118.88806666666665</v>
      </c>
      <c r="V38" s="134">
        <f t="shared" ca="1" si="36"/>
        <v>118.88806666666665</v>
      </c>
      <c r="W38" s="134">
        <f t="shared" ca="1" si="27"/>
        <v>160</v>
      </c>
      <c r="X38" s="134">
        <f t="shared" ca="1" si="28"/>
        <v>160</v>
      </c>
      <c r="Y38" s="134">
        <f t="shared" ca="1" si="16"/>
        <v>6666.6400000000031</v>
      </c>
      <c r="Z38" s="134">
        <f t="shared" ca="1" si="37"/>
        <v>135.87253333333339</v>
      </c>
      <c r="AA38" s="134">
        <f t="shared" ca="1" si="17"/>
        <v>135.87253333333339</v>
      </c>
      <c r="AB38" s="134">
        <f ca="1">IF(R39=0,R38*Q12,(R37*20+R38*10))</f>
        <v>178332.09999999998</v>
      </c>
      <c r="AC38" s="134">
        <f t="shared" ca="1" si="18"/>
        <v>0</v>
      </c>
      <c r="AD38" s="134">
        <f t="shared" ca="1" si="19"/>
        <v>0</v>
      </c>
      <c r="AE38" s="134">
        <f t="shared" ca="1" si="30"/>
        <v>0</v>
      </c>
      <c r="AF38" s="134">
        <f t="shared" ca="1" si="20"/>
        <v>0</v>
      </c>
      <c r="AG38" s="134">
        <f t="shared" ca="1" si="29"/>
        <v>0</v>
      </c>
      <c r="AH38" s="134">
        <f t="shared" ca="1" si="21"/>
        <v>0</v>
      </c>
      <c r="AI38" s="134">
        <f t="shared" ca="1" si="3"/>
        <v>5833.2899999999991</v>
      </c>
      <c r="AJ38" s="134">
        <f ca="1">IF(N39=1,AI37*G12*20/36000+AI38*G12*10/36000,IF(N39=0,IF(N38=0,0,AI38*G12*Q12/36000+AI37*G12*20/36000+AI38*G12*10/36000)))</f>
        <v>0</v>
      </c>
      <c r="AK38" s="134">
        <f ca="1">IF(N39=1,AI37*G12*20/36000+AI38*G12*10/36000,IF(N39=0,IF(N38=0,0,AI38*G12*Q12/36000+AI37*G12*20/36000+AI38*G12*10/36000)))</f>
        <v>0</v>
      </c>
      <c r="AL38" s="132">
        <f t="shared" ca="1" si="22"/>
        <v>3</v>
      </c>
      <c r="AM38" s="132">
        <f t="shared" ca="1" si="4"/>
        <v>3</v>
      </c>
      <c r="AN38" s="2">
        <f t="shared" ca="1" si="23"/>
        <v>2025</v>
      </c>
      <c r="AO38" s="2">
        <f t="shared" ca="1" si="5"/>
        <v>2025</v>
      </c>
      <c r="AP38" s="2">
        <f t="shared" ca="1" si="6"/>
        <v>0</v>
      </c>
      <c r="AQ38" s="2">
        <f t="shared" ca="1" si="7"/>
        <v>30</v>
      </c>
      <c r="AR38" s="2">
        <f t="shared" si="8"/>
        <v>20</v>
      </c>
      <c r="AS38" s="2">
        <f t="shared" ca="1" si="24"/>
        <v>28</v>
      </c>
      <c r="AT38" s="21"/>
      <c r="AU38" s="21"/>
      <c r="AV38" s="21"/>
      <c r="AW38" s="21"/>
      <c r="AX38" s="21"/>
      <c r="AY38" s="2">
        <f t="shared" ca="1" si="25"/>
        <v>1</v>
      </c>
      <c r="AZ38" s="21"/>
      <c r="BA38" s="21"/>
      <c r="BB38" s="21"/>
      <c r="BC38" s="21"/>
      <c r="BD38" s="21"/>
      <c r="BE38" s="21"/>
      <c r="BF38" s="21"/>
      <c r="BG38" s="21"/>
      <c r="BH38" s="21"/>
      <c r="BI38" s="52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9"/>
        <v>15</v>
      </c>
      <c r="B39" s="268">
        <f ca="1">IF(N39=0,IF(N38=1,"ИТОГО"," "),DATE(YEAR(B38),MONTH(B38)+1,O39))</f>
        <v>45767</v>
      </c>
      <c r="C39" s="401"/>
      <c r="D39" s="435">
        <f ca="1">IF(N39=0,IF(N38=1,D25+D26+D27+D28+D29+D30+D31+D32+D33+D34+D35+D36+D37+D38," "),IF(N39=0," ",IF(N40=1,D25,IF(N40=0,D10-D25*(M14-1)," "))))</f>
        <v>166.67</v>
      </c>
      <c r="E39" s="435"/>
      <c r="F39" s="151">
        <f ca="1">IF(N39=0,IF(N38=1,F25+F26+F27+F28+F29+F30+F31+F32+F33+F34+F35+F36+F37+F38," "),IF(M1=1,P39,IF(M1=2,Q39," ")))</f>
        <v>115.55466666666663</v>
      </c>
      <c r="G39" s="151">
        <f ca="1">IF(N39=0,IF(N38=1,G25+G26+G27+G28+G29+G30+G31+G32+G33+G34+G35+G36+G37+G38," "),IF(M1=1,AC39,IF(M1=2,AD39," ")))</f>
        <v>0</v>
      </c>
      <c r="H39" s="151">
        <f t="shared" ca="1" si="10"/>
        <v>282.22466666666662</v>
      </c>
      <c r="I39" s="151">
        <f t="shared" ca="1" si="31"/>
        <v>190.48</v>
      </c>
      <c r="J39" s="151">
        <f t="shared" ca="1" si="32"/>
        <v>132.06293333333338</v>
      </c>
      <c r="K39" s="151">
        <f t="shared" ca="1" si="33"/>
        <v>0</v>
      </c>
      <c r="L39" s="151">
        <f t="shared" ca="1" si="34"/>
        <v>322.54293333333339</v>
      </c>
      <c r="M39" s="2">
        <f t="shared" si="11"/>
        <v>15</v>
      </c>
      <c r="N39" s="2">
        <f ca="1">IF(M1=1,IF(M14&gt;14,1,0),IF(M1=2,IF(M14&gt;14,1,0),0))</f>
        <v>1</v>
      </c>
      <c r="O39" s="2">
        <f ca="1">IF(M39=A$14,IF(DATE(YEAR(0),MONTH(0),DAY(D$16)-1)&lt;AR39,DATE(YEAR(0),MONTH(0),DAY(D$16)-1),AR39),AR39)</f>
        <v>20</v>
      </c>
      <c r="P39" s="134">
        <f t="shared" ca="1" si="12"/>
        <v>115.55466666666663</v>
      </c>
      <c r="Q39" s="134">
        <f t="shared" ca="1" si="13"/>
        <v>115.55466666666663</v>
      </c>
      <c r="R39" s="134">
        <f t="shared" ca="1" si="14"/>
        <v>5666.619999999999</v>
      </c>
      <c r="S39" s="134">
        <f t="shared" ca="1" si="26"/>
        <v>166.67</v>
      </c>
      <c r="T39" s="134">
        <f t="shared" ca="1" si="15"/>
        <v>166.67</v>
      </c>
      <c r="U39" s="134">
        <f t="shared" ca="1" si="35"/>
        <v>115.55466666666663</v>
      </c>
      <c r="V39" s="134">
        <f t="shared" ca="1" si="36"/>
        <v>115.55466666666663</v>
      </c>
      <c r="W39" s="134">
        <f t="shared" ca="1" si="27"/>
        <v>160</v>
      </c>
      <c r="X39" s="134">
        <f t="shared" ca="1" si="28"/>
        <v>160</v>
      </c>
      <c r="Y39" s="134">
        <f t="shared" ca="1" si="16"/>
        <v>6476.1600000000035</v>
      </c>
      <c r="Z39" s="134">
        <f t="shared" ca="1" si="37"/>
        <v>132.06293333333338</v>
      </c>
      <c r="AA39" s="134">
        <f t="shared" ca="1" si="17"/>
        <v>132.06293333333338</v>
      </c>
      <c r="AB39" s="134">
        <f ca="1">IF(R40=0,R39*Q12,(R38*20+R39*10))</f>
        <v>173331.99999999997</v>
      </c>
      <c r="AC39" s="134">
        <f t="shared" ca="1" si="18"/>
        <v>0</v>
      </c>
      <c r="AD39" s="134">
        <f t="shared" ca="1" si="19"/>
        <v>0</v>
      </c>
      <c r="AE39" s="134">
        <f t="shared" ca="1" si="30"/>
        <v>0</v>
      </c>
      <c r="AF39" s="134">
        <f t="shared" ca="1" si="20"/>
        <v>0</v>
      </c>
      <c r="AG39" s="134">
        <f t="shared" ca="1" si="29"/>
        <v>0</v>
      </c>
      <c r="AH39" s="134">
        <f t="shared" ca="1" si="21"/>
        <v>0</v>
      </c>
      <c r="AI39" s="134">
        <f t="shared" ca="1" si="3"/>
        <v>5666.619999999999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22"/>
        <v>4</v>
      </c>
      <c r="AM39" s="132">
        <f t="shared" ca="1" si="4"/>
        <v>4</v>
      </c>
      <c r="AN39" s="2">
        <f t="shared" ca="1" si="23"/>
        <v>2025</v>
      </c>
      <c r="AO39" s="2">
        <f t="shared" ca="1" si="5"/>
        <v>2025</v>
      </c>
      <c r="AP39" s="2">
        <f t="shared" ca="1" si="6"/>
        <v>0</v>
      </c>
      <c r="AQ39" s="2">
        <f t="shared" ca="1" si="7"/>
        <v>30</v>
      </c>
      <c r="AR39" s="2">
        <f t="shared" si="8"/>
        <v>20</v>
      </c>
      <c r="AS39" s="2">
        <f t="shared" ca="1" si="24"/>
        <v>30</v>
      </c>
      <c r="AT39" s="21"/>
      <c r="AU39" s="21"/>
      <c r="AV39" s="21"/>
      <c r="AW39" s="21"/>
      <c r="AX39" s="21"/>
      <c r="AY39" s="2">
        <f t="shared" ca="1" si="25"/>
        <v>1</v>
      </c>
      <c r="AZ39" s="21"/>
      <c r="BA39" s="21"/>
      <c r="BB39" s="21"/>
      <c r="BC39" s="21"/>
      <c r="BD39" s="21"/>
      <c r="BE39" s="21"/>
      <c r="BF39" s="21"/>
      <c r="BG39" s="21"/>
      <c r="BH39" s="21"/>
      <c r="BI39" s="52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9"/>
        <v>16</v>
      </c>
      <c r="B40" s="268">
        <f ca="1">IF(N40=0,IF(N39=1,"ИТОГО"," "),DATE(YEAR(B39),MONTH(B39)+1,O40))</f>
        <v>45797</v>
      </c>
      <c r="C40" s="401"/>
      <c r="D40" s="435">
        <f ca="1">IF(N40=0,IF(N39=1,D25+D26+D27+D28+D29+D30+D31+D32+D33+D34+D35+D36+D37+D38+D39," "),IF(N40=0," ",IF(N41=1,D25,IF(N41=0,D10-D25*(M14-1)," "))))</f>
        <v>166.67</v>
      </c>
      <c r="E40" s="435"/>
      <c r="F40" s="151">
        <f ca="1">IF(N40=0,IF(N39=1,F25+F26+F27+F28+F29+F30+F31+F32+F33+F34+F35+F36+F37+F38+F39," "),IF(M1=1,P40,IF(M1=2,Q40," ")))</f>
        <v>112.22126666666665</v>
      </c>
      <c r="G40" s="151">
        <f ca="1">IF(N40=0,IF(N39=1,G25+G26+G27+G28+G29+G30+G31+G32+G33+G34+G35+G36+G37+G38+G39," "),IF(M1=1,AC40,IF(M1=2,AD40," ")))</f>
        <v>0</v>
      </c>
      <c r="H40" s="151">
        <f t="shared" ca="1" si="10"/>
        <v>278.89126666666664</v>
      </c>
      <c r="I40" s="151">
        <f t="shared" ca="1" si="31"/>
        <v>190.48</v>
      </c>
      <c r="J40" s="151">
        <f t="shared" ca="1" si="32"/>
        <v>128.25333333333339</v>
      </c>
      <c r="K40" s="151">
        <f t="shared" ca="1" si="33"/>
        <v>0</v>
      </c>
      <c r="L40" s="151">
        <f t="shared" ca="1" si="34"/>
        <v>318.73333333333335</v>
      </c>
      <c r="M40" s="2">
        <f t="shared" si="11"/>
        <v>16</v>
      </c>
      <c r="N40" s="2">
        <f ca="1">IF(M1=1,IF(M14&gt;15,1,0),IF(M1=2,IF(M14&gt;15,1,0),0))</f>
        <v>1</v>
      </c>
      <c r="O40" s="2">
        <f ca="1">IF(M40=A$14,IF(DATE(YEAR(0),MONTH(0),DAY(D$16)-1)&lt;AR40,DATE(YEAR(0),MONTH(0),DAY(D$16)-1),AR40),AR40)</f>
        <v>20</v>
      </c>
      <c r="P40" s="134">
        <f t="shared" ca="1" si="12"/>
        <v>112.22126666666665</v>
      </c>
      <c r="Q40" s="134">
        <f t="shared" ca="1" si="13"/>
        <v>112.22126666666665</v>
      </c>
      <c r="R40" s="134">
        <f t="shared" ca="1" si="14"/>
        <v>5499.9499999999989</v>
      </c>
      <c r="S40" s="134">
        <f t="shared" ca="1" si="26"/>
        <v>166.67</v>
      </c>
      <c r="T40" s="134">
        <f t="shared" ca="1" si="15"/>
        <v>166.67</v>
      </c>
      <c r="U40" s="134">
        <f t="shared" ca="1" si="35"/>
        <v>112.22126666666665</v>
      </c>
      <c r="V40" s="134">
        <f t="shared" ca="1" si="36"/>
        <v>112.22126666666665</v>
      </c>
      <c r="W40" s="134">
        <f t="shared" ca="1" si="27"/>
        <v>160</v>
      </c>
      <c r="X40" s="134">
        <f t="shared" ca="1" si="28"/>
        <v>160</v>
      </c>
      <c r="Y40" s="134">
        <f t="shared" ca="1" si="16"/>
        <v>6285.6800000000039</v>
      </c>
      <c r="Z40" s="134">
        <f t="shared" ca="1" si="37"/>
        <v>128.25333333333339</v>
      </c>
      <c r="AA40" s="134">
        <f t="shared" ca="1" si="17"/>
        <v>128.25333333333339</v>
      </c>
      <c r="AB40" s="134">
        <f ca="1">IF(R41=0,R40*Q12,(R39*20+R40*10))</f>
        <v>168331.89999999997</v>
      </c>
      <c r="AC40" s="134">
        <f t="shared" ca="1" si="18"/>
        <v>0</v>
      </c>
      <c r="AD40" s="134">
        <f t="shared" ca="1" si="19"/>
        <v>0</v>
      </c>
      <c r="AE40" s="134">
        <f t="shared" ca="1" si="30"/>
        <v>0</v>
      </c>
      <c r="AF40" s="134">
        <f t="shared" ca="1" si="20"/>
        <v>0</v>
      </c>
      <c r="AG40" s="134">
        <f t="shared" ca="1" si="29"/>
        <v>0</v>
      </c>
      <c r="AH40" s="134">
        <f t="shared" ca="1" si="21"/>
        <v>0</v>
      </c>
      <c r="AI40" s="134">
        <f t="shared" ca="1" si="3"/>
        <v>5499.9499999999989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22"/>
        <v>5</v>
      </c>
      <c r="AM40" s="132">
        <f t="shared" ca="1" si="4"/>
        <v>5</v>
      </c>
      <c r="AN40" s="2">
        <f t="shared" ca="1" si="23"/>
        <v>2025</v>
      </c>
      <c r="AO40" s="2">
        <f t="shared" ca="1" si="5"/>
        <v>2025</v>
      </c>
      <c r="AP40" s="2">
        <f t="shared" ca="1" si="6"/>
        <v>0</v>
      </c>
      <c r="AQ40" s="2">
        <f t="shared" ca="1" si="7"/>
        <v>30</v>
      </c>
      <c r="AR40" s="2">
        <f t="shared" si="8"/>
        <v>20</v>
      </c>
      <c r="AS40" s="2">
        <f t="shared" ca="1" si="24"/>
        <v>30</v>
      </c>
      <c r="AT40" s="21"/>
      <c r="AU40" s="21"/>
      <c r="AV40" s="21"/>
      <c r="AW40" s="21"/>
      <c r="AX40" s="21"/>
      <c r="AY40" s="2">
        <f t="shared" ca="1" si="25"/>
        <v>1</v>
      </c>
      <c r="AZ40" s="21"/>
      <c r="BA40" s="21"/>
      <c r="BB40" s="21"/>
      <c r="BC40" s="21"/>
      <c r="BD40" s="21"/>
      <c r="BE40" s="21"/>
      <c r="BF40" s="21"/>
      <c r="BG40" s="21"/>
      <c r="BH40" s="21"/>
      <c r="BI40" s="52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9"/>
        <v>17</v>
      </c>
      <c r="B41" s="268">
        <f ca="1">IF(N41=0,IF(N40=1,"ИТОГО"," "),DATE(YEAR(B40),MONTH(B40)+1,O41))</f>
        <v>45828</v>
      </c>
      <c r="C41" s="401"/>
      <c r="D41" s="435">
        <f ca="1">IF(N41=0,IF(N40=1,D25+D26+D27+D28+D29+D30+D31+D32+D33+D34+D35+D36+D37+D38+D39+D40," "),IF(N41=0," ",IF(N42=1,D25,IF(N42=0,D10-D25*(M14-1)," "))))</f>
        <v>166.67</v>
      </c>
      <c r="E41" s="435"/>
      <c r="F41" s="151">
        <f ca="1">IF(N41=0,IF(N40=1,F25+F26+F27+F28+F29+F30+F31+F32+F33+F34+F36+F35+F37+F38+F39+F40," "),IF(M1=1,P41,IF(M1=2,Q41," ")))</f>
        <v>108.88786666666667</v>
      </c>
      <c r="G41" s="151">
        <f ca="1">IF(N41=0,IF(N40=1,G25+G26+G27+G28+G29+G30+G31+G32+G33+G34+G36+G35+G37+G38+G39+G40," "),IF(M1=1,AC41,IF(M1=2,AD41," ")))</f>
        <v>0</v>
      </c>
      <c r="H41" s="151">
        <f t="shared" ca="1" si="10"/>
        <v>275.55786666666665</v>
      </c>
      <c r="I41" s="151">
        <f t="shared" ca="1" si="31"/>
        <v>190.48</v>
      </c>
      <c r="J41" s="151">
        <f t="shared" ca="1" si="32"/>
        <v>124.4437333333334</v>
      </c>
      <c r="K41" s="151">
        <f t="shared" ca="1" si="33"/>
        <v>0</v>
      </c>
      <c r="L41" s="151">
        <f t="shared" ca="1" si="34"/>
        <v>314.92373333333342</v>
      </c>
      <c r="M41" s="2">
        <f t="shared" si="11"/>
        <v>17</v>
      </c>
      <c r="N41" s="2">
        <f ca="1">IF(M1=1,IF(M14&gt;16,1,0),IF(M1=2,IF(M14&gt;16,1,0),0))</f>
        <v>1</v>
      </c>
      <c r="O41" s="2">
        <f ca="1">IF(M41=A$14,IF(DATE(YEAR(0),MONTH(0),DAY(D$16)-1)&lt;AR41,DATE(YEAR(0),MONTH(0),DAY(D$16)-1),AR41),AR41)</f>
        <v>20</v>
      </c>
      <c r="P41" s="134">
        <f t="shared" ca="1" si="12"/>
        <v>108.88786666666667</v>
      </c>
      <c r="Q41" s="134">
        <f t="shared" ca="1" si="13"/>
        <v>108.88786666666667</v>
      </c>
      <c r="R41" s="134">
        <f t="shared" ca="1" si="14"/>
        <v>5333.2799999999988</v>
      </c>
      <c r="S41" s="134">
        <f t="shared" ca="1" si="26"/>
        <v>166.67</v>
      </c>
      <c r="T41" s="134">
        <f t="shared" ca="1" si="15"/>
        <v>166.67</v>
      </c>
      <c r="U41" s="134">
        <f t="shared" ca="1" si="35"/>
        <v>108.88786666666667</v>
      </c>
      <c r="V41" s="134">
        <f t="shared" ca="1" si="36"/>
        <v>108.88786666666667</v>
      </c>
      <c r="W41" s="134">
        <f t="shared" ca="1" si="27"/>
        <v>160</v>
      </c>
      <c r="X41" s="134">
        <f t="shared" ca="1" si="28"/>
        <v>160</v>
      </c>
      <c r="Y41" s="134">
        <f t="shared" ca="1" si="16"/>
        <v>6095.2000000000044</v>
      </c>
      <c r="Z41" s="134">
        <f t="shared" ca="1" si="37"/>
        <v>124.4437333333334</v>
      </c>
      <c r="AA41" s="134">
        <f t="shared" ca="1" si="17"/>
        <v>124.4437333333334</v>
      </c>
      <c r="AB41" s="134">
        <f ca="1">IF(R42=0,R41*Q12,(R40*20+R41*10))</f>
        <v>163331.79999999996</v>
      </c>
      <c r="AC41" s="134">
        <f t="shared" ca="1" si="18"/>
        <v>0</v>
      </c>
      <c r="AD41" s="134">
        <f t="shared" ca="1" si="19"/>
        <v>0</v>
      </c>
      <c r="AE41" s="134">
        <f t="shared" ca="1" si="30"/>
        <v>0</v>
      </c>
      <c r="AF41" s="134">
        <f t="shared" ca="1" si="20"/>
        <v>0</v>
      </c>
      <c r="AG41" s="134">
        <f t="shared" ca="1" si="29"/>
        <v>0</v>
      </c>
      <c r="AH41" s="134">
        <f t="shared" ca="1" si="21"/>
        <v>0</v>
      </c>
      <c r="AI41" s="134">
        <f t="shared" ca="1" si="3"/>
        <v>5333.2799999999988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22"/>
        <v>6</v>
      </c>
      <c r="AM41" s="132">
        <f t="shared" ca="1" si="4"/>
        <v>6</v>
      </c>
      <c r="AN41" s="2">
        <f t="shared" ca="1" si="23"/>
        <v>2025</v>
      </c>
      <c r="AO41" s="2">
        <f t="shared" ca="1" si="5"/>
        <v>2025</v>
      </c>
      <c r="AP41" s="2">
        <f t="shared" ca="1" si="6"/>
        <v>0</v>
      </c>
      <c r="AQ41" s="2">
        <f t="shared" ca="1" si="7"/>
        <v>30</v>
      </c>
      <c r="AR41" s="2">
        <f t="shared" si="8"/>
        <v>20</v>
      </c>
      <c r="AS41" s="2">
        <f t="shared" ca="1" si="24"/>
        <v>30</v>
      </c>
      <c r="AT41" s="21"/>
      <c r="AU41" s="21"/>
      <c r="AV41" s="21"/>
      <c r="AW41" s="21"/>
      <c r="AX41" s="21"/>
      <c r="AY41" s="2">
        <f t="shared" ca="1" si="25"/>
        <v>1</v>
      </c>
      <c r="AZ41" s="21"/>
      <c r="BA41" s="21"/>
      <c r="BB41" s="21"/>
      <c r="BC41" s="21"/>
      <c r="BD41" s="21"/>
      <c r="BE41" s="21"/>
      <c r="BF41" s="21"/>
      <c r="BG41" s="21"/>
      <c r="BH41" s="21"/>
      <c r="BI41" s="52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9"/>
        <v>18</v>
      </c>
      <c r="B42" s="268">
        <f ca="1">IF(N42=0,IF(N41=1,"ИТОГО"," "),DATE(YEAR(B41),MONTH(B41)+1,O42))</f>
        <v>45858</v>
      </c>
      <c r="C42" s="401"/>
      <c r="D42" s="435">
        <f ca="1">IF(N42=0,IF(N41=1,D25+D26+D27+D28+D29+D30+D31+D32+D33+D34+D35+D36+D37+D38+D39+D40+D41," "),IF(N42=0," ",IF(N43=1,D25,IF(N43=0,D10-D25*(M14-1)," "))))</f>
        <v>166.67</v>
      </c>
      <c r="E42" s="435"/>
      <c r="F42" s="151">
        <f ca="1">IF(N42=0,IF(N41=1,F25+F26+F27+F28+F29+F30+F31+F32+F33+F34+F35+F36+F37+F38+F39+F40+F41," "),IF(M1=1,P42,IF(M1=2,Q42," ")))</f>
        <v>105.55446666666664</v>
      </c>
      <c r="G42" s="151">
        <f ca="1">IF(N42=0,IF(N41=1,G25+G26+G27+G28+G29+G30+G31+G32+G33+G34+G35+G36+G37+G38+G39+G40+G41," "),IF(M1=1,AC42,IF(M1=2,AD42," ")))</f>
        <v>0</v>
      </c>
      <c r="H42" s="151">
        <f t="shared" ca="1" si="10"/>
        <v>272.22446666666661</v>
      </c>
      <c r="I42" s="151">
        <f t="shared" ca="1" si="31"/>
        <v>190.48</v>
      </c>
      <c r="J42" s="151">
        <f t="shared" ca="1" si="32"/>
        <v>120.63413333333341</v>
      </c>
      <c r="K42" s="151">
        <f t="shared" ca="1" si="33"/>
        <v>0</v>
      </c>
      <c r="L42" s="151">
        <f t="shared" ca="1" si="34"/>
        <v>311.11413333333337</v>
      </c>
      <c r="M42" s="2">
        <f t="shared" si="11"/>
        <v>18</v>
      </c>
      <c r="N42" s="2">
        <f ca="1">IF(M1=1,IF(M14&gt;17,1,0),IF(M1=2,IF(M14&gt;17,1,0),0))</f>
        <v>1</v>
      </c>
      <c r="O42" s="2">
        <f ca="1">IF(M42=A$14,IF(DATE(YEAR(0),MONTH(0),DAY(D$16)-1)&lt;AR42,DATE(YEAR(0),MONTH(0),DAY(D$16)-1),AR42),AR42)</f>
        <v>20</v>
      </c>
      <c r="P42" s="134">
        <f t="shared" ca="1" si="12"/>
        <v>105.55446666666664</v>
      </c>
      <c r="Q42" s="134">
        <f t="shared" ca="1" si="13"/>
        <v>105.55446666666664</v>
      </c>
      <c r="R42" s="134">
        <f t="shared" ca="1" si="14"/>
        <v>5166.6099999999988</v>
      </c>
      <c r="S42" s="134">
        <f t="shared" ca="1" si="26"/>
        <v>166.67</v>
      </c>
      <c r="T42" s="134">
        <f t="shared" ca="1" si="15"/>
        <v>166.67</v>
      </c>
      <c r="U42" s="134">
        <f ca="1">IF(N43=1,R41*D$11*20/36000+R42*D$11*10/36000,IF(N43=0,IF(N42=0,0,IF(DAY(D$16)&gt;20,R41*D$11*20/36000+R42*D$11*(Q$12-20)/36000,R42*D11*Q12/36000+R41*D11*20/36000+R42*D11*10/36000))))</f>
        <v>105.55446666666664</v>
      </c>
      <c r="V42" s="134">
        <f ca="1">IF(N43=1,R41*D$11*20/36000+R42*D$11*10/36000,IF(N43=0,IF(N42=0,0,IF(DAY(D$16)&gt;20,R41*D$11*20/36000+R42*D$11*(Q$12-20)/36000,R42*D11*Q12/36000+R41*D11*20/36000+R42*D11*10/36000))))</f>
        <v>105.55446666666664</v>
      </c>
      <c r="W42" s="134">
        <f t="shared" ca="1" si="27"/>
        <v>160</v>
      </c>
      <c r="X42" s="134">
        <f t="shared" ca="1" si="28"/>
        <v>160</v>
      </c>
      <c r="Y42" s="134">
        <f t="shared" ca="1" si="16"/>
        <v>5904.7200000000048</v>
      </c>
      <c r="Z42" s="134">
        <f t="shared" ca="1" si="37"/>
        <v>120.63413333333341</v>
      </c>
      <c r="AA42" s="134">
        <f t="shared" ca="1" si="17"/>
        <v>120.63413333333341</v>
      </c>
      <c r="AB42" s="134">
        <f ca="1">IF(R43=0,R42*Q12,(R41*20+R42*10))</f>
        <v>158331.69999999995</v>
      </c>
      <c r="AC42" s="134">
        <f t="shared" ca="1" si="18"/>
        <v>0</v>
      </c>
      <c r="AD42" s="134">
        <f t="shared" ca="1" si="19"/>
        <v>0</v>
      </c>
      <c r="AE42" s="134">
        <f t="shared" ca="1" si="30"/>
        <v>0</v>
      </c>
      <c r="AF42" s="134">
        <f t="shared" ca="1" si="20"/>
        <v>0</v>
      </c>
      <c r="AG42" s="134">
        <f t="shared" ca="1" si="29"/>
        <v>0</v>
      </c>
      <c r="AH42" s="134">
        <f t="shared" ca="1" si="21"/>
        <v>0</v>
      </c>
      <c r="AI42" s="134">
        <f t="shared" ca="1" si="3"/>
        <v>5166.6099999999988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22"/>
        <v>7</v>
      </c>
      <c r="AM42" s="132">
        <f t="shared" ca="1" si="4"/>
        <v>7</v>
      </c>
      <c r="AN42" s="2">
        <f t="shared" ca="1" si="23"/>
        <v>2025</v>
      </c>
      <c r="AO42" s="2">
        <f t="shared" ca="1" si="5"/>
        <v>2025</v>
      </c>
      <c r="AP42" s="2">
        <f t="shared" ca="1" si="6"/>
        <v>0</v>
      </c>
      <c r="AQ42" s="2">
        <f t="shared" ca="1" si="7"/>
        <v>30</v>
      </c>
      <c r="AR42" s="2">
        <f t="shared" si="8"/>
        <v>20</v>
      </c>
      <c r="AS42" s="2">
        <f t="shared" ca="1" si="24"/>
        <v>30</v>
      </c>
      <c r="AT42" s="21"/>
      <c r="AU42" s="21"/>
      <c r="AV42" s="21"/>
      <c r="AW42" s="21"/>
      <c r="AX42" s="21"/>
      <c r="AY42" s="2">
        <f t="shared" ca="1" si="25"/>
        <v>1</v>
      </c>
      <c r="AZ42" s="21"/>
      <c r="BA42" s="21"/>
      <c r="BB42" s="21"/>
      <c r="BC42" s="21"/>
      <c r="BD42" s="21"/>
      <c r="BE42" s="21"/>
      <c r="BF42" s="21"/>
      <c r="BG42" s="21"/>
      <c r="BH42" s="21"/>
      <c r="BI42" s="52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9"/>
        <v>19</v>
      </c>
      <c r="B43" s="268">
        <f ca="1">IF(N43=0,IF(N42=1,"ИТОГО"," "),IF(M43=M$14,DATE(YEAR(B42),MONTH(B42),O43),DATE(YEAR(B42),MONTH(B42)+1,O43)))</f>
        <v>45889</v>
      </c>
      <c r="C43" s="401"/>
      <c r="D43" s="435">
        <f ca="1">IF(N43=0,IF(N42=1,D25+D26+D27+D28+D29+D30+D31+D32+D33+D34+D35+D36+D37+D38+D39+D40+D41+D42," "),IF(N43=0," ",IF(N44=1,D25,IF(N44=0,D10-D25*(M14-1)," "))))</f>
        <v>166.67</v>
      </c>
      <c r="E43" s="435"/>
      <c r="F43" s="151">
        <f ca="1">IF(N43=0,IF(N42=1,F25+F26+F27+F28+F29+F30+F31+F32+F33+F34+F35+F36+F37+F38+F39+F40+F41+F42," "),IF(M1=1,P43,IF(M1=2,Q43," ")))</f>
        <v>102.22106666666664</v>
      </c>
      <c r="G43" s="151">
        <f ca="1">IF(N43=0,IF(N42=1,G25+G26+G27+G28+G29+G30+G31+G32+G33+G34+G35+G36+G37+G38+G39+G40+G41+G42," "),IF(M1=1,AC43,IF(M1=2,AD43," ")))</f>
        <v>0</v>
      </c>
      <c r="H43" s="151">
        <f t="shared" ca="1" si="10"/>
        <v>268.89106666666663</v>
      </c>
      <c r="I43" s="151">
        <f t="shared" ca="1" si="31"/>
        <v>190.48</v>
      </c>
      <c r="J43" s="151">
        <f t="shared" ca="1" si="32"/>
        <v>116.82453333333342</v>
      </c>
      <c r="K43" s="151">
        <f t="shared" ca="1" si="33"/>
        <v>0</v>
      </c>
      <c r="L43" s="151">
        <f t="shared" ca="1" si="34"/>
        <v>307.30453333333344</v>
      </c>
      <c r="M43" s="2">
        <f t="shared" si="11"/>
        <v>19</v>
      </c>
      <c r="N43" s="2">
        <f ca="1">IF(M1=1,IF(M14&gt;18,1,0),IF(M1=2,IF(M14&gt;18,1,0),0))</f>
        <v>1</v>
      </c>
      <c r="O43" s="2">
        <f ca="1">IF(M43=A$14,IF(MONTH(B42)=-2,AS43,DATE(YEAR(0),MONTH(0),DAY(D$16)-1)),AR43)</f>
        <v>20</v>
      </c>
      <c r="P43" s="134">
        <f t="shared" ca="1" si="12"/>
        <v>102.22106666666664</v>
      </c>
      <c r="Q43" s="134">
        <f t="shared" ca="1" si="13"/>
        <v>102.22106666666664</v>
      </c>
      <c r="R43" s="134">
        <f t="shared" ca="1" si="14"/>
        <v>4999.9399999999987</v>
      </c>
      <c r="S43" s="134">
        <f t="shared" ca="1" si="26"/>
        <v>166.67</v>
      </c>
      <c r="T43" s="134">
        <f t="shared" ca="1" si="15"/>
        <v>166.67</v>
      </c>
      <c r="U43" s="134">
        <f t="shared" ca="1" si="35"/>
        <v>102.22106666666664</v>
      </c>
      <c r="V43" s="134">
        <f t="shared" ca="1" si="36"/>
        <v>102.22106666666664</v>
      </c>
      <c r="W43" s="134">
        <f t="shared" ca="1" si="27"/>
        <v>160</v>
      </c>
      <c r="X43" s="134">
        <f t="shared" ca="1" si="28"/>
        <v>160</v>
      </c>
      <c r="Y43" s="134">
        <f t="shared" ca="1" si="16"/>
        <v>5714.2400000000052</v>
      </c>
      <c r="Z43" s="134">
        <f t="shared" ca="1" si="37"/>
        <v>116.82453333333342</v>
      </c>
      <c r="AA43" s="134">
        <f t="shared" ca="1" si="17"/>
        <v>116.82453333333342</v>
      </c>
      <c r="AB43" s="134">
        <f ca="1">IF(R44=0,R43*Q12,(R42*20+R43*10))</f>
        <v>153331.59999999998</v>
      </c>
      <c r="AC43" s="134">
        <f t="shared" ca="1" si="18"/>
        <v>0</v>
      </c>
      <c r="AD43" s="134">
        <f t="shared" ca="1" si="19"/>
        <v>0</v>
      </c>
      <c r="AE43" s="134">
        <f t="shared" ca="1" si="30"/>
        <v>0</v>
      </c>
      <c r="AF43" s="134">
        <f t="shared" ca="1" si="20"/>
        <v>0</v>
      </c>
      <c r="AG43" s="134">
        <f t="shared" ca="1" si="29"/>
        <v>0</v>
      </c>
      <c r="AH43" s="134">
        <f t="shared" ca="1" si="21"/>
        <v>0</v>
      </c>
      <c r="AI43" s="134">
        <f t="shared" ca="1" si="3"/>
        <v>4999.9399999999987</v>
      </c>
      <c r="AJ43" s="134">
        <f ca="1">IF(N44=1,AI42*G$12*20/36000+AI43*G$12*10/36000,IF(N44=0,IF(N43=0,0,AI43*G$12*Q$12/36000)))</f>
        <v>0</v>
      </c>
      <c r="AK43" s="134">
        <f ca="1">IF(N44=1,AI42*G$12*20/36000+AI43*G$12*10/36000,IF(N44=0,IF(N43=0,0,AI43*G$12*Q$12/36000)))</f>
        <v>0</v>
      </c>
      <c r="AL43" s="132">
        <f t="shared" ca="1" si="22"/>
        <v>8</v>
      </c>
      <c r="AM43" s="132">
        <f t="shared" ca="1" si="4"/>
        <v>8</v>
      </c>
      <c r="AN43" s="2">
        <f t="shared" ca="1" si="23"/>
        <v>2025</v>
      </c>
      <c r="AO43" s="2">
        <f t="shared" ca="1" si="5"/>
        <v>2025</v>
      </c>
      <c r="AP43" s="2">
        <f t="shared" ca="1" si="6"/>
        <v>0</v>
      </c>
      <c r="AQ43" s="2">
        <f t="shared" ca="1" si="7"/>
        <v>30</v>
      </c>
      <c r="AR43" s="2">
        <f t="shared" si="8"/>
        <v>20</v>
      </c>
      <c r="AS43" s="2">
        <f t="shared" ca="1" si="24"/>
        <v>30</v>
      </c>
      <c r="AT43" s="21"/>
      <c r="AU43" s="21"/>
      <c r="AV43" s="21"/>
      <c r="AW43" s="21"/>
      <c r="AX43" s="21"/>
      <c r="AY43" s="2">
        <f t="shared" ca="1" si="25"/>
        <v>1</v>
      </c>
      <c r="AZ43" s="21"/>
      <c r="BA43" s="21"/>
      <c r="BB43" s="21"/>
      <c r="BC43" s="21"/>
      <c r="BD43" s="21"/>
      <c r="BE43" s="21"/>
      <c r="BF43" s="21"/>
      <c r="BG43" s="21"/>
      <c r="BH43" s="21"/>
      <c r="BI43" s="52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9"/>
        <v>20</v>
      </c>
      <c r="B44" s="268">
        <f ca="1">IF(N44=0,IF(N43=1,"ИТОГО"," "),DATE(YEAR(B43),MONTH(B43)+1,O44))</f>
        <v>45920</v>
      </c>
      <c r="C44" s="401"/>
      <c r="D44" s="435">
        <f ca="1">IF(N44=0,IF(N43=1,D25+D26+D27+D28+D29+D30+D31+D32+D33+D34+D35+D36+D37+D38+D39+D40+D41+D42+D43," "),IF(N44=0," ",IF(N45=1,D25,IF(N45=0,D10-D25*(M14-1)," "))))</f>
        <v>166.67</v>
      </c>
      <c r="E44" s="435"/>
      <c r="F44" s="151">
        <f ca="1">IF(N44=0,IF(N43=1,F25+F26+F27+F28+F29+F30+F31+F32+F33+F34+F35+F36+F37+F38+F39+F40+F41+F42+F43," "),IF(M1=1,P44,IF(M1=2,Q44," ")))</f>
        <v>98.887666666666632</v>
      </c>
      <c r="G44" s="151">
        <f ca="1">IF(N44=0,IF(N43=1,G25+G26+G27+G28+G29+G30+G31+G32+G33+G34+G35+G36+G37+G38+G39+G40+G41+G42+G43," "),IF(M1=1,AC44,IF(M1=2,AD44," ")))</f>
        <v>0</v>
      </c>
      <c r="H44" s="151">
        <f t="shared" ca="1" si="10"/>
        <v>265.55766666666659</v>
      </c>
      <c r="I44" s="151">
        <f t="shared" ca="1" si="31"/>
        <v>190.48</v>
      </c>
      <c r="J44" s="151">
        <f t="shared" ca="1" si="32"/>
        <v>113.01493333333343</v>
      </c>
      <c r="K44" s="151">
        <f t="shared" ca="1" si="33"/>
        <v>0</v>
      </c>
      <c r="L44" s="151">
        <f t="shared" ca="1" si="34"/>
        <v>303.49493333333339</v>
      </c>
      <c r="M44" s="2">
        <f t="shared" si="11"/>
        <v>20</v>
      </c>
      <c r="N44" s="2">
        <f ca="1">IF(M1=1,IF(M14&gt;19,1,0),IF(M1=2,IF(M14&gt;19,1,0),0))</f>
        <v>1</v>
      </c>
      <c r="O44" s="2">
        <f ca="1">IF(M44=A$14,IF(DATE(YEAR(0),MONTH(0),DAY(D$16)-1)&lt;AR44,DATE(YEAR(0),MONTH(0),DAY(D$16)-1),AR44),AR44)</f>
        <v>20</v>
      </c>
      <c r="P44" s="134">
        <f t="shared" ca="1" si="12"/>
        <v>98.887666666666632</v>
      </c>
      <c r="Q44" s="134">
        <f t="shared" ca="1" si="13"/>
        <v>98.887666666666632</v>
      </c>
      <c r="R44" s="134">
        <f t="shared" ca="1" si="14"/>
        <v>4833.2699999999986</v>
      </c>
      <c r="S44" s="134">
        <f t="shared" ca="1" si="26"/>
        <v>166.67</v>
      </c>
      <c r="T44" s="134">
        <f t="shared" ca="1" si="15"/>
        <v>166.67</v>
      </c>
      <c r="U44" s="134">
        <f t="shared" ca="1" si="35"/>
        <v>98.887666666666632</v>
      </c>
      <c r="V44" s="134">
        <f t="shared" ca="1" si="36"/>
        <v>98.887666666666632</v>
      </c>
      <c r="W44" s="134">
        <f t="shared" ca="1" si="27"/>
        <v>160</v>
      </c>
      <c r="X44" s="134">
        <f t="shared" ca="1" si="28"/>
        <v>160</v>
      </c>
      <c r="Y44" s="134">
        <f t="shared" ca="1" si="16"/>
        <v>5523.7600000000057</v>
      </c>
      <c r="Z44" s="134">
        <f t="shared" ca="1" si="37"/>
        <v>113.01493333333343</v>
      </c>
      <c r="AA44" s="134">
        <f t="shared" ca="1" si="17"/>
        <v>113.01493333333343</v>
      </c>
      <c r="AB44" s="134">
        <f ca="1">IF(R45=0,R44*Q12,(R43*20+R44*10))</f>
        <v>148331.49999999994</v>
      </c>
      <c r="AC44" s="134">
        <f t="shared" ca="1" si="18"/>
        <v>0</v>
      </c>
      <c r="AD44" s="134">
        <f t="shared" ca="1" si="19"/>
        <v>0</v>
      </c>
      <c r="AE44" s="134">
        <f t="shared" ca="1" si="30"/>
        <v>0</v>
      </c>
      <c r="AF44" s="134">
        <f t="shared" ca="1" si="20"/>
        <v>0</v>
      </c>
      <c r="AG44" s="134">
        <f t="shared" ca="1" si="29"/>
        <v>0</v>
      </c>
      <c r="AH44" s="134">
        <f t="shared" ca="1" si="21"/>
        <v>0</v>
      </c>
      <c r="AI44" s="134">
        <f t="shared" ca="1" si="3"/>
        <v>4833.2699999999986</v>
      </c>
      <c r="AJ44" s="134">
        <f ca="1">IF(N45=1,AI43*G12*20/36000+AI44*G12*10/36000,IF(N45=0,IF(N44=0,0,AI44*G12*Q12/36000+AI43*G12*20/36000+AI44*G12*10/36000)))</f>
        <v>0</v>
      </c>
      <c r="AK44" s="134">
        <f ca="1">IF(N45=1,AI43*G12*20/36000+AI44*G12*10/36000,IF(N45=0,IF(N44=0,0,AI44*G12*Q12/36000+AI43*G12*20/36000+AI44*G12*10/36000)))</f>
        <v>0</v>
      </c>
      <c r="AL44" s="132">
        <f t="shared" ca="1" si="22"/>
        <v>9</v>
      </c>
      <c r="AM44" s="132">
        <f t="shared" ca="1" si="4"/>
        <v>9</v>
      </c>
      <c r="AN44" s="2">
        <f t="shared" ca="1" si="23"/>
        <v>2025</v>
      </c>
      <c r="AO44" s="2">
        <f t="shared" ca="1" si="5"/>
        <v>2025</v>
      </c>
      <c r="AP44" s="2">
        <f t="shared" ca="1" si="6"/>
        <v>0</v>
      </c>
      <c r="AQ44" s="2">
        <f t="shared" ca="1" si="7"/>
        <v>30</v>
      </c>
      <c r="AR44" s="2">
        <f t="shared" si="8"/>
        <v>20</v>
      </c>
      <c r="AS44" s="2">
        <f t="shared" ca="1" si="24"/>
        <v>30</v>
      </c>
      <c r="AT44" s="21"/>
      <c r="AU44" s="21"/>
      <c r="AV44" s="21"/>
      <c r="AW44" s="21"/>
      <c r="AX44" s="21"/>
      <c r="AY44" s="2">
        <f t="shared" ca="1" si="25"/>
        <v>1</v>
      </c>
      <c r="AZ44" s="21"/>
      <c r="BA44" s="21"/>
      <c r="BB44" s="21"/>
      <c r="BC44" s="21"/>
      <c r="BD44" s="21"/>
      <c r="BE44" s="21"/>
      <c r="BF44" s="21"/>
      <c r="BG44" s="21"/>
      <c r="BH44" s="21"/>
      <c r="BI44" s="52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9"/>
        <v>21</v>
      </c>
      <c r="B45" s="268">
        <f ca="1">IF(N45=0,IF(N44=1,"ИТОГО"," "),DATE(YEAR(B44),MONTH(B44)+1,O45))</f>
        <v>45950</v>
      </c>
      <c r="C45" s="401"/>
      <c r="D45" s="435">
        <f ca="1">IF(N45=0,IF(N44=1,D25+D26+D27+D28+D29+D30+D31+D32+D33+D34+D35+D36+D37+D38+D39+D40+D41+D42+D43+D44," "),IF(N45=0," ",IF(N46=1,D25,IF(N46=0,D10-D25*(M14-1)," "))))</f>
        <v>166.67</v>
      </c>
      <c r="E45" s="435"/>
      <c r="F45" s="151">
        <f ca="1">IF(N45=0,IF(N44=1,F25+F26+F27+F28+F29+F30+F31+F32+F33+F34+F35+F36+F37+F38+F39+F40+F41+F42+F43+F44," "),IF(M1=1,P45,IF(M1=2,Q45," ")))</f>
        <v>95.554266666666621</v>
      </c>
      <c r="G45" s="151">
        <f ca="1">IF(N45=0,IF(N44=1,G25+G26+G27+G28+G29+G30+G31+G32+G33+G34+G35+G36+G37+G38+G39+G40+G41+G42+G43+G44," "),IF(M1=1,AC45,IF(M1=2,AD45," ")))</f>
        <v>0</v>
      </c>
      <c r="H45" s="151">
        <f t="shared" ca="1" si="10"/>
        <v>262.22426666666661</v>
      </c>
      <c r="I45" s="151">
        <f t="shared" ca="1" si="31"/>
        <v>190.48</v>
      </c>
      <c r="J45" s="151">
        <f t="shared" ca="1" si="32"/>
        <v>109.20533333333344</v>
      </c>
      <c r="K45" s="151">
        <f t="shared" ca="1" si="33"/>
        <v>0</v>
      </c>
      <c r="L45" s="151">
        <f t="shared" ca="1" si="34"/>
        <v>299.68533333333346</v>
      </c>
      <c r="M45" s="2">
        <f t="shared" si="11"/>
        <v>21</v>
      </c>
      <c r="N45" s="2">
        <f ca="1">IF(M1=1,IF(M14&gt;20,1,0),IF(M1=2,IF(M14&gt;20,1,0),0))</f>
        <v>1</v>
      </c>
      <c r="O45" s="2">
        <f ca="1">IF(M45=A$14,IF(DATE(YEAR(0),MONTH(0),DAY(D$16)-1)&lt;AR45,DATE(YEAR(0),MONTH(0),DAY(D$16)-1),AR45),AR45)</f>
        <v>20</v>
      </c>
      <c r="P45" s="134">
        <f t="shared" ca="1" si="12"/>
        <v>95.554266666666621</v>
      </c>
      <c r="Q45" s="134">
        <f t="shared" ca="1" si="13"/>
        <v>95.554266666666621</v>
      </c>
      <c r="R45" s="134">
        <f t="shared" ca="1" si="14"/>
        <v>4666.5999999999985</v>
      </c>
      <c r="S45" s="134">
        <f t="shared" ca="1" si="26"/>
        <v>166.67</v>
      </c>
      <c r="T45" s="134">
        <f t="shared" ca="1" si="15"/>
        <v>166.67</v>
      </c>
      <c r="U45" s="134">
        <f t="shared" ca="1" si="35"/>
        <v>95.554266666666621</v>
      </c>
      <c r="V45" s="134">
        <f t="shared" ca="1" si="36"/>
        <v>95.554266666666621</v>
      </c>
      <c r="W45" s="134">
        <f t="shared" ca="1" si="27"/>
        <v>160</v>
      </c>
      <c r="X45" s="134">
        <f t="shared" ca="1" si="28"/>
        <v>160</v>
      </c>
      <c r="Y45" s="134">
        <f t="shared" ca="1" si="16"/>
        <v>5333.2800000000061</v>
      </c>
      <c r="Z45" s="134">
        <f t="shared" ca="1" si="37"/>
        <v>109.20533333333344</v>
      </c>
      <c r="AA45" s="134">
        <f t="shared" ca="1" si="17"/>
        <v>109.20533333333344</v>
      </c>
      <c r="AB45" s="134">
        <f ca="1">IF(R46=0,R45*Q12,(R44*20+R45*10))</f>
        <v>143331.39999999997</v>
      </c>
      <c r="AC45" s="134">
        <f t="shared" ca="1" si="18"/>
        <v>0</v>
      </c>
      <c r="AD45" s="134">
        <f t="shared" ca="1" si="19"/>
        <v>0</v>
      </c>
      <c r="AE45" s="134">
        <f t="shared" ca="1" si="30"/>
        <v>0</v>
      </c>
      <c r="AF45" s="134">
        <f t="shared" ca="1" si="20"/>
        <v>0</v>
      </c>
      <c r="AG45" s="134">
        <f t="shared" ca="1" si="29"/>
        <v>0</v>
      </c>
      <c r="AH45" s="134">
        <f t="shared" ca="1" si="21"/>
        <v>0</v>
      </c>
      <c r="AI45" s="134">
        <f t="shared" ca="1" si="3"/>
        <v>4666.5999999999985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22"/>
        <v>10</v>
      </c>
      <c r="AM45" s="132">
        <f t="shared" ca="1" si="4"/>
        <v>10</v>
      </c>
      <c r="AN45" s="2">
        <f t="shared" ca="1" si="23"/>
        <v>2025</v>
      </c>
      <c r="AO45" s="2">
        <f t="shared" ca="1" si="5"/>
        <v>2025</v>
      </c>
      <c r="AP45" s="2">
        <f t="shared" ca="1" si="6"/>
        <v>0</v>
      </c>
      <c r="AQ45" s="2">
        <f t="shared" ca="1" si="7"/>
        <v>30</v>
      </c>
      <c r="AR45" s="2">
        <f t="shared" si="8"/>
        <v>20</v>
      </c>
      <c r="AS45" s="2">
        <f t="shared" ca="1" si="24"/>
        <v>30</v>
      </c>
      <c r="AT45" s="21"/>
      <c r="AU45" s="21"/>
      <c r="AV45" s="21"/>
      <c r="AW45" s="21"/>
      <c r="AX45" s="21"/>
      <c r="AY45" s="2">
        <f t="shared" ca="1" si="25"/>
        <v>1</v>
      </c>
      <c r="AZ45" s="21"/>
      <c r="BA45" s="21"/>
      <c r="BB45" s="21"/>
      <c r="BC45" s="21"/>
      <c r="BD45" s="21"/>
      <c r="BE45" s="21"/>
      <c r="BF45" s="21"/>
      <c r="BG45" s="21"/>
      <c r="BH45" s="21"/>
      <c r="BI45" s="52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9"/>
        <v>22</v>
      </c>
      <c r="B46" s="268">
        <f ca="1">IF(N46=0,IF(N45=1,"ИТОГО"," "),DATE(YEAR(B45),MONTH(B45)+1,O46))</f>
        <v>45981</v>
      </c>
      <c r="C46" s="401"/>
      <c r="D46" s="435">
        <f ca="1">IF(N46=0,IF(N45=1,D25+D26+D27+D28+D29+D30+D31+D32+D33+D34+D35+D36+D37+D38+D39+D40+D41+D42+D43+D44+D45," "),IF(N46=0," ",IF(N47=1,D25,IF(N47=0,D10-D25*(M14-1)," "))))</f>
        <v>166.67</v>
      </c>
      <c r="E46" s="435"/>
      <c r="F46" s="151">
        <f ca="1">IF(N46=0,IF(N45=1,F25+F26+F27+F28+F29+F30+F31+F32+F33+F34+F35+F36+F37+F38+F39+F40+F41+F42+F43+F44+F45," "),IF(M1=1,P46,IF(M1=2,Q46," ")))</f>
        <v>92.220866666666637</v>
      </c>
      <c r="G46" s="151">
        <f ca="1">IF(N46=0,IF(N45=1,G25+G26+G27+G28+G29+G30+G31+G32+G33+G34+G35+G36+G37+G38+G39+G40+G41+G42+G43+G44+G45," "),IF(M1=1,AC46,IF(M1=2,AD46," ")))</f>
        <v>0</v>
      </c>
      <c r="H46" s="151">
        <f t="shared" ca="1" si="10"/>
        <v>258.89086666666662</v>
      </c>
      <c r="I46" s="151">
        <f t="shared" ca="1" si="31"/>
        <v>190.48</v>
      </c>
      <c r="J46" s="151">
        <f t="shared" ca="1" si="32"/>
        <v>105.39573333333345</v>
      </c>
      <c r="K46" s="151">
        <f t="shared" ca="1" si="33"/>
        <v>0</v>
      </c>
      <c r="L46" s="151">
        <f t="shared" ca="1" si="34"/>
        <v>295.87573333333341</v>
      </c>
      <c r="M46" s="2">
        <f t="shared" si="11"/>
        <v>22</v>
      </c>
      <c r="N46" s="2">
        <f ca="1">IF(M1=1,IF(M14&gt;21,1,0),IF(M1=2,IF(M14&gt;21,1,0),0))</f>
        <v>1</v>
      </c>
      <c r="O46" s="2">
        <f ca="1">IF(M46=A$14,IF(DATE(YEAR(0),MONTH(0),DAY(D$16)-1)&lt;AR46,DATE(YEAR(0),MONTH(0),DAY(D$16)-1),AR46),AR46)</f>
        <v>20</v>
      </c>
      <c r="P46" s="134">
        <f t="shared" ca="1" si="12"/>
        <v>92.220866666666637</v>
      </c>
      <c r="Q46" s="134">
        <f t="shared" ca="1" si="13"/>
        <v>92.220866666666637</v>
      </c>
      <c r="R46" s="134">
        <f t="shared" ca="1" si="14"/>
        <v>4499.9299999999985</v>
      </c>
      <c r="S46" s="134">
        <f t="shared" ca="1" si="26"/>
        <v>166.67</v>
      </c>
      <c r="T46" s="134">
        <f t="shared" ca="1" si="15"/>
        <v>166.67</v>
      </c>
      <c r="U46" s="134">
        <f t="shared" ca="1" si="35"/>
        <v>92.220866666666637</v>
      </c>
      <c r="V46" s="134">
        <f t="shared" ca="1" si="36"/>
        <v>92.220866666666637</v>
      </c>
      <c r="W46" s="134">
        <f t="shared" ca="1" si="27"/>
        <v>160</v>
      </c>
      <c r="X46" s="134">
        <f t="shared" ca="1" si="28"/>
        <v>160</v>
      </c>
      <c r="Y46" s="134">
        <f t="shared" ca="1" si="16"/>
        <v>5142.8000000000065</v>
      </c>
      <c r="Z46" s="134">
        <f t="shared" ca="1" si="37"/>
        <v>105.39573333333345</v>
      </c>
      <c r="AA46" s="134">
        <f t="shared" ca="1" si="17"/>
        <v>105.39573333333345</v>
      </c>
      <c r="AB46" s="134">
        <f ca="1">IF(R47=0,R46*Q12,(R45*20+R46*10))</f>
        <v>138331.29999999996</v>
      </c>
      <c r="AC46" s="134">
        <f t="shared" ca="1" si="18"/>
        <v>0</v>
      </c>
      <c r="AD46" s="134">
        <f t="shared" ca="1" si="19"/>
        <v>0</v>
      </c>
      <c r="AE46" s="134">
        <f t="shared" ca="1" si="30"/>
        <v>0</v>
      </c>
      <c r="AF46" s="134">
        <f t="shared" ca="1" si="20"/>
        <v>0</v>
      </c>
      <c r="AG46" s="134">
        <f t="shared" ca="1" si="29"/>
        <v>0</v>
      </c>
      <c r="AH46" s="134">
        <f t="shared" ca="1" si="21"/>
        <v>0</v>
      </c>
      <c r="AI46" s="134">
        <f t="shared" ca="1" si="3"/>
        <v>4499.9299999999985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22"/>
        <v>11</v>
      </c>
      <c r="AM46" s="132">
        <f t="shared" ca="1" si="4"/>
        <v>11</v>
      </c>
      <c r="AN46" s="2">
        <f t="shared" ca="1" si="23"/>
        <v>2025</v>
      </c>
      <c r="AO46" s="2">
        <f t="shared" ca="1" si="5"/>
        <v>2025</v>
      </c>
      <c r="AP46" s="2">
        <f t="shared" ca="1" si="6"/>
        <v>0</v>
      </c>
      <c r="AQ46" s="2">
        <f t="shared" ca="1" si="7"/>
        <v>30</v>
      </c>
      <c r="AR46" s="2">
        <f t="shared" si="8"/>
        <v>20</v>
      </c>
      <c r="AS46" s="2">
        <f t="shared" ca="1" si="24"/>
        <v>30</v>
      </c>
      <c r="AT46" s="21"/>
      <c r="AU46" s="21"/>
      <c r="AV46" s="21"/>
      <c r="AW46" s="21"/>
      <c r="AX46" s="21"/>
      <c r="AY46" s="2">
        <f t="shared" ca="1" si="25"/>
        <v>1</v>
      </c>
      <c r="AZ46" s="21"/>
      <c r="BA46" s="21"/>
      <c r="BB46" s="21"/>
      <c r="BC46" s="21"/>
      <c r="BD46" s="21"/>
      <c r="BE46" s="21"/>
      <c r="BF46" s="21"/>
      <c r="BG46" s="21"/>
      <c r="BH46" s="21"/>
      <c r="BI46" s="52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9"/>
        <v>23</v>
      </c>
      <c r="B47" s="268">
        <f ca="1">IF(N47=0,IF(N46=1,"ИТОГО"," "),DATE(YEAR(B46),MONTH(B46)+1,O47))</f>
        <v>46011</v>
      </c>
      <c r="C47" s="401"/>
      <c r="D47" s="435">
        <f ca="1">IF(N47=0,IF(N46=1,D25+D26+D27+D28+D29+D30+D31+D32+D33+D34+D35+D36+D37+D38+D39+D40+D41+D42+D43+D44+D45+D46," "),IF(N47=0," ",IF(N48=1,D25,IF(N48=0,D10-D25*(M14-1)," "))))</f>
        <v>166.67</v>
      </c>
      <c r="E47" s="435"/>
      <c r="F47" s="151">
        <f ca="1">IF(N47=0,IF(N46=1,F25+F26+F27+F28+F29+F30+F31+F32+F33+F34+F35+F36+F37+F38+F39+F40+F41+F42+F43+F44+F45+F46," "),IF(M1=1,P47,IF(M1=2,Q47," ")))</f>
        <v>88.88746666666664</v>
      </c>
      <c r="G47" s="151">
        <f ca="1">IF(N47=0,IF(N46=1,G25+G26+G27+G28+G29+G30+G31+G32+G33+G34+G35+G36+G37+G38+G39+G40+G41+G42+G43+G44+G45+G46," "),IF(M1=1,AC47,IF(M1=2,AD47," ")))</f>
        <v>0</v>
      </c>
      <c r="H47" s="151">
        <f t="shared" ca="1" si="10"/>
        <v>255.55746666666664</v>
      </c>
      <c r="I47" s="151">
        <f t="shared" ca="1" si="31"/>
        <v>190.48</v>
      </c>
      <c r="J47" s="151">
        <f t="shared" ca="1" si="32"/>
        <v>101.58613333333346</v>
      </c>
      <c r="K47" s="151">
        <f t="shared" ca="1" si="33"/>
        <v>0</v>
      </c>
      <c r="L47" s="151">
        <f t="shared" ca="1" si="34"/>
        <v>292.06613333333348</v>
      </c>
      <c r="M47" s="2">
        <f t="shared" si="11"/>
        <v>23</v>
      </c>
      <c r="N47" s="2">
        <f ca="1">IF(M1=1,IF(M14&gt;22,1,0),IF(M1=2,IF(M14&gt;22,1,0),0))</f>
        <v>1</v>
      </c>
      <c r="O47" s="2">
        <f ca="1">IF(M47=A$14,IF(DATE(YEAR(0),MONTH(0),DAY(D$16)-1)&lt;AR47,DATE(YEAR(0),MONTH(0),DAY(D$16)-1),AR47),AR47)</f>
        <v>20</v>
      </c>
      <c r="P47" s="134">
        <f t="shared" ca="1" si="12"/>
        <v>88.88746666666664</v>
      </c>
      <c r="Q47" s="134">
        <f t="shared" ca="1" si="13"/>
        <v>88.88746666666664</v>
      </c>
      <c r="R47" s="134">
        <f t="shared" ca="1" si="14"/>
        <v>4333.2599999999984</v>
      </c>
      <c r="S47" s="134">
        <f t="shared" ca="1" si="26"/>
        <v>166.67</v>
      </c>
      <c r="T47" s="134">
        <f t="shared" ca="1" si="15"/>
        <v>166.67</v>
      </c>
      <c r="U47" s="134">
        <f t="shared" ca="1" si="35"/>
        <v>88.88746666666664</v>
      </c>
      <c r="V47" s="134">
        <f t="shared" ca="1" si="36"/>
        <v>88.88746666666664</v>
      </c>
      <c r="W47" s="134">
        <f t="shared" ca="1" si="27"/>
        <v>160</v>
      </c>
      <c r="X47" s="134">
        <f t="shared" ca="1" si="28"/>
        <v>160</v>
      </c>
      <c r="Y47" s="134">
        <f t="shared" ca="1" si="16"/>
        <v>4952.320000000007</v>
      </c>
      <c r="Z47" s="134">
        <f t="shared" ca="1" si="37"/>
        <v>101.58613333333346</v>
      </c>
      <c r="AA47" s="134">
        <f t="shared" ca="1" si="17"/>
        <v>101.58613333333346</v>
      </c>
      <c r="AB47" s="134">
        <f ca="1">IF(R48=0,R47*Q12,(R46*20+R47*10))</f>
        <v>133331.19999999995</v>
      </c>
      <c r="AC47" s="134">
        <f t="shared" ca="1" si="18"/>
        <v>0</v>
      </c>
      <c r="AD47" s="134">
        <f t="shared" ca="1" si="19"/>
        <v>0</v>
      </c>
      <c r="AE47" s="134">
        <f t="shared" ca="1" si="30"/>
        <v>0</v>
      </c>
      <c r="AF47" s="134">
        <f t="shared" ca="1" si="20"/>
        <v>0</v>
      </c>
      <c r="AG47" s="134">
        <f t="shared" ca="1" si="29"/>
        <v>0</v>
      </c>
      <c r="AH47" s="134">
        <f t="shared" ca="1" si="21"/>
        <v>0</v>
      </c>
      <c r="AI47" s="134">
        <f t="shared" ca="1" si="3"/>
        <v>4333.2599999999984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22"/>
        <v>12</v>
      </c>
      <c r="AM47" s="132">
        <f t="shared" ca="1" si="4"/>
        <v>12</v>
      </c>
      <c r="AN47" s="2">
        <f t="shared" ca="1" si="23"/>
        <v>2025</v>
      </c>
      <c r="AO47" s="2">
        <f t="shared" ca="1" si="5"/>
        <v>2025</v>
      </c>
      <c r="AP47" s="2">
        <f t="shared" ca="1" si="6"/>
        <v>0</v>
      </c>
      <c r="AQ47" s="2">
        <f t="shared" ca="1" si="7"/>
        <v>30</v>
      </c>
      <c r="AR47" s="2">
        <f t="shared" si="8"/>
        <v>20</v>
      </c>
      <c r="AS47" s="2">
        <f t="shared" ca="1" si="24"/>
        <v>30</v>
      </c>
      <c r="AT47" s="21"/>
      <c r="AU47" s="21"/>
      <c r="AV47" s="21"/>
      <c r="AW47" s="21"/>
      <c r="AX47" s="21"/>
      <c r="AY47" s="2">
        <f t="shared" ca="1" si="25"/>
        <v>1</v>
      </c>
      <c r="AZ47" s="21"/>
      <c r="BA47" s="21"/>
      <c r="BB47" s="21"/>
      <c r="BC47" s="21"/>
      <c r="BD47" s="21"/>
      <c r="BE47" s="21"/>
      <c r="BF47" s="21"/>
      <c r="BG47" s="21"/>
      <c r="BH47" s="21"/>
      <c r="BI47" s="52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9"/>
        <v>24</v>
      </c>
      <c r="B48" s="268">
        <f ca="1">IF(N48=0,IF(N47=1,"ИТОГО"," "),DATE(YEAR(B47),MONTH(B47)+1,O48))</f>
        <v>46042</v>
      </c>
      <c r="C48" s="401"/>
      <c r="D48" s="435">
        <f ca="1">IF(N48=0,IF(N47=1,SUM(D$25:E47)," "),IF(N48=0," ",IF(N49=1,D$25,IF(N49=0,D$10-D$25*(M$14-1)," "))))</f>
        <v>166.67</v>
      </c>
      <c r="E48" s="435"/>
      <c r="F48" s="151">
        <f ca="1">IF(N48=0,IF(N47=1,SUM(F$25:F47)," "),IF(M$1=1,P48,IF(M$1=2,Q48," ")))</f>
        <v>85.554066666666643</v>
      </c>
      <c r="G48" s="151">
        <f ca="1">IF(N48=0,IF(N47=1,SUM(G$25:G47)," "),IF(M$1=1,AC48,IF(M$1=2,AD48," ")))</f>
        <v>0</v>
      </c>
      <c r="H48" s="151">
        <f t="shared" ca="1" si="10"/>
        <v>252.22406666666663</v>
      </c>
      <c r="I48" s="151">
        <f t="shared" ca="1" si="31"/>
        <v>190.48</v>
      </c>
      <c r="J48" s="151">
        <f t="shared" ca="1" si="32"/>
        <v>97.776533333333475</v>
      </c>
      <c r="K48" s="151">
        <f t="shared" ca="1" si="33"/>
        <v>0</v>
      </c>
      <c r="L48" s="151">
        <f t="shared" ca="1" si="34"/>
        <v>288.25653333333344</v>
      </c>
      <c r="M48" s="2">
        <f t="shared" si="11"/>
        <v>24</v>
      </c>
      <c r="N48" s="2">
        <f t="shared" ref="N48:N85" ca="1" si="38">IF(M$1=1,IF(M$14&gt;M47,1,0),IF(M$1=2,IF(M$14&gt;M47,1,0),0))</f>
        <v>1</v>
      </c>
      <c r="O48" s="2">
        <f ca="1">IF(M48=A$14,IF(DATE(YEAR(0),MONTH(0),DAY(D$16)-1)&lt;AR48,DATE(YEAR(0),MONTH(0),DAY(D$16)-1),AR48),AR48)</f>
        <v>20</v>
      </c>
      <c r="P48" s="134">
        <f t="shared" ca="1" si="12"/>
        <v>85.554066666666643</v>
      </c>
      <c r="Q48" s="134">
        <f t="shared" ca="1" si="13"/>
        <v>85.554066666666643</v>
      </c>
      <c r="R48" s="134">
        <f t="shared" ca="1" si="14"/>
        <v>4166.5899999999983</v>
      </c>
      <c r="S48" s="134">
        <f t="shared" ca="1" si="26"/>
        <v>166.67</v>
      </c>
      <c r="T48" s="134">
        <f t="shared" ca="1" si="15"/>
        <v>166.67</v>
      </c>
      <c r="U48" s="134">
        <f ca="1">IF(N49=1,R47*D$11*20/36000+R48*D$11*10/36000,IF(N49=0,IF(N48=0,0,IF(DAY(D$16)&gt;20,R47*D$11*20/36000+R48*D$11*(Q$12-20)/36000,R48*D11*Q12/36000+R47*D11*20/36000+R48*D11*10/36000))))</f>
        <v>85.554066666666643</v>
      </c>
      <c r="V48" s="134">
        <f ca="1">IF(N49=1,R47*D$11*20/36000+R48*D$11*10/36000,IF(N49=0,IF(N48=0,0,IF(DAY(D$16)&gt;20,R47*D$11*20/36000+R48*D$11*(Q$12-20)/36000,R48*D11*Q12/36000+R47*D11*20/36000+R48*D11*10/36000))))</f>
        <v>85.554066666666643</v>
      </c>
      <c r="W48" s="134">
        <f t="shared" ca="1" si="27"/>
        <v>160</v>
      </c>
      <c r="X48" s="134">
        <f t="shared" ca="1" si="28"/>
        <v>160</v>
      </c>
      <c r="Y48" s="134">
        <f t="shared" ca="1" si="16"/>
        <v>4761.8400000000074</v>
      </c>
      <c r="Z48" s="134">
        <f t="shared" ca="1" si="37"/>
        <v>97.776533333333475</v>
      </c>
      <c r="AA48" s="134">
        <f t="shared" ca="1" si="17"/>
        <v>97.776533333333475</v>
      </c>
      <c r="AB48" s="134">
        <f t="shared" ref="AB48:AB72" ca="1" si="39">IF(R49=0,R48*Q$12,(R47*20+R48*10))</f>
        <v>128331.09999999995</v>
      </c>
      <c r="AC48" s="134">
        <f t="shared" ca="1" si="18"/>
        <v>0</v>
      </c>
      <c r="AD48" s="134">
        <f t="shared" ca="1" si="19"/>
        <v>0</v>
      </c>
      <c r="AE48" s="134">
        <f t="shared" ca="1" si="30"/>
        <v>0</v>
      </c>
      <c r="AF48" s="134">
        <f t="shared" ca="1" si="20"/>
        <v>0</v>
      </c>
      <c r="AG48" s="134">
        <f t="shared" ca="1" si="29"/>
        <v>0</v>
      </c>
      <c r="AH48" s="134">
        <f t="shared" ca="1" si="21"/>
        <v>0</v>
      </c>
      <c r="AI48" s="134">
        <f t="shared" ca="1" si="3"/>
        <v>4166.5899999999983</v>
      </c>
      <c r="AJ48" s="134">
        <f ca="1">IF(N49=1,AI47*G$12*20/36000+AI48*G$12*10/36000,IF(N49=0,IF(N48=0,0,AI48*G$12*Q$12/36000+AI47*G$12*20/36000+AI48*G$12*10/36000)))</f>
        <v>0</v>
      </c>
      <c r="AK48" s="134">
        <f ca="1">IF(N49=1,AI47*G$12*20/36000+AI48*G$12*10/36000,IF(N49=0,IF(N48=0,0,AI48*G$12*Q$12/36000+AI47*G$12*20/36000+AI48*G$12*10/36000)))</f>
        <v>0</v>
      </c>
      <c r="AL48" s="132">
        <f t="shared" ca="1" si="22"/>
        <v>13</v>
      </c>
      <c r="AM48" s="132">
        <f t="shared" ca="1" si="4"/>
        <v>1</v>
      </c>
      <c r="AN48" s="2">
        <f t="shared" ca="1" si="23"/>
        <v>2025</v>
      </c>
      <c r="AO48" s="2">
        <f t="shared" ca="1" si="5"/>
        <v>2026</v>
      </c>
      <c r="AP48" s="2">
        <f t="shared" ca="1" si="6"/>
        <v>0</v>
      </c>
      <c r="AQ48" s="2">
        <f t="shared" ca="1" si="7"/>
        <v>30</v>
      </c>
      <c r="AR48" s="2">
        <f t="shared" si="8"/>
        <v>20</v>
      </c>
      <c r="AS48" s="2">
        <f t="shared" ca="1" si="24"/>
        <v>30</v>
      </c>
      <c r="AT48" s="21"/>
      <c r="AU48" s="21"/>
      <c r="AV48" s="21"/>
      <c r="AW48" s="21"/>
      <c r="AX48" s="21"/>
      <c r="AY48" s="2">
        <f t="shared" ca="1" si="25"/>
        <v>1</v>
      </c>
      <c r="AZ48" s="21"/>
      <c r="BA48" s="21"/>
      <c r="BB48" s="21"/>
      <c r="BC48" s="21"/>
      <c r="BD48" s="21"/>
      <c r="BE48" s="21"/>
      <c r="BF48" s="21"/>
      <c r="BG48" s="21"/>
      <c r="BH48" s="21"/>
      <c r="BI48" s="52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ca="1">IF(N49=0,IF(N48=1,"ИТОГО"," "),IF(M49=M14,DATE(YEAR(B48),MONTH(B48),O49),DATE(YEAR(B48),MONTH(B48)+1,O49)))</f>
        <v>46073</v>
      </c>
      <c r="C49" s="401"/>
      <c r="D49" s="435">
        <f ca="1">IF(N49=0,IF(N48=1,SUM(D$25:E48)," "),IF(N49=0," ",IF(N50=1,D$25,IF(N50=0,D$10-D$25*(M$14-1)," "))))</f>
        <v>166.67</v>
      </c>
      <c r="E49" s="435"/>
      <c r="F49" s="151">
        <f ca="1">IF(N49=0,IF(N48=1,SUM(F$25:F48)," "),IF(M$1=1,P49,IF(M$1=2,Q49," ")))</f>
        <v>82.220666666666631</v>
      </c>
      <c r="G49" s="151">
        <f ca="1">IF(N49=0,IF(N48=1,SUM(G$25:G48)," "),IF(M$1=1,AC49,IF(M$1=2,AD49," ")))</f>
        <v>0</v>
      </c>
      <c r="H49" s="151">
        <f t="shared" ca="1" si="10"/>
        <v>248.89066666666662</v>
      </c>
      <c r="I49" s="151">
        <f t="shared" ca="1" si="31"/>
        <v>190.48</v>
      </c>
      <c r="J49" s="151">
        <f t="shared" ca="1" si="32"/>
        <v>93.966933333333486</v>
      </c>
      <c r="K49" s="151">
        <f t="shared" ca="1" si="33"/>
        <v>0</v>
      </c>
      <c r="L49" s="151">
        <f t="shared" ca="1" si="34"/>
        <v>284.4469333333335</v>
      </c>
      <c r="M49" s="2">
        <v>25</v>
      </c>
      <c r="N49" s="2">
        <f t="shared" ca="1" si="38"/>
        <v>1</v>
      </c>
      <c r="O49" s="2">
        <f ca="1">IF(M49=A$14,IF(MONTH(B48)=-2,AS49,DATE(YEAR(0),MONTH(0),DAY(D$16)-1)),AR49)</f>
        <v>20</v>
      </c>
      <c r="P49" s="134">
        <f t="shared" ca="1" si="12"/>
        <v>82.220666666666631</v>
      </c>
      <c r="Q49" s="134">
        <f t="shared" ca="1" si="13"/>
        <v>82.220666666666631</v>
      </c>
      <c r="R49" s="134">
        <f t="shared" ca="1" si="14"/>
        <v>3999.9199999999983</v>
      </c>
      <c r="S49" s="134">
        <f t="shared" ca="1" si="26"/>
        <v>166.67</v>
      </c>
      <c r="T49" s="134">
        <f t="shared" ca="1" si="15"/>
        <v>166.67</v>
      </c>
      <c r="U49" s="134">
        <f t="shared" ca="1" si="35"/>
        <v>82.220666666666631</v>
      </c>
      <c r="V49" s="134">
        <f t="shared" ca="1" si="36"/>
        <v>82.220666666666631</v>
      </c>
      <c r="W49" s="134">
        <f t="shared" ca="1" si="27"/>
        <v>160</v>
      </c>
      <c r="X49" s="134">
        <f t="shared" ca="1" si="28"/>
        <v>160</v>
      </c>
      <c r="Y49" s="134">
        <f t="shared" ca="1" si="16"/>
        <v>4571.3600000000079</v>
      </c>
      <c r="Z49" s="134">
        <f t="shared" ca="1" si="37"/>
        <v>93.966933333333486</v>
      </c>
      <c r="AA49" s="134">
        <f t="shared" ca="1" si="17"/>
        <v>93.966933333333486</v>
      </c>
      <c r="AB49" s="134">
        <f t="shared" ca="1" si="39"/>
        <v>123330.99999999994</v>
      </c>
      <c r="AC49" s="134">
        <f t="shared" ca="1" si="18"/>
        <v>0</v>
      </c>
      <c r="AD49" s="134">
        <f t="shared" ca="1" si="19"/>
        <v>0</v>
      </c>
      <c r="AE49" s="134">
        <f t="shared" ca="1" si="30"/>
        <v>0</v>
      </c>
      <c r="AF49" s="134">
        <f t="shared" ca="1" si="20"/>
        <v>0</v>
      </c>
      <c r="AG49" s="134">
        <f t="shared" ca="1" si="29"/>
        <v>0</v>
      </c>
      <c r="AH49" s="134">
        <f t="shared" ca="1" si="21"/>
        <v>0</v>
      </c>
      <c r="AI49" s="134">
        <f t="shared" ca="1" si="3"/>
        <v>3999.9199999999983</v>
      </c>
      <c r="AJ49" s="134">
        <f ca="1">IF(N50=1,AI48*G$12*20/36000+AI49*G$12*10/36000,IF(N50=0,IF(N49=0,0,AI49*G$12*Q$12/36000)))</f>
        <v>0</v>
      </c>
      <c r="AK49" s="134">
        <f ca="1">IF(N50=1,AI48*G$12*20/36000+AI49*G$12*10/36000,IF(N50=0,IF(N49=0,0,AI49*G$12*Q$12/36000)))</f>
        <v>0</v>
      </c>
      <c r="AL49" s="132">
        <f t="shared" ca="1" si="22"/>
        <v>2</v>
      </c>
      <c r="AM49" s="132">
        <f t="shared" ca="1" si="4"/>
        <v>2</v>
      </c>
      <c r="AN49" s="2">
        <f t="shared" ca="1" si="23"/>
        <v>2026</v>
      </c>
      <c r="AO49" s="2">
        <f t="shared" ca="1" si="5"/>
        <v>2026</v>
      </c>
      <c r="AP49" s="2">
        <f t="shared" ca="1" si="6"/>
        <v>0</v>
      </c>
      <c r="AQ49" s="2">
        <f t="shared" ca="1" si="7"/>
        <v>28</v>
      </c>
      <c r="AR49" s="2">
        <f t="shared" si="8"/>
        <v>20</v>
      </c>
      <c r="AS49" s="2">
        <f t="shared" ca="1" si="24"/>
        <v>30</v>
      </c>
      <c r="AT49" s="2"/>
      <c r="AU49" s="2"/>
      <c r="AV49" s="2"/>
      <c r="AW49" s="2"/>
      <c r="AX49" s="2"/>
      <c r="AY49" s="2">
        <f t="shared" ca="1" si="25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51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ref="B50:B60" ca="1" si="40">IF(N50=0,IF(N49=1,"ИТОГО"," "),DATE(YEAR(B49),MONTH(B49)+1,O50))</f>
        <v>46101</v>
      </c>
      <c r="C50" s="401"/>
      <c r="D50" s="435">
        <f ca="1">IF(N50=0,IF(N49=1,SUM(D$25:E49)," "),IF(N50=0," ",IF(N51=1,D$25,IF(N51=0,D$10-D$25*(M$14-1)," "))))</f>
        <v>166.67</v>
      </c>
      <c r="E50" s="435"/>
      <c r="F50" s="151">
        <f ca="1">IF(N50=0,IF(N49=1,SUM(F$25:F49)," "),IF(M$1=1,P50,IF(M$1=2,Q50," ")))</f>
        <v>78.887266666666619</v>
      </c>
      <c r="G50" s="151">
        <f ca="1">IF(N50=0,IF(N49=1,SUM(G$25:G49)," "),IF(M$1=1,AC50,IF(M$1=2,AD50," ")))</f>
        <v>0</v>
      </c>
      <c r="H50" s="151">
        <f t="shared" ca="1" si="10"/>
        <v>245.55726666666661</v>
      </c>
      <c r="I50" s="151">
        <f t="shared" ca="1" si="31"/>
        <v>190.48</v>
      </c>
      <c r="J50" s="151">
        <f t="shared" ca="1" si="32"/>
        <v>90.157333333333497</v>
      </c>
      <c r="K50" s="151">
        <f t="shared" ca="1" si="33"/>
        <v>0</v>
      </c>
      <c r="L50" s="151">
        <f t="shared" ca="1" si="34"/>
        <v>280.63733333333346</v>
      </c>
      <c r="M50" s="2">
        <v>26</v>
      </c>
      <c r="N50" s="2">
        <f t="shared" ca="1" si="38"/>
        <v>1</v>
      </c>
      <c r="O50" s="2">
        <f t="shared" ref="O50:O60" ca="1" si="41">IF(M50=A$14,IF(DATE(YEAR(0),MONTH(0),DAY(D$16)-1)&lt;AR50,DATE(YEAR(0),MONTH(0),DAY(D$16)-1),AR50),AR50)</f>
        <v>20</v>
      </c>
      <c r="P50" s="134">
        <f t="shared" ca="1" si="12"/>
        <v>78.887266666666619</v>
      </c>
      <c r="Q50" s="134">
        <f t="shared" ca="1" si="13"/>
        <v>78.887266666666619</v>
      </c>
      <c r="R50" s="134">
        <f t="shared" ca="1" si="14"/>
        <v>3833.2499999999982</v>
      </c>
      <c r="S50" s="134">
        <f t="shared" ca="1" si="26"/>
        <v>166.67</v>
      </c>
      <c r="T50" s="134">
        <f t="shared" ca="1" si="15"/>
        <v>166.67</v>
      </c>
      <c r="U50" s="134">
        <f t="shared" ca="1" si="35"/>
        <v>78.887266666666619</v>
      </c>
      <c r="V50" s="134">
        <f t="shared" ca="1" si="36"/>
        <v>78.887266666666619</v>
      </c>
      <c r="W50" s="134">
        <f t="shared" ca="1" si="27"/>
        <v>160</v>
      </c>
      <c r="X50" s="134">
        <f t="shared" ca="1" si="28"/>
        <v>160</v>
      </c>
      <c r="Y50" s="134">
        <f t="shared" ca="1" si="16"/>
        <v>4380.8800000000083</v>
      </c>
      <c r="Z50" s="134">
        <f t="shared" ca="1" si="37"/>
        <v>90.157333333333497</v>
      </c>
      <c r="AA50" s="134">
        <f t="shared" ca="1" si="17"/>
        <v>90.157333333333497</v>
      </c>
      <c r="AB50" s="134">
        <f t="shared" ca="1" si="39"/>
        <v>118330.89999999995</v>
      </c>
      <c r="AC50" s="134">
        <f t="shared" ca="1" si="18"/>
        <v>0</v>
      </c>
      <c r="AD50" s="134">
        <f t="shared" ca="1" si="19"/>
        <v>0</v>
      </c>
      <c r="AE50" s="134">
        <f t="shared" ca="1" si="30"/>
        <v>0</v>
      </c>
      <c r="AF50" s="134">
        <f t="shared" ca="1" si="20"/>
        <v>0</v>
      </c>
      <c r="AG50" s="134">
        <f t="shared" ca="1" si="29"/>
        <v>0</v>
      </c>
      <c r="AH50" s="134">
        <f t="shared" ca="1" si="21"/>
        <v>0</v>
      </c>
      <c r="AI50" s="134">
        <f t="shared" ca="1" si="3"/>
        <v>3833.2499999999982</v>
      </c>
      <c r="AJ50" s="134">
        <f t="shared" ref="AJ50:AJ60" ca="1" si="42">IF(N51=1,AI49*G$12*20/36000+AI50*G$12*10/36000,IF(N51=0,IF(N50=0,0,AI50*G$12*Q$12/36000+AI49*G$12*20/36000+AI50*G$12*10/36000)))</f>
        <v>0</v>
      </c>
      <c r="AK50" s="134">
        <f t="shared" ref="AK50:AK60" ca="1" si="43">IF(N51=1,AI49*G$12*20/36000+AI50*G$12*10/36000,IF(N51=0,IF(N50=0,0,AI50*G$12*Q$12/36000+AI49*G$12*20/36000+AI50*G$12*10/36000)))</f>
        <v>0</v>
      </c>
      <c r="AL50" s="132">
        <f t="shared" ca="1" si="22"/>
        <v>3</v>
      </c>
      <c r="AM50" s="132">
        <f t="shared" ca="1" si="4"/>
        <v>3</v>
      </c>
      <c r="AN50" s="2">
        <f t="shared" ca="1" si="23"/>
        <v>2026</v>
      </c>
      <c r="AO50" s="2">
        <f t="shared" ca="1" si="5"/>
        <v>2026</v>
      </c>
      <c r="AP50" s="2">
        <f t="shared" ca="1" si="6"/>
        <v>0</v>
      </c>
      <c r="AQ50" s="2">
        <f t="shared" ca="1" si="7"/>
        <v>30</v>
      </c>
      <c r="AR50" s="2">
        <f t="shared" si="8"/>
        <v>20</v>
      </c>
      <c r="AS50" s="2">
        <f t="shared" ca="1" si="24"/>
        <v>28</v>
      </c>
      <c r="AT50" s="21"/>
      <c r="AU50" s="21"/>
      <c r="AV50" s="21"/>
      <c r="AW50" s="21"/>
      <c r="AX50" s="21"/>
      <c r="AY50" s="2">
        <f t="shared" ca="1" si="25"/>
        <v>1</v>
      </c>
      <c r="AZ50" s="21"/>
      <c r="BA50" s="21"/>
      <c r="BB50" s="21"/>
      <c r="BC50" s="21"/>
      <c r="BD50" s="21"/>
      <c r="BE50" s="21"/>
      <c r="BF50" s="21"/>
      <c r="BG50" s="21"/>
      <c r="BH50" s="21"/>
      <c r="BI50" s="52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40"/>
        <v>46132</v>
      </c>
      <c r="C51" s="401"/>
      <c r="D51" s="435">
        <f ca="1">IF(N51=0,IF(N50=1,SUM(D$25:E50)," "),IF(N51=0," ",IF(N52=1,D$25,IF(N52=0,D$10-D$25*(M$14-1)," "))))</f>
        <v>166.67</v>
      </c>
      <c r="E51" s="435"/>
      <c r="F51" s="151">
        <f ca="1">IF(N51=0,IF(N50=1,SUM(F$25:F50)," "),IF(M$1=1,P51,IF(M$1=2,Q51," ")))</f>
        <v>75.553866666666622</v>
      </c>
      <c r="G51" s="151">
        <f ca="1">IF(N51=0,IF(N50=1,SUM(G$25:G50)," "),IF(M$1=1,AC51,IF(M$1=2,AD51," ")))</f>
        <v>0</v>
      </c>
      <c r="H51" s="151">
        <f t="shared" ca="1" si="10"/>
        <v>242.22386666666659</v>
      </c>
      <c r="I51" s="151">
        <f t="shared" ca="1" si="31"/>
        <v>190.48</v>
      </c>
      <c r="J51" s="151">
        <f t="shared" ca="1" si="32"/>
        <v>86.347733333333508</v>
      </c>
      <c r="K51" s="151">
        <f t="shared" ca="1" si="33"/>
        <v>0</v>
      </c>
      <c r="L51" s="151">
        <f t="shared" ca="1" si="34"/>
        <v>276.82773333333353</v>
      </c>
      <c r="M51" s="2">
        <v>27</v>
      </c>
      <c r="N51" s="2">
        <f t="shared" ca="1" si="38"/>
        <v>1</v>
      </c>
      <c r="O51" s="2">
        <f t="shared" ca="1" si="41"/>
        <v>20</v>
      </c>
      <c r="P51" s="134">
        <f t="shared" ca="1" si="12"/>
        <v>75.553866666666622</v>
      </c>
      <c r="Q51" s="134">
        <f t="shared" ca="1" si="13"/>
        <v>75.553866666666622</v>
      </c>
      <c r="R51" s="134">
        <f t="shared" ca="1" si="14"/>
        <v>3666.5799999999981</v>
      </c>
      <c r="S51" s="134">
        <f t="shared" ca="1" si="26"/>
        <v>166.67</v>
      </c>
      <c r="T51" s="134">
        <f t="shared" ca="1" si="15"/>
        <v>166.67</v>
      </c>
      <c r="U51" s="134">
        <f t="shared" ca="1" si="35"/>
        <v>75.553866666666622</v>
      </c>
      <c r="V51" s="134">
        <f t="shared" ca="1" si="36"/>
        <v>75.553866666666622</v>
      </c>
      <c r="W51" s="134">
        <f t="shared" ca="1" si="27"/>
        <v>160</v>
      </c>
      <c r="X51" s="134">
        <f t="shared" ca="1" si="28"/>
        <v>160</v>
      </c>
      <c r="Y51" s="134">
        <f t="shared" ca="1" si="16"/>
        <v>4190.4000000000087</v>
      </c>
      <c r="Z51" s="134">
        <f t="shared" ca="1" si="37"/>
        <v>86.347733333333508</v>
      </c>
      <c r="AA51" s="134">
        <f t="shared" ca="1" si="17"/>
        <v>86.347733333333508</v>
      </c>
      <c r="AB51" s="134">
        <f t="shared" ca="1" si="39"/>
        <v>113330.79999999996</v>
      </c>
      <c r="AC51" s="134">
        <f t="shared" ca="1" si="18"/>
        <v>0</v>
      </c>
      <c r="AD51" s="134">
        <f t="shared" ca="1" si="19"/>
        <v>0</v>
      </c>
      <c r="AE51" s="134">
        <f t="shared" ca="1" si="30"/>
        <v>0</v>
      </c>
      <c r="AF51" s="134">
        <f t="shared" ca="1" si="20"/>
        <v>0</v>
      </c>
      <c r="AG51" s="134">
        <f t="shared" ca="1" si="29"/>
        <v>0</v>
      </c>
      <c r="AH51" s="134">
        <f t="shared" ca="1" si="21"/>
        <v>0</v>
      </c>
      <c r="AI51" s="134">
        <f t="shared" ca="1" si="3"/>
        <v>3666.5799999999981</v>
      </c>
      <c r="AJ51" s="134">
        <f t="shared" ca="1" si="42"/>
        <v>0</v>
      </c>
      <c r="AK51" s="134">
        <f t="shared" ca="1" si="43"/>
        <v>0</v>
      </c>
      <c r="AL51" s="132">
        <f t="shared" ca="1" si="22"/>
        <v>4</v>
      </c>
      <c r="AM51" s="132">
        <f t="shared" ca="1" si="4"/>
        <v>4</v>
      </c>
      <c r="AN51" s="2">
        <f t="shared" ca="1" si="23"/>
        <v>2026</v>
      </c>
      <c r="AO51" s="2">
        <f t="shared" ca="1" si="5"/>
        <v>2026</v>
      </c>
      <c r="AP51" s="2">
        <f t="shared" ca="1" si="6"/>
        <v>0</v>
      </c>
      <c r="AQ51" s="2">
        <f t="shared" ca="1" si="7"/>
        <v>30</v>
      </c>
      <c r="AR51" s="2">
        <f t="shared" si="8"/>
        <v>20</v>
      </c>
      <c r="AS51" s="2">
        <f t="shared" ca="1" si="24"/>
        <v>30</v>
      </c>
      <c r="AT51" s="21"/>
      <c r="AU51" s="21"/>
      <c r="AV51" s="21"/>
      <c r="AW51" s="21"/>
      <c r="AX51" s="21"/>
      <c r="AY51" s="2">
        <f t="shared" ca="1" si="25"/>
        <v>1</v>
      </c>
      <c r="AZ51" s="21"/>
      <c r="BA51" s="21"/>
      <c r="BB51" s="21"/>
      <c r="BC51" s="21"/>
      <c r="BD51" s="21"/>
      <c r="BE51" s="21"/>
      <c r="BF51" s="21"/>
      <c r="BG51" s="21"/>
      <c r="BH51" s="21"/>
      <c r="BI51" s="52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40"/>
        <v>46162</v>
      </c>
      <c r="C52" s="401"/>
      <c r="D52" s="435">
        <f ca="1">IF(N52=0,IF(N51=1,SUM(D$25:E51)," "),IF(N52=0," ",IF(N53=1,D$25,IF(N53=0,D$10-D$25*(M$14-1)," "))))</f>
        <v>166.67</v>
      </c>
      <c r="E52" s="435"/>
      <c r="F52" s="151">
        <f ca="1">IF(N52=0,IF(N51=1,SUM(F$25:F51)," "),IF(M$1=1,P52,IF(M$1=2,Q52," ")))</f>
        <v>72.220466666666624</v>
      </c>
      <c r="G52" s="151">
        <f ca="1">IF(N52=0,IF(N51=1,SUM(G$25:G51)," "),IF(M$1=1,AC52,IF(M$1=2,AD52," ")))</f>
        <v>0</v>
      </c>
      <c r="H52" s="151">
        <f t="shared" ca="1" si="10"/>
        <v>238.89046666666661</v>
      </c>
      <c r="I52" s="151">
        <f t="shared" ca="1" si="31"/>
        <v>190.48</v>
      </c>
      <c r="J52" s="151">
        <f t="shared" ca="1" si="32"/>
        <v>82.538133333333505</v>
      </c>
      <c r="K52" s="151">
        <f t="shared" ca="1" si="33"/>
        <v>0</v>
      </c>
      <c r="L52" s="151">
        <f t="shared" ca="1" si="34"/>
        <v>273.01813333333348</v>
      </c>
      <c r="M52" s="2">
        <v>28</v>
      </c>
      <c r="N52" s="2">
        <f t="shared" ca="1" si="38"/>
        <v>1</v>
      </c>
      <c r="O52" s="2">
        <f t="shared" ca="1" si="41"/>
        <v>20</v>
      </c>
      <c r="P52" s="134">
        <f t="shared" ca="1" si="12"/>
        <v>72.220466666666624</v>
      </c>
      <c r="Q52" s="134">
        <f t="shared" ca="1" si="13"/>
        <v>72.220466666666624</v>
      </c>
      <c r="R52" s="134">
        <f t="shared" ca="1" si="14"/>
        <v>3499.909999999998</v>
      </c>
      <c r="S52" s="134">
        <f t="shared" ca="1" si="26"/>
        <v>166.67</v>
      </c>
      <c r="T52" s="134">
        <f t="shared" ca="1" si="15"/>
        <v>166.67</v>
      </c>
      <c r="U52" s="134">
        <f t="shared" ca="1" si="35"/>
        <v>72.220466666666624</v>
      </c>
      <c r="V52" s="134">
        <f t="shared" ca="1" si="36"/>
        <v>72.220466666666624</v>
      </c>
      <c r="W52" s="134">
        <f t="shared" ca="1" si="27"/>
        <v>160</v>
      </c>
      <c r="X52" s="134">
        <f t="shared" ca="1" si="28"/>
        <v>160</v>
      </c>
      <c r="Y52" s="134">
        <f t="shared" ca="1" si="16"/>
        <v>3999.9200000000087</v>
      </c>
      <c r="Z52" s="134">
        <f t="shared" ca="1" si="37"/>
        <v>82.538133333333505</v>
      </c>
      <c r="AA52" s="134">
        <f t="shared" ca="1" si="17"/>
        <v>82.538133333333505</v>
      </c>
      <c r="AB52" s="134">
        <f t="shared" ca="1" si="39"/>
        <v>108330.69999999994</v>
      </c>
      <c r="AC52" s="134">
        <f t="shared" ca="1" si="18"/>
        <v>0</v>
      </c>
      <c r="AD52" s="134">
        <f t="shared" ca="1" si="19"/>
        <v>0</v>
      </c>
      <c r="AE52" s="134">
        <f t="shared" ca="1" si="30"/>
        <v>0</v>
      </c>
      <c r="AF52" s="134">
        <f t="shared" ca="1" si="20"/>
        <v>0</v>
      </c>
      <c r="AG52" s="134">
        <f t="shared" ca="1" si="29"/>
        <v>0</v>
      </c>
      <c r="AH52" s="134">
        <f t="shared" ca="1" si="21"/>
        <v>0</v>
      </c>
      <c r="AI52" s="134">
        <f t="shared" ca="1" si="3"/>
        <v>3499.909999999998</v>
      </c>
      <c r="AJ52" s="134">
        <f t="shared" ca="1" si="42"/>
        <v>0</v>
      </c>
      <c r="AK52" s="134">
        <f t="shared" ca="1" si="43"/>
        <v>0</v>
      </c>
      <c r="AL52" s="132">
        <f t="shared" ca="1" si="22"/>
        <v>5</v>
      </c>
      <c r="AM52" s="132">
        <f t="shared" ca="1" si="4"/>
        <v>5</v>
      </c>
      <c r="AN52" s="2">
        <f t="shared" ca="1" si="23"/>
        <v>2026</v>
      </c>
      <c r="AO52" s="2">
        <f t="shared" ca="1" si="5"/>
        <v>2026</v>
      </c>
      <c r="AP52" s="2">
        <f t="shared" ca="1" si="6"/>
        <v>0</v>
      </c>
      <c r="AQ52" s="2">
        <f t="shared" ca="1" si="7"/>
        <v>30</v>
      </c>
      <c r="AR52" s="2">
        <f t="shared" si="8"/>
        <v>20</v>
      </c>
      <c r="AS52" s="2">
        <f t="shared" ca="1" si="24"/>
        <v>30</v>
      </c>
      <c r="AT52" s="21"/>
      <c r="AU52" s="21"/>
      <c r="AV52" s="21"/>
      <c r="AW52" s="21"/>
      <c r="AX52" s="21"/>
      <c r="AY52" s="2">
        <f t="shared" ca="1" si="25"/>
        <v>1</v>
      </c>
      <c r="AZ52" s="21"/>
      <c r="BA52" s="21"/>
      <c r="BB52" s="21"/>
      <c r="BC52" s="21"/>
      <c r="BD52" s="21"/>
      <c r="BE52" s="21"/>
      <c r="BF52" s="21"/>
      <c r="BG52" s="21"/>
      <c r="BH52" s="21"/>
      <c r="BI52" s="52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40"/>
        <v>46193</v>
      </c>
      <c r="C53" s="401"/>
      <c r="D53" s="435">
        <f ca="1">IF(N53=0,IF(N52=1,SUM(D$25:E52)," "),IF(N53=0," ",IF(N54=1,D$25,IF(N54=0,D$10-D$25*(M$14-1)," "))))</f>
        <v>166.67</v>
      </c>
      <c r="E53" s="435"/>
      <c r="F53" s="151">
        <f ca="1">IF(N53=0,IF(N52=1,SUM(F$25:F52)," "),IF(M$1=1,P53,IF(M$1=2,Q53," ")))</f>
        <v>68.887066666666627</v>
      </c>
      <c r="G53" s="151">
        <f ca="1">IF(N53=0,IF(N52=1,SUM(G$25:G52)," "),IF(M$1=1,AC53,IF(M$1=2,AD53," ")))</f>
        <v>0</v>
      </c>
      <c r="H53" s="151">
        <f t="shared" ca="1" si="10"/>
        <v>235.55706666666663</v>
      </c>
      <c r="I53" s="151">
        <f t="shared" ca="1" si="31"/>
        <v>190.48</v>
      </c>
      <c r="J53" s="151">
        <f t="shared" ca="1" si="32"/>
        <v>78.728533333333502</v>
      </c>
      <c r="K53" s="151">
        <f t="shared" ca="1" si="33"/>
        <v>0</v>
      </c>
      <c r="L53" s="151">
        <f t="shared" ca="1" si="34"/>
        <v>269.20853333333349</v>
      </c>
      <c r="M53" s="2">
        <v>29</v>
      </c>
      <c r="N53" s="2">
        <f t="shared" ca="1" si="38"/>
        <v>1</v>
      </c>
      <c r="O53" s="2">
        <f t="shared" ca="1" si="41"/>
        <v>20</v>
      </c>
      <c r="P53" s="134">
        <f t="shared" ca="1" si="12"/>
        <v>68.887066666666627</v>
      </c>
      <c r="Q53" s="134">
        <f t="shared" ca="1" si="13"/>
        <v>68.887066666666627</v>
      </c>
      <c r="R53" s="134">
        <f t="shared" ca="1" si="14"/>
        <v>3333.239999999998</v>
      </c>
      <c r="S53" s="134">
        <f t="shared" ca="1" si="26"/>
        <v>166.67</v>
      </c>
      <c r="T53" s="134">
        <f t="shared" ca="1" si="15"/>
        <v>166.67</v>
      </c>
      <c r="U53" s="134">
        <f t="shared" ca="1" si="35"/>
        <v>68.887066666666627</v>
      </c>
      <c r="V53" s="134">
        <f t="shared" ca="1" si="36"/>
        <v>68.887066666666627</v>
      </c>
      <c r="W53" s="134">
        <f t="shared" ca="1" si="27"/>
        <v>160</v>
      </c>
      <c r="X53" s="134">
        <f t="shared" ca="1" si="28"/>
        <v>160</v>
      </c>
      <c r="Y53" s="134">
        <f t="shared" ca="1" si="16"/>
        <v>3809.4400000000087</v>
      </c>
      <c r="Z53" s="134">
        <f t="shared" ca="1" si="37"/>
        <v>78.728533333333502</v>
      </c>
      <c r="AA53" s="134">
        <f t="shared" ca="1" si="17"/>
        <v>78.728533333333502</v>
      </c>
      <c r="AB53" s="134">
        <f t="shared" ca="1" si="39"/>
        <v>103330.59999999993</v>
      </c>
      <c r="AC53" s="134">
        <f t="shared" ca="1" si="18"/>
        <v>0</v>
      </c>
      <c r="AD53" s="134">
        <f t="shared" ca="1" si="19"/>
        <v>0</v>
      </c>
      <c r="AE53" s="134">
        <f t="shared" ca="1" si="30"/>
        <v>0</v>
      </c>
      <c r="AF53" s="134">
        <f t="shared" ca="1" si="20"/>
        <v>0</v>
      </c>
      <c r="AG53" s="134">
        <f t="shared" ca="1" si="29"/>
        <v>0</v>
      </c>
      <c r="AH53" s="134">
        <f t="shared" ca="1" si="21"/>
        <v>0</v>
      </c>
      <c r="AI53" s="134">
        <f t="shared" ca="1" si="3"/>
        <v>3333.239999999998</v>
      </c>
      <c r="AJ53" s="134">
        <f t="shared" ca="1" si="42"/>
        <v>0</v>
      </c>
      <c r="AK53" s="134">
        <f t="shared" ca="1" si="43"/>
        <v>0</v>
      </c>
      <c r="AL53" s="132">
        <f t="shared" ca="1" si="22"/>
        <v>6</v>
      </c>
      <c r="AM53" s="132">
        <f t="shared" ca="1" si="4"/>
        <v>6</v>
      </c>
      <c r="AN53" s="2">
        <f t="shared" ca="1" si="23"/>
        <v>2026</v>
      </c>
      <c r="AO53" s="2">
        <f t="shared" ca="1" si="5"/>
        <v>2026</v>
      </c>
      <c r="AP53" s="2">
        <f t="shared" ca="1" si="6"/>
        <v>0</v>
      </c>
      <c r="AQ53" s="2">
        <f t="shared" ca="1" si="7"/>
        <v>30</v>
      </c>
      <c r="AR53" s="2">
        <f t="shared" si="8"/>
        <v>20</v>
      </c>
      <c r="AS53" s="2">
        <f t="shared" ca="1" si="24"/>
        <v>30</v>
      </c>
      <c r="AT53" s="21"/>
      <c r="AU53" s="21"/>
      <c r="AV53" s="21"/>
      <c r="AW53" s="21"/>
      <c r="AX53" s="21"/>
      <c r="AY53" s="2">
        <f t="shared" ca="1" si="25"/>
        <v>1</v>
      </c>
      <c r="AZ53" s="21"/>
      <c r="BA53" s="21"/>
      <c r="BB53" s="21"/>
      <c r="BC53" s="21"/>
      <c r="BD53" s="21"/>
      <c r="BE53" s="21"/>
      <c r="BF53" s="21"/>
      <c r="BG53" s="21"/>
      <c r="BH53" s="21"/>
      <c r="BI53" s="52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40"/>
        <v>46223</v>
      </c>
      <c r="C54" s="401"/>
      <c r="D54" s="435">
        <f ca="1">IF(N54=0,IF(N53=1,SUM(D$25:E53)," "),IF(N54=0," ",IF(N55=1,D$25,IF(N55=0,D$10-D$25*(M$14-1)," "))))</f>
        <v>166.67</v>
      </c>
      <c r="E54" s="435"/>
      <c r="F54" s="151">
        <f ca="1">IF(N54=0,IF(N53=1,SUM(F$25:F53)," "),IF(M$1=1,P54,IF(M$1=2,Q54," ")))</f>
        <v>65.553666666666629</v>
      </c>
      <c r="G54" s="151">
        <f ca="1">IF(N54=0,IF(N53=1,SUM(G$25:G53)," "),IF(M$1=1,AC54,IF(M$1=2,AD54," ")))</f>
        <v>0</v>
      </c>
      <c r="H54" s="151">
        <f t="shared" ca="1" si="10"/>
        <v>232.22366666666662</v>
      </c>
      <c r="I54" s="151">
        <f t="shared" ca="1" si="31"/>
        <v>190.48</v>
      </c>
      <c r="J54" s="151">
        <f t="shared" ca="1" si="32"/>
        <v>74.918933333333499</v>
      </c>
      <c r="K54" s="151">
        <f t="shared" ca="1" si="33"/>
        <v>0</v>
      </c>
      <c r="L54" s="151">
        <f t="shared" ca="1" si="34"/>
        <v>265.3989333333335</v>
      </c>
      <c r="M54" s="2">
        <v>30</v>
      </c>
      <c r="N54" s="2">
        <f t="shared" ca="1" si="38"/>
        <v>1</v>
      </c>
      <c r="O54" s="2">
        <f t="shared" ca="1" si="41"/>
        <v>20</v>
      </c>
      <c r="P54" s="134">
        <f t="shared" ca="1" si="12"/>
        <v>65.553666666666629</v>
      </c>
      <c r="Q54" s="134">
        <f t="shared" ca="1" si="13"/>
        <v>65.553666666666629</v>
      </c>
      <c r="R54" s="134">
        <f t="shared" ca="1" si="14"/>
        <v>3166.5699999999979</v>
      </c>
      <c r="S54" s="134">
        <f t="shared" ca="1" si="26"/>
        <v>166.67</v>
      </c>
      <c r="T54" s="134">
        <f t="shared" ca="1" si="15"/>
        <v>166.67</v>
      </c>
      <c r="U54" s="134">
        <f t="shared" ca="1" si="35"/>
        <v>65.553666666666629</v>
      </c>
      <c r="V54" s="134">
        <f t="shared" ca="1" si="36"/>
        <v>65.553666666666629</v>
      </c>
      <c r="W54" s="134">
        <f t="shared" ca="1" si="27"/>
        <v>160</v>
      </c>
      <c r="X54" s="134">
        <f t="shared" ca="1" si="28"/>
        <v>160</v>
      </c>
      <c r="Y54" s="134">
        <f t="shared" ca="1" si="16"/>
        <v>3618.9600000000087</v>
      </c>
      <c r="Z54" s="134">
        <f t="shared" ca="1" si="37"/>
        <v>74.918933333333499</v>
      </c>
      <c r="AA54" s="134">
        <f t="shared" ca="1" si="17"/>
        <v>74.918933333333499</v>
      </c>
      <c r="AB54" s="134">
        <f t="shared" ca="1" si="39"/>
        <v>98330.499999999942</v>
      </c>
      <c r="AC54" s="134">
        <f t="shared" ca="1" si="18"/>
        <v>0</v>
      </c>
      <c r="AD54" s="134">
        <f t="shared" ca="1" si="19"/>
        <v>0</v>
      </c>
      <c r="AE54" s="134">
        <f t="shared" ca="1" si="30"/>
        <v>0</v>
      </c>
      <c r="AF54" s="134">
        <f t="shared" ca="1" si="20"/>
        <v>0</v>
      </c>
      <c r="AG54" s="134">
        <f t="shared" ca="1" si="29"/>
        <v>0</v>
      </c>
      <c r="AH54" s="134">
        <f t="shared" ca="1" si="21"/>
        <v>0</v>
      </c>
      <c r="AI54" s="134">
        <f t="shared" ca="1" si="3"/>
        <v>3166.5699999999979</v>
      </c>
      <c r="AJ54" s="134">
        <f t="shared" ca="1" si="42"/>
        <v>0</v>
      </c>
      <c r="AK54" s="134">
        <f t="shared" ca="1" si="43"/>
        <v>0</v>
      </c>
      <c r="AL54" s="132">
        <f t="shared" ca="1" si="22"/>
        <v>7</v>
      </c>
      <c r="AM54" s="132">
        <f t="shared" ca="1" si="4"/>
        <v>7</v>
      </c>
      <c r="AN54" s="2">
        <f t="shared" ca="1" si="23"/>
        <v>2026</v>
      </c>
      <c r="AO54" s="2">
        <f t="shared" ca="1" si="5"/>
        <v>2026</v>
      </c>
      <c r="AP54" s="2">
        <f t="shared" ca="1" si="6"/>
        <v>0</v>
      </c>
      <c r="AQ54" s="2">
        <f t="shared" ca="1" si="7"/>
        <v>30</v>
      </c>
      <c r="AR54" s="2">
        <f t="shared" si="8"/>
        <v>20</v>
      </c>
      <c r="AS54" s="2">
        <f t="shared" ca="1" si="24"/>
        <v>30</v>
      </c>
      <c r="AT54" s="21"/>
      <c r="AU54" s="21"/>
      <c r="AV54" s="21"/>
      <c r="AW54" s="21"/>
      <c r="AX54" s="21"/>
      <c r="AY54" s="2">
        <f t="shared" ca="1" si="25"/>
        <v>1</v>
      </c>
      <c r="AZ54" s="21"/>
      <c r="BA54" s="21"/>
      <c r="BB54" s="21"/>
      <c r="BC54" s="21"/>
      <c r="BD54" s="21"/>
      <c r="BE54" s="21"/>
      <c r="BF54" s="21"/>
      <c r="BG54" s="21"/>
      <c r="BH54" s="21"/>
      <c r="BI54" s="52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40"/>
        <v>46254</v>
      </c>
      <c r="C55" s="401"/>
      <c r="D55" s="435">
        <f ca="1">IF(N55=0,IF(N54=1,SUM(D$25:E54)," "),IF(N55=0," ",IF(N56=1,D$25,IF(N56=0,D$10-D$25*(M$14-1)," "))))</f>
        <v>166.67</v>
      </c>
      <c r="E55" s="435"/>
      <c r="F55" s="151">
        <f ca="1">IF(N55=0,IF(N54=1,SUM(F$25:F54)," "),IF(M$1=1,P55,IF(M$1=2,Q55," ")))</f>
        <v>62.220266666666632</v>
      </c>
      <c r="G55" s="151">
        <f ca="1">IF(N55=0,IF(N54=1,SUM(G$25:G54)," "),IF(M$1=1,AC55,IF(M$1=2,AD55," ")))</f>
        <v>0</v>
      </c>
      <c r="H55" s="151">
        <f t="shared" ca="1" si="10"/>
        <v>228.89026666666661</v>
      </c>
      <c r="I55" s="151">
        <f t="shared" ca="1" si="31"/>
        <v>190.48</v>
      </c>
      <c r="J55" s="151">
        <f t="shared" ca="1" si="32"/>
        <v>71.10933333333351</v>
      </c>
      <c r="K55" s="151">
        <f t="shared" ca="1" si="33"/>
        <v>0</v>
      </c>
      <c r="L55" s="151">
        <f t="shared" ca="1" si="34"/>
        <v>261.58933333333351</v>
      </c>
      <c r="M55" s="2">
        <v>31</v>
      </c>
      <c r="N55" s="2">
        <f t="shared" ca="1" si="38"/>
        <v>1</v>
      </c>
      <c r="O55" s="2">
        <f t="shared" ca="1" si="41"/>
        <v>20</v>
      </c>
      <c r="P55" s="134">
        <f t="shared" ca="1" si="12"/>
        <v>62.220266666666632</v>
      </c>
      <c r="Q55" s="134">
        <f t="shared" ca="1" si="13"/>
        <v>62.220266666666632</v>
      </c>
      <c r="R55" s="134">
        <f t="shared" ca="1" si="14"/>
        <v>2999.8999999999978</v>
      </c>
      <c r="S55" s="134">
        <f t="shared" ca="1" si="26"/>
        <v>166.67</v>
      </c>
      <c r="T55" s="134">
        <f t="shared" ca="1" si="15"/>
        <v>166.67</v>
      </c>
      <c r="U55" s="134">
        <f t="shared" ca="1" si="35"/>
        <v>62.220266666666632</v>
      </c>
      <c r="V55" s="134">
        <f t="shared" ca="1" si="36"/>
        <v>62.220266666666632</v>
      </c>
      <c r="W55" s="134">
        <f t="shared" ca="1" si="27"/>
        <v>160</v>
      </c>
      <c r="X55" s="134">
        <f t="shared" ca="1" si="28"/>
        <v>160</v>
      </c>
      <c r="Y55" s="134">
        <f t="shared" ca="1" si="16"/>
        <v>3428.4800000000087</v>
      </c>
      <c r="Z55" s="134">
        <f t="shared" ca="1" si="37"/>
        <v>71.10933333333351</v>
      </c>
      <c r="AA55" s="134">
        <f t="shared" ca="1" si="17"/>
        <v>71.10933333333351</v>
      </c>
      <c r="AB55" s="134">
        <f t="shared" ca="1" si="39"/>
        <v>93330.399999999936</v>
      </c>
      <c r="AC55" s="134">
        <f t="shared" ca="1" si="18"/>
        <v>0</v>
      </c>
      <c r="AD55" s="134">
        <f t="shared" ca="1" si="19"/>
        <v>0</v>
      </c>
      <c r="AE55" s="134">
        <f t="shared" ca="1" si="30"/>
        <v>0</v>
      </c>
      <c r="AF55" s="134">
        <f t="shared" ca="1" si="20"/>
        <v>0</v>
      </c>
      <c r="AG55" s="134">
        <f t="shared" ca="1" si="29"/>
        <v>0</v>
      </c>
      <c r="AH55" s="134">
        <f t="shared" ca="1" si="21"/>
        <v>0</v>
      </c>
      <c r="AI55" s="134">
        <f t="shared" ca="1" si="3"/>
        <v>2999.8999999999978</v>
      </c>
      <c r="AJ55" s="134">
        <f t="shared" ca="1" si="42"/>
        <v>0</v>
      </c>
      <c r="AK55" s="134">
        <f t="shared" ca="1" si="43"/>
        <v>0</v>
      </c>
      <c r="AL55" s="132">
        <f t="shared" ca="1" si="22"/>
        <v>8</v>
      </c>
      <c r="AM55" s="132">
        <f t="shared" ca="1" si="4"/>
        <v>8</v>
      </c>
      <c r="AN55" s="2">
        <f t="shared" ca="1" si="23"/>
        <v>2026</v>
      </c>
      <c r="AO55" s="2">
        <f t="shared" ca="1" si="5"/>
        <v>2026</v>
      </c>
      <c r="AP55" s="2">
        <f t="shared" ca="1" si="6"/>
        <v>0</v>
      </c>
      <c r="AQ55" s="2">
        <f t="shared" ca="1" si="7"/>
        <v>30</v>
      </c>
      <c r="AR55" s="2">
        <f t="shared" si="8"/>
        <v>20</v>
      </c>
      <c r="AS55" s="2">
        <f t="shared" ca="1" si="24"/>
        <v>30</v>
      </c>
      <c r="AT55" s="21"/>
      <c r="AU55" s="21"/>
      <c r="AV55" s="21"/>
      <c r="AW55" s="21"/>
      <c r="AX55" s="21"/>
      <c r="AY55" s="2">
        <f t="shared" ca="1" si="25"/>
        <v>1</v>
      </c>
      <c r="AZ55" s="21"/>
      <c r="BA55" s="21"/>
      <c r="BB55" s="21"/>
      <c r="BC55" s="21"/>
      <c r="BD55" s="21"/>
      <c r="BE55" s="21"/>
      <c r="BF55" s="21"/>
      <c r="BG55" s="21"/>
      <c r="BH55" s="21"/>
      <c r="BI55" s="52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40"/>
        <v>46285</v>
      </c>
      <c r="C56" s="401"/>
      <c r="D56" s="435">
        <f ca="1">IF(N56=0,IF(N55=1,SUM(D$25:E55)," "),IF(N56=0," ",IF(N57=1,D$25,IF(N57=0,D$10-D$25*(M$14-1)," "))))</f>
        <v>166.67</v>
      </c>
      <c r="E56" s="435"/>
      <c r="F56" s="151">
        <f ca="1">IF(N56=0,IF(N55=1,SUM(F$25:F55)," "),IF(M$1=1,P56,IF(M$1=2,Q56," ")))</f>
        <v>58.886866666666634</v>
      </c>
      <c r="G56" s="151">
        <f ca="1">IF(N56=0,IF(N55=1,SUM(G$25:G55)," "),IF(M$1=1,AC56,IF(M$1=2,AD56," ")))</f>
        <v>0</v>
      </c>
      <c r="H56" s="151">
        <f t="shared" ca="1" si="10"/>
        <v>225.55686666666662</v>
      </c>
      <c r="I56" s="151">
        <f t="shared" ca="1" si="31"/>
        <v>190.48</v>
      </c>
      <c r="J56" s="151">
        <f t="shared" ca="1" si="32"/>
        <v>67.299733333333506</v>
      </c>
      <c r="K56" s="151">
        <f t="shared" ca="1" si="33"/>
        <v>0</v>
      </c>
      <c r="L56" s="151">
        <f t="shared" ca="1" si="34"/>
        <v>257.77973333333352</v>
      </c>
      <c r="M56" s="2">
        <v>32</v>
      </c>
      <c r="N56" s="2">
        <f t="shared" ca="1" si="38"/>
        <v>1</v>
      </c>
      <c r="O56" s="2">
        <f t="shared" ca="1" si="41"/>
        <v>20</v>
      </c>
      <c r="P56" s="134">
        <f t="shared" ca="1" si="12"/>
        <v>58.886866666666634</v>
      </c>
      <c r="Q56" s="134">
        <f t="shared" ca="1" si="13"/>
        <v>58.886866666666634</v>
      </c>
      <c r="R56" s="134">
        <f t="shared" ca="1" si="14"/>
        <v>2833.2299999999977</v>
      </c>
      <c r="S56" s="134">
        <f t="shared" ca="1" si="26"/>
        <v>166.67</v>
      </c>
      <c r="T56" s="134">
        <f t="shared" ca="1" si="15"/>
        <v>166.67</v>
      </c>
      <c r="U56" s="134">
        <f t="shared" ca="1" si="35"/>
        <v>58.886866666666634</v>
      </c>
      <c r="V56" s="134">
        <f t="shared" ca="1" si="36"/>
        <v>58.886866666666634</v>
      </c>
      <c r="W56" s="134">
        <f t="shared" ca="1" si="27"/>
        <v>160</v>
      </c>
      <c r="X56" s="134">
        <f t="shared" ca="1" si="28"/>
        <v>160</v>
      </c>
      <c r="Y56" s="134">
        <f t="shared" ca="1" si="16"/>
        <v>3238.0000000000086</v>
      </c>
      <c r="Z56" s="134">
        <f t="shared" ca="1" si="37"/>
        <v>67.299733333333506</v>
      </c>
      <c r="AA56" s="134">
        <f t="shared" ca="1" si="17"/>
        <v>67.299733333333506</v>
      </c>
      <c r="AB56" s="134">
        <f t="shared" ca="1" si="39"/>
        <v>88330.29999999993</v>
      </c>
      <c r="AC56" s="134">
        <f t="shared" ca="1" si="18"/>
        <v>0</v>
      </c>
      <c r="AD56" s="134">
        <f t="shared" ca="1" si="19"/>
        <v>0</v>
      </c>
      <c r="AE56" s="134">
        <f t="shared" ca="1" si="30"/>
        <v>0</v>
      </c>
      <c r="AF56" s="134">
        <f t="shared" ca="1" si="20"/>
        <v>0</v>
      </c>
      <c r="AG56" s="134">
        <f t="shared" ca="1" si="29"/>
        <v>0</v>
      </c>
      <c r="AH56" s="134">
        <f t="shared" ca="1" si="21"/>
        <v>0</v>
      </c>
      <c r="AI56" s="134">
        <f t="shared" ca="1" si="3"/>
        <v>2833.2299999999977</v>
      </c>
      <c r="AJ56" s="134">
        <f t="shared" ca="1" si="42"/>
        <v>0</v>
      </c>
      <c r="AK56" s="134">
        <f t="shared" ca="1" si="43"/>
        <v>0</v>
      </c>
      <c r="AL56" s="132">
        <f t="shared" ca="1" si="22"/>
        <v>9</v>
      </c>
      <c r="AM56" s="132">
        <f t="shared" ca="1" si="4"/>
        <v>9</v>
      </c>
      <c r="AN56" s="2">
        <f t="shared" ca="1" si="23"/>
        <v>2026</v>
      </c>
      <c r="AO56" s="2">
        <f t="shared" ca="1" si="5"/>
        <v>2026</v>
      </c>
      <c r="AP56" s="2">
        <f t="shared" ca="1" si="6"/>
        <v>0</v>
      </c>
      <c r="AQ56" s="2">
        <f t="shared" ca="1" si="7"/>
        <v>30</v>
      </c>
      <c r="AR56" s="2">
        <f t="shared" si="8"/>
        <v>20</v>
      </c>
      <c r="AS56" s="2">
        <f t="shared" ca="1" si="24"/>
        <v>30</v>
      </c>
      <c r="AT56" s="21"/>
      <c r="AU56" s="21"/>
      <c r="AV56" s="21"/>
      <c r="AW56" s="21"/>
      <c r="AX56" s="21"/>
      <c r="AY56" s="2">
        <f t="shared" ca="1" si="25"/>
        <v>1</v>
      </c>
      <c r="AZ56" s="21"/>
      <c r="BA56" s="21"/>
      <c r="BB56" s="21"/>
      <c r="BC56" s="21"/>
      <c r="BD56" s="21"/>
      <c r="BE56" s="21"/>
      <c r="BF56" s="21"/>
      <c r="BG56" s="21"/>
      <c r="BH56" s="21"/>
      <c r="BI56" s="52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40"/>
        <v>46315</v>
      </c>
      <c r="C57" s="401"/>
      <c r="D57" s="435">
        <f ca="1">IF(N57=0,IF(N56=1,SUM(D$25:E56)," "),IF(N57=0," ",IF(N58=1,D$25,IF(N58=0,D$10-D$25*(M$14-1)," "))))</f>
        <v>166.67</v>
      </c>
      <c r="E57" s="435"/>
      <c r="F57" s="151">
        <f ca="1">IF(N57=0,IF(N56=1,SUM(F$25:F56)," "),IF(M$1=1,P57,IF(M$1=2,Q57," ")))</f>
        <v>55.553466666666623</v>
      </c>
      <c r="G57" s="151">
        <f ca="1">IF(N57=0,IF(N56=1,SUM(G$25:G56)," "),IF(M$1=1,AC57,IF(M$1=2,AD57," ")))</f>
        <v>0</v>
      </c>
      <c r="H57" s="151">
        <f t="shared" ca="1" si="10"/>
        <v>222.22346666666661</v>
      </c>
      <c r="I57" s="151">
        <f t="shared" ca="1" si="31"/>
        <v>190.48</v>
      </c>
      <c r="J57" s="151">
        <f t="shared" ca="1" si="32"/>
        <v>63.490133333333517</v>
      </c>
      <c r="K57" s="151">
        <f t="shared" ca="1" si="33"/>
        <v>0</v>
      </c>
      <c r="L57" s="151">
        <f t="shared" ca="1" si="34"/>
        <v>253.97013333333351</v>
      </c>
      <c r="M57" s="2">
        <v>33</v>
      </c>
      <c r="N57" s="2">
        <f t="shared" ca="1" si="38"/>
        <v>1</v>
      </c>
      <c r="O57" s="2">
        <f t="shared" ca="1" si="41"/>
        <v>20</v>
      </c>
      <c r="P57" s="134">
        <f t="shared" ca="1" si="12"/>
        <v>55.553466666666623</v>
      </c>
      <c r="Q57" s="134">
        <f t="shared" ca="1" si="13"/>
        <v>55.553466666666623</v>
      </c>
      <c r="R57" s="134">
        <f t="shared" ca="1" si="14"/>
        <v>2666.5599999999977</v>
      </c>
      <c r="S57" s="134">
        <f t="shared" ca="1" si="26"/>
        <v>166.67</v>
      </c>
      <c r="T57" s="134">
        <f t="shared" ca="1" si="15"/>
        <v>166.67</v>
      </c>
      <c r="U57" s="134">
        <f t="shared" ca="1" si="35"/>
        <v>55.553466666666623</v>
      </c>
      <c r="V57" s="134">
        <f t="shared" ca="1" si="36"/>
        <v>55.553466666666623</v>
      </c>
      <c r="W57" s="134">
        <f t="shared" ca="1" si="27"/>
        <v>160</v>
      </c>
      <c r="X57" s="134">
        <f t="shared" ca="1" si="28"/>
        <v>160</v>
      </c>
      <c r="Y57" s="134">
        <f t="shared" ca="1" si="16"/>
        <v>3047.5200000000086</v>
      </c>
      <c r="Z57" s="134">
        <f t="shared" ca="1" si="37"/>
        <v>63.490133333333517</v>
      </c>
      <c r="AA57" s="134">
        <f t="shared" ca="1" si="17"/>
        <v>63.490133333333517</v>
      </c>
      <c r="AB57" s="134">
        <f t="shared" ca="1" si="39"/>
        <v>83330.199999999924</v>
      </c>
      <c r="AC57" s="134">
        <f t="shared" ca="1" si="18"/>
        <v>0</v>
      </c>
      <c r="AD57" s="134">
        <f t="shared" ca="1" si="19"/>
        <v>0</v>
      </c>
      <c r="AE57" s="134">
        <f t="shared" ca="1" si="30"/>
        <v>0</v>
      </c>
      <c r="AF57" s="134">
        <f t="shared" ca="1" si="20"/>
        <v>0</v>
      </c>
      <c r="AG57" s="134">
        <f t="shared" ca="1" si="29"/>
        <v>0</v>
      </c>
      <c r="AH57" s="134">
        <f t="shared" ca="1" si="21"/>
        <v>0</v>
      </c>
      <c r="AI57" s="134">
        <f t="shared" ref="AI57:AI85" ca="1" si="44">R57</f>
        <v>2666.5599999999977</v>
      </c>
      <c r="AJ57" s="134">
        <f t="shared" ca="1" si="42"/>
        <v>0</v>
      </c>
      <c r="AK57" s="134">
        <f t="shared" ca="1" si="43"/>
        <v>0</v>
      </c>
      <c r="AL57" s="132">
        <f t="shared" ca="1" si="22"/>
        <v>10</v>
      </c>
      <c r="AM57" s="132">
        <f t="shared" ref="AM57:AM85" ca="1" si="45">IF(AL57=13,1,AL57)</f>
        <v>10</v>
      </c>
      <c r="AN57" s="2">
        <f t="shared" ca="1" si="23"/>
        <v>2026</v>
      </c>
      <c r="AO57" s="2">
        <f t="shared" ref="AO57:AO85" ca="1" si="46">IF(AM57=1,AN57+1,AN57)</f>
        <v>2026</v>
      </c>
      <c r="AP57" s="2">
        <f t="shared" ref="AP57:AP85" ca="1" si="47">IF((AN57/2012)=1,1,IF((AN57/2016)=1,1,IF((AN57/2020)=1,1,IF((AN57/2024)=1,1,IF((AN57/2028)=1,1,IF((AN57/2032)=1,1,0))))))</f>
        <v>0</v>
      </c>
      <c r="AQ57" s="2">
        <f t="shared" ref="AQ57:AQ85" ca="1" si="48">IF(AM57=2,IF(AP57=1,29,28),30)</f>
        <v>30</v>
      </c>
      <c r="AR57" s="2">
        <f t="shared" ref="AR57:AR85" si="49">IF(C$24=30,AQ57,20)</f>
        <v>20</v>
      </c>
      <c r="AS57" s="2">
        <f t="shared" ca="1" si="24"/>
        <v>30</v>
      </c>
      <c r="AT57" s="21"/>
      <c r="AU57" s="21"/>
      <c r="AV57" s="21"/>
      <c r="AW57" s="21"/>
      <c r="AX57" s="21"/>
      <c r="AY57" s="2">
        <f t="shared" ca="1" si="25"/>
        <v>1</v>
      </c>
      <c r="AZ57" s="21"/>
      <c r="BA57" s="21"/>
      <c r="BB57" s="21"/>
      <c r="BC57" s="21"/>
      <c r="BD57" s="21"/>
      <c r="BE57" s="21"/>
      <c r="BF57" s="21"/>
      <c r="BG57" s="21"/>
      <c r="BH57" s="21"/>
      <c r="BI57" s="52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ca="1" si="40"/>
        <v>46346</v>
      </c>
      <c r="C58" s="401"/>
      <c r="D58" s="435">
        <f ca="1">IF(N58=0,IF(N57=1,SUM(D$25:E57)," "),IF(N58=0," ",IF(N59=1,D$25,IF(N59=0,D$10-D$25*(M$14-1)," "))))</f>
        <v>166.67</v>
      </c>
      <c r="E58" s="435"/>
      <c r="F58" s="151">
        <f ca="1">IF(N58=0,IF(N57=1,SUM(F$25:F57)," "),IF(M$1=1,P58,IF(M$1=2,Q58," ")))</f>
        <v>52.220066666666625</v>
      </c>
      <c r="G58" s="151">
        <f ca="1">IF(N58=0,IF(N57=1,SUM(G$25:G57)," "),IF(M$1=1,AC58,IF(M$1=2,AD58," ")))</f>
        <v>0</v>
      </c>
      <c r="H58" s="151">
        <f t="shared" ref="H58:H86" ca="1" si="50">IF(SUM(D58:G58)=0," ",SUM(D58:G58))</f>
        <v>218.8900666666666</v>
      </c>
      <c r="I58" s="151">
        <f t="shared" ca="1" si="31"/>
        <v>190.48</v>
      </c>
      <c r="J58" s="151">
        <f t="shared" ca="1" si="32"/>
        <v>59.680533333333514</v>
      </c>
      <c r="K58" s="151">
        <f t="shared" ca="1" si="33"/>
        <v>0</v>
      </c>
      <c r="L58" s="151">
        <f t="shared" ca="1" si="34"/>
        <v>250.16053333333349</v>
      </c>
      <c r="M58" s="2">
        <v>34</v>
      </c>
      <c r="N58" s="2">
        <f t="shared" ca="1" si="38"/>
        <v>1</v>
      </c>
      <c r="O58" s="2">
        <f t="shared" ca="1" si="41"/>
        <v>20</v>
      </c>
      <c r="P58" s="134">
        <f t="shared" ca="1" si="12"/>
        <v>52.220066666666625</v>
      </c>
      <c r="Q58" s="134">
        <f t="shared" ca="1" si="13"/>
        <v>52.220066666666625</v>
      </c>
      <c r="R58" s="134">
        <f t="shared" ref="R58:R85" ca="1" si="51">IF(N58=0,0,R57-D57)</f>
        <v>2499.8899999999976</v>
      </c>
      <c r="S58" s="134">
        <f t="shared" ca="1" si="26"/>
        <v>166.67</v>
      </c>
      <c r="T58" s="134">
        <f t="shared" ca="1" si="15"/>
        <v>166.67</v>
      </c>
      <c r="U58" s="134">
        <f t="shared" ca="1" si="35"/>
        <v>52.220066666666625</v>
      </c>
      <c r="V58" s="134">
        <f t="shared" ca="1" si="36"/>
        <v>52.220066666666625</v>
      </c>
      <c r="W58" s="134">
        <f t="shared" ca="1" si="27"/>
        <v>160</v>
      </c>
      <c r="X58" s="134">
        <f t="shared" ca="1" si="28"/>
        <v>160</v>
      </c>
      <c r="Y58" s="134">
        <f t="shared" ca="1" si="16"/>
        <v>2857.0400000000086</v>
      </c>
      <c r="Z58" s="134">
        <f t="shared" ca="1" si="37"/>
        <v>59.680533333333514</v>
      </c>
      <c r="AA58" s="134">
        <f t="shared" ca="1" si="17"/>
        <v>59.680533333333514</v>
      </c>
      <c r="AB58" s="134">
        <f t="shared" ca="1" si="39"/>
        <v>78330.099999999933</v>
      </c>
      <c r="AC58" s="134">
        <f t="shared" ca="1" si="18"/>
        <v>0</v>
      </c>
      <c r="AD58" s="134">
        <f t="shared" ca="1" si="19"/>
        <v>0</v>
      </c>
      <c r="AE58" s="134">
        <f t="shared" ca="1" si="30"/>
        <v>0</v>
      </c>
      <c r="AF58" s="134">
        <f t="shared" ca="1" si="20"/>
        <v>0</v>
      </c>
      <c r="AG58" s="134">
        <f t="shared" ca="1" si="29"/>
        <v>0</v>
      </c>
      <c r="AH58" s="134">
        <f t="shared" ca="1" si="21"/>
        <v>0</v>
      </c>
      <c r="AI58" s="134">
        <f t="shared" ca="1" si="44"/>
        <v>2499.8899999999976</v>
      </c>
      <c r="AJ58" s="134">
        <f t="shared" ca="1" si="42"/>
        <v>0</v>
      </c>
      <c r="AK58" s="134">
        <f t="shared" ca="1" si="43"/>
        <v>0</v>
      </c>
      <c r="AL58" s="132">
        <f t="shared" ref="AL58:AL85" ca="1" si="52">IF(N58=0,0,MONTH(B57)+1)</f>
        <v>11</v>
      </c>
      <c r="AM58" s="132">
        <f t="shared" ca="1" si="45"/>
        <v>11</v>
      </c>
      <c r="AN58" s="2">
        <f t="shared" ref="AN58:AN85" ca="1" si="53">IF(N58=0,0,YEAR(B57))</f>
        <v>2026</v>
      </c>
      <c r="AO58" s="2">
        <f t="shared" ca="1" si="46"/>
        <v>2026</v>
      </c>
      <c r="AP58" s="2">
        <f t="shared" ca="1" si="47"/>
        <v>0</v>
      </c>
      <c r="AQ58" s="2">
        <f t="shared" ca="1" si="48"/>
        <v>30</v>
      </c>
      <c r="AR58" s="2">
        <f t="shared" si="49"/>
        <v>20</v>
      </c>
      <c r="AS58" s="2">
        <f t="shared" ref="AS58:AS85" ca="1" si="54">AQ57</f>
        <v>30</v>
      </c>
      <c r="AT58" s="21"/>
      <c r="AU58" s="21"/>
      <c r="AV58" s="21"/>
      <c r="AW58" s="21"/>
      <c r="AX58" s="21"/>
      <c r="AY58" s="2">
        <f t="shared" ca="1" si="25"/>
        <v>1</v>
      </c>
      <c r="AZ58" s="21"/>
      <c r="BA58" s="21"/>
      <c r="BB58" s="21"/>
      <c r="BC58" s="21"/>
      <c r="BD58" s="21"/>
      <c r="BE58" s="21"/>
      <c r="BF58" s="21"/>
      <c r="BG58" s="21"/>
      <c r="BH58" s="21"/>
      <c r="BI58" s="52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40"/>
        <v>46376</v>
      </c>
      <c r="C59" s="401"/>
      <c r="D59" s="435">
        <f ca="1">IF(N59=0,IF(N58=1,SUM(D$25:E58)," "),IF(N59=0," ",IF(N60=1,D$25,IF(N60=0,D$10-D$25*(M$14-1)," "))))</f>
        <v>166.67</v>
      </c>
      <c r="E59" s="435"/>
      <c r="F59" s="151">
        <f ca="1">IF(N59=0,IF(N58=1,SUM(F$25:F58)," "),IF(M$1=1,P59,IF(M$1=2,Q59," ")))</f>
        <v>48.886666666666613</v>
      </c>
      <c r="G59" s="151">
        <f ca="1">IF(N59=0,IF(N58=1,SUM(G$25:G58)," "),IF(M$1=1,AC59,IF(M$1=2,AD59," ")))</f>
        <v>0</v>
      </c>
      <c r="H59" s="151">
        <f t="shared" ca="1" si="50"/>
        <v>215.55666666666662</v>
      </c>
      <c r="I59" s="151">
        <f t="shared" ca="1" si="31"/>
        <v>190.48</v>
      </c>
      <c r="J59" s="151">
        <f t="shared" ca="1" si="32"/>
        <v>55.870933333333511</v>
      </c>
      <c r="K59" s="151">
        <f t="shared" ca="1" si="33"/>
        <v>0</v>
      </c>
      <c r="L59" s="151">
        <f t="shared" ca="1" si="34"/>
        <v>246.3509333333335</v>
      </c>
      <c r="M59" s="2">
        <v>35</v>
      </c>
      <c r="N59" s="2">
        <f t="shared" ca="1" si="38"/>
        <v>1</v>
      </c>
      <c r="O59" s="2">
        <f t="shared" ca="1" si="41"/>
        <v>20</v>
      </c>
      <c r="P59" s="134">
        <f t="shared" ca="1" si="12"/>
        <v>48.886666666666613</v>
      </c>
      <c r="Q59" s="134">
        <f t="shared" ca="1" si="13"/>
        <v>48.886666666666613</v>
      </c>
      <c r="R59" s="134">
        <f t="shared" ca="1" si="51"/>
        <v>2333.2199999999975</v>
      </c>
      <c r="S59" s="134">
        <f t="shared" ca="1" si="26"/>
        <v>166.67</v>
      </c>
      <c r="T59" s="134">
        <f t="shared" ca="1" si="15"/>
        <v>166.67</v>
      </c>
      <c r="U59" s="134">
        <f t="shared" ca="1" si="35"/>
        <v>48.886666666666613</v>
      </c>
      <c r="V59" s="134">
        <f t="shared" ca="1" si="36"/>
        <v>48.886666666666613</v>
      </c>
      <c r="W59" s="134">
        <f t="shared" ca="1" si="27"/>
        <v>160</v>
      </c>
      <c r="X59" s="134">
        <f t="shared" ca="1" si="28"/>
        <v>160</v>
      </c>
      <c r="Y59" s="134">
        <f t="shared" ca="1" si="16"/>
        <v>2666.5600000000086</v>
      </c>
      <c r="Z59" s="134">
        <f t="shared" ca="1" si="37"/>
        <v>55.870933333333511</v>
      </c>
      <c r="AA59" s="134">
        <f t="shared" ca="1" si="17"/>
        <v>55.870933333333511</v>
      </c>
      <c r="AB59" s="134">
        <f t="shared" ca="1" si="39"/>
        <v>73329.999999999927</v>
      </c>
      <c r="AC59" s="134">
        <f t="shared" ca="1" si="18"/>
        <v>0</v>
      </c>
      <c r="AD59" s="134">
        <f t="shared" ca="1" si="19"/>
        <v>0</v>
      </c>
      <c r="AE59" s="134">
        <f t="shared" ca="1" si="30"/>
        <v>0</v>
      </c>
      <c r="AF59" s="134">
        <f t="shared" ca="1" si="20"/>
        <v>0</v>
      </c>
      <c r="AG59" s="134">
        <f t="shared" ca="1" si="29"/>
        <v>0</v>
      </c>
      <c r="AH59" s="134">
        <f t="shared" ca="1" si="21"/>
        <v>0</v>
      </c>
      <c r="AI59" s="134">
        <f t="shared" ca="1" si="44"/>
        <v>2333.2199999999975</v>
      </c>
      <c r="AJ59" s="134">
        <f t="shared" ca="1" si="42"/>
        <v>0</v>
      </c>
      <c r="AK59" s="134">
        <f t="shared" ca="1" si="43"/>
        <v>0</v>
      </c>
      <c r="AL59" s="132">
        <f t="shared" ca="1" si="52"/>
        <v>12</v>
      </c>
      <c r="AM59" s="132">
        <f t="shared" ca="1" si="45"/>
        <v>12</v>
      </c>
      <c r="AN59" s="2">
        <f t="shared" ca="1" si="53"/>
        <v>2026</v>
      </c>
      <c r="AO59" s="2">
        <f t="shared" ca="1" si="46"/>
        <v>2026</v>
      </c>
      <c r="AP59" s="2">
        <f t="shared" ca="1" si="47"/>
        <v>0</v>
      </c>
      <c r="AQ59" s="2">
        <f t="shared" ca="1" si="48"/>
        <v>30</v>
      </c>
      <c r="AR59" s="2">
        <f t="shared" si="49"/>
        <v>20</v>
      </c>
      <c r="AS59" s="2">
        <f t="shared" ca="1" si="54"/>
        <v>30</v>
      </c>
      <c r="AT59" s="21"/>
      <c r="AU59" s="21"/>
      <c r="AV59" s="21"/>
      <c r="AW59" s="21"/>
      <c r="AX59" s="21"/>
      <c r="AY59" s="2">
        <f t="shared" ca="1" si="25"/>
        <v>1</v>
      </c>
      <c r="AZ59" s="21"/>
      <c r="BA59" s="21"/>
      <c r="BB59" s="21"/>
      <c r="BC59" s="21"/>
      <c r="BD59" s="21"/>
      <c r="BE59" s="21"/>
      <c r="BF59" s="21"/>
      <c r="BG59" s="21"/>
      <c r="BH59" s="21"/>
      <c r="BI59" s="52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40"/>
        <v>46407</v>
      </c>
      <c r="C60" s="401"/>
      <c r="D60" s="435">
        <f ca="1">IF(N60=0,IF(N59=1,SUM(D$25:E59)," "),IF(N60=0," ",IF(N61=1,D$25,IF(N61=0,D$10-D$25*(M$14-1)," "))))</f>
        <v>166.67</v>
      </c>
      <c r="E60" s="435"/>
      <c r="F60" s="151">
        <f ca="1">IF(N60=0,IF(N59=1,SUM(F$25:F59)," "),IF(M$1=1,P60,IF(M$1=2,Q60," ")))</f>
        <v>45.553266666666616</v>
      </c>
      <c r="G60" s="151">
        <f ca="1">IF(N60=0,IF(N59=1,SUM(G$25:G59)," "),IF(M$1=1,AC60,IF(M$1=2,AD60," ")))</f>
        <v>0</v>
      </c>
      <c r="H60" s="151">
        <f t="shared" ca="1" si="50"/>
        <v>212.2232666666666</v>
      </c>
      <c r="I60" s="151">
        <f t="shared" ca="1" si="31"/>
        <v>190.48</v>
      </c>
      <c r="J60" s="151">
        <f ca="1">AA60</f>
        <v>52.061333333333508</v>
      </c>
      <c r="K60" s="151">
        <f t="shared" ca="1" si="33"/>
        <v>0</v>
      </c>
      <c r="L60" s="151">
        <f t="shared" ca="1" si="34"/>
        <v>242.54133333333351</v>
      </c>
      <c r="M60" s="2">
        <v>36</v>
      </c>
      <c r="N60" s="2">
        <f t="shared" ca="1" si="38"/>
        <v>1</v>
      </c>
      <c r="O60" s="2">
        <f t="shared" ca="1" si="41"/>
        <v>20</v>
      </c>
      <c r="P60" s="134">
        <f t="shared" ca="1" si="12"/>
        <v>45.553266666666616</v>
      </c>
      <c r="Q60" s="134">
        <f t="shared" ca="1" si="13"/>
        <v>45.553266666666616</v>
      </c>
      <c r="R60" s="134">
        <f t="shared" ca="1" si="51"/>
        <v>2166.5499999999975</v>
      </c>
      <c r="S60" s="134">
        <f t="shared" ca="1" si="26"/>
        <v>166.67</v>
      </c>
      <c r="T60" s="134">
        <f t="shared" ca="1" si="15"/>
        <v>166.67</v>
      </c>
      <c r="U60" s="134">
        <f ca="1">IF(N61=1,R59*D$11*20/36000+R60*D$11*10/36000,IF(N61=0,IF(N60=0,0,IF(DAY(D$16)&gt;20,R59*D$11*20/36000+R60*D$11*(Q$12-20)/36000,R60*D11*Q12/36000+R59*D11*20/36000+R60*D11*10/36000))))</f>
        <v>45.553266666666616</v>
      </c>
      <c r="V60" s="134">
        <f ca="1">IF(N61=1,R59*D$11*20/36000+R60*D$11*10/36000,IF(N61=0,IF(N60=0,0,IF(DAY(D$16)&gt;20,R59*D$11*20/36000+R60*D$11*(Q$12-20)/36000,R60*D11*Q12/36000+R59*D11*20/36000+R60*D11*10/36000))))</f>
        <v>45.553266666666616</v>
      </c>
      <c r="W60" s="134">
        <f t="shared" ca="1" si="27"/>
        <v>160</v>
      </c>
      <c r="X60" s="134">
        <f t="shared" ca="1" si="28"/>
        <v>160</v>
      </c>
      <c r="Y60" s="134">
        <f t="shared" ca="1" si="16"/>
        <v>2476.0800000000086</v>
      </c>
      <c r="Z60" s="134">
        <f ca="1">IF(N61=1,Y59*D$11*20/36000+Y60*D$11*10/36000,IF(N61=0,IF(N60=0,0,Y60*D$11*Q$12/36000+Y59*D$11*20/36000+Y60*D$11*10/36000)))</f>
        <v>52.061333333333508</v>
      </c>
      <c r="AA60" s="134">
        <f t="shared" ca="1" si="17"/>
        <v>52.061333333333508</v>
      </c>
      <c r="AB60" s="134">
        <f t="shared" ca="1" si="39"/>
        <v>68329.899999999921</v>
      </c>
      <c r="AC60" s="134">
        <f t="shared" ca="1" si="18"/>
        <v>0</v>
      </c>
      <c r="AD60" s="134">
        <f t="shared" ca="1" si="19"/>
        <v>0</v>
      </c>
      <c r="AE60" s="134">
        <f t="shared" ca="1" si="30"/>
        <v>0</v>
      </c>
      <c r="AF60" s="134">
        <f t="shared" ca="1" si="20"/>
        <v>0</v>
      </c>
      <c r="AG60" s="134">
        <f t="shared" ca="1" si="29"/>
        <v>0</v>
      </c>
      <c r="AH60" s="134">
        <f t="shared" ca="1" si="21"/>
        <v>0</v>
      </c>
      <c r="AI60" s="134">
        <f t="shared" ca="1" si="44"/>
        <v>2166.5499999999975</v>
      </c>
      <c r="AJ60" s="134">
        <f t="shared" ca="1" si="42"/>
        <v>0</v>
      </c>
      <c r="AK60" s="134">
        <f t="shared" ca="1" si="43"/>
        <v>0</v>
      </c>
      <c r="AL60" s="132">
        <f t="shared" ca="1" si="52"/>
        <v>13</v>
      </c>
      <c r="AM60" s="132">
        <f t="shared" ca="1" si="45"/>
        <v>1</v>
      </c>
      <c r="AN60" s="2">
        <f t="shared" ca="1" si="53"/>
        <v>2026</v>
      </c>
      <c r="AO60" s="2">
        <f t="shared" ca="1" si="46"/>
        <v>2027</v>
      </c>
      <c r="AP60" s="2">
        <f t="shared" ca="1" si="47"/>
        <v>0</v>
      </c>
      <c r="AQ60" s="2">
        <f t="shared" ca="1" si="48"/>
        <v>30</v>
      </c>
      <c r="AR60" s="2">
        <f t="shared" si="49"/>
        <v>20</v>
      </c>
      <c r="AS60" s="2">
        <f t="shared" ca="1" si="54"/>
        <v>30</v>
      </c>
      <c r="AT60" s="21"/>
      <c r="AU60" s="21"/>
      <c r="AV60" s="21"/>
      <c r="AW60" s="21"/>
      <c r="AX60" s="21"/>
      <c r="AY60" s="2">
        <f t="shared" ca="1" si="25"/>
        <v>1</v>
      </c>
      <c r="AZ60" s="21"/>
      <c r="BA60" s="21"/>
      <c r="BB60" s="21"/>
      <c r="BC60" s="21"/>
      <c r="BD60" s="21"/>
      <c r="BE60" s="21"/>
      <c r="BF60" s="21"/>
      <c r="BG60" s="21"/>
      <c r="BH60" s="21"/>
      <c r="BI60" s="52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ca="1">IF(N61=0,IF(N60=1,"ИТОГО"," "),IF(M61=M14,DATE(YEAR(B60),MONTH(B60),O61),DATE(YEAR(B60),MONTH(B60)+1,O61)))</f>
        <v>46438</v>
      </c>
      <c r="C61" s="401"/>
      <c r="D61" s="435">
        <f ca="1">IF(N61=0,IF(N60=1,SUM(D$25:E60)," "),IF(N61=0," ",IF(N62=1,D$25,IF(N62=0,D$10-D$25*(M$14-1)," "))))</f>
        <v>166.67</v>
      </c>
      <c r="E61" s="435"/>
      <c r="F61" s="151">
        <f ca="1">IF(N61=0,IF(N60=1,SUM(F$25:F60)," "),IF(M$1=1,P61,IF(M$1=2,Q61," ")))</f>
        <v>42.219866666666618</v>
      </c>
      <c r="G61" s="151">
        <f ca="1">IF(N61=0,IF(N60=1,SUM(G$25:G60)," "),IF(M$1=1,AC61,IF(M$1=2,AD61," ")))</f>
        <v>0</v>
      </c>
      <c r="H61" s="151">
        <f t="shared" ca="1" si="50"/>
        <v>208.88986666666659</v>
      </c>
      <c r="I61" s="151">
        <f t="shared" ca="1" si="31"/>
        <v>190.48</v>
      </c>
      <c r="J61" s="151">
        <f t="shared" ca="1" si="32"/>
        <v>48.251733333333505</v>
      </c>
      <c r="K61" s="151">
        <f t="shared" ca="1" si="33"/>
        <v>0</v>
      </c>
      <c r="L61" s="151">
        <f t="shared" ca="1" si="34"/>
        <v>238.73173333333349</v>
      </c>
      <c r="M61" s="2">
        <v>37</v>
      </c>
      <c r="N61" s="2">
        <f t="shared" ca="1" si="38"/>
        <v>1</v>
      </c>
      <c r="O61" s="2">
        <f ca="1">IF(M61=A$14,IF(MONTH(B60)=-2,AS61,DATE(YEAR(0),MONTH(0),DAY(D$16)-1)),AR61)</f>
        <v>20</v>
      </c>
      <c r="P61" s="134">
        <f t="shared" ca="1" si="12"/>
        <v>42.219866666666618</v>
      </c>
      <c r="Q61" s="134">
        <f t="shared" ca="1" si="13"/>
        <v>42.219866666666618</v>
      </c>
      <c r="R61" s="134">
        <f t="shared" ca="1" si="51"/>
        <v>1999.8799999999974</v>
      </c>
      <c r="S61" s="134">
        <f t="shared" ca="1" si="26"/>
        <v>166.67</v>
      </c>
      <c r="T61" s="134">
        <f t="shared" ca="1" si="15"/>
        <v>166.67</v>
      </c>
      <c r="U61" s="134">
        <f t="shared" ca="1" si="35"/>
        <v>42.219866666666618</v>
      </c>
      <c r="V61" s="134">
        <f t="shared" ca="1" si="36"/>
        <v>42.219866666666618</v>
      </c>
      <c r="W61" s="134">
        <f t="shared" ca="1" si="27"/>
        <v>160</v>
      </c>
      <c r="X61" s="134">
        <f t="shared" ca="1" si="28"/>
        <v>160</v>
      </c>
      <c r="Y61" s="134">
        <f t="shared" ca="1" si="16"/>
        <v>2285.6000000000085</v>
      </c>
      <c r="Z61" s="134">
        <f t="shared" ca="1" si="37"/>
        <v>48.251733333333505</v>
      </c>
      <c r="AA61" s="134">
        <f t="shared" ca="1" si="17"/>
        <v>48.251733333333505</v>
      </c>
      <c r="AB61" s="134">
        <f t="shared" ca="1" si="39"/>
        <v>63329.799999999923</v>
      </c>
      <c r="AC61" s="134">
        <f t="shared" ca="1" si="18"/>
        <v>0</v>
      </c>
      <c r="AD61" s="134">
        <f t="shared" ca="1" si="19"/>
        <v>0</v>
      </c>
      <c r="AE61" s="134">
        <f t="shared" ca="1" si="30"/>
        <v>0</v>
      </c>
      <c r="AF61" s="134">
        <f t="shared" ca="1" si="20"/>
        <v>0</v>
      </c>
      <c r="AG61" s="134">
        <f t="shared" ca="1" si="29"/>
        <v>0</v>
      </c>
      <c r="AH61" s="134">
        <f t="shared" ca="1" si="21"/>
        <v>0</v>
      </c>
      <c r="AI61" s="134">
        <f t="shared" ca="1" si="44"/>
        <v>1999.8799999999974</v>
      </c>
      <c r="AJ61" s="134">
        <f ca="1">IF(N62=1,AI60*G$12*20/36000+AI61*G$12*10/36000,IF(N62=0,IF(N61=0,0,AI61*G$12*Q$12/36000)))</f>
        <v>0</v>
      </c>
      <c r="AK61" s="134">
        <f ca="1">IF(N62=1,AI60*G$12*20/36000+AI61*G$12*10/36000,IF(N62=0,IF(N61=0,0,AI61*G$12*Q$12/36000)))</f>
        <v>0</v>
      </c>
      <c r="AL61" s="132">
        <f t="shared" ca="1" si="52"/>
        <v>2</v>
      </c>
      <c r="AM61" s="132">
        <f t="shared" ca="1" si="45"/>
        <v>2</v>
      </c>
      <c r="AN61" s="2">
        <f t="shared" ca="1" si="53"/>
        <v>2027</v>
      </c>
      <c r="AO61" s="2">
        <f t="shared" ca="1" si="46"/>
        <v>2027</v>
      </c>
      <c r="AP61" s="2">
        <f t="shared" ca="1" si="47"/>
        <v>0</v>
      </c>
      <c r="AQ61" s="2">
        <f t="shared" ca="1" si="48"/>
        <v>28</v>
      </c>
      <c r="AR61" s="2">
        <f t="shared" si="49"/>
        <v>20</v>
      </c>
      <c r="AS61" s="2">
        <f t="shared" ca="1" si="54"/>
        <v>30</v>
      </c>
      <c r="AT61" s="21"/>
      <c r="AU61" s="21"/>
      <c r="AV61" s="21"/>
      <c r="AW61" s="21"/>
      <c r="AX61" s="21"/>
      <c r="AY61" s="2">
        <f t="shared" ca="1" si="25"/>
        <v>1</v>
      </c>
      <c r="AZ61" s="21"/>
      <c r="BA61" s="21"/>
      <c r="BB61" s="21"/>
      <c r="BC61" s="21"/>
      <c r="BD61" s="21"/>
      <c r="BE61" s="21"/>
      <c r="BF61" s="21"/>
      <c r="BG61" s="21"/>
      <c r="BH61" s="21"/>
      <c r="BI61" s="52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ref="B62:B72" ca="1" si="55">IF(N62=0,IF(N61=1,"ИТОГО"," "),DATE(YEAR(B61),MONTH(B61)+1,O62))</f>
        <v>46466</v>
      </c>
      <c r="C62" s="401"/>
      <c r="D62" s="435">
        <f ca="1">IF(N62=0,IF(N61=1,SUM(D$25:E61)," "),IF(N62=0," ",IF(N63=1,D$25,IF(N63=0,D$10-D$25*(M$14-1)," "))))</f>
        <v>166.67</v>
      </c>
      <c r="E62" s="435"/>
      <c r="F62" s="151">
        <f ca="1">IF(N62=0,IF(N61=1,SUM(F$25:F61)," "),IF(M$1=1,P62,IF(M$1=2,Q62," ")))</f>
        <v>38.886466666666614</v>
      </c>
      <c r="G62" s="151">
        <f ca="1">IF(N62=0,IF(N61=1,SUM(G$25:G61)," "),IF(M$1=1,AC62,IF(M$1=2,AD62," ")))</f>
        <v>0</v>
      </c>
      <c r="H62" s="151">
        <f t="shared" ca="1" si="50"/>
        <v>205.55646666666661</v>
      </c>
      <c r="I62" s="151">
        <f t="shared" ca="1" si="31"/>
        <v>190.48</v>
      </c>
      <c r="J62" s="151">
        <f t="shared" ca="1" si="32"/>
        <v>44.442133333333508</v>
      </c>
      <c r="K62" s="151">
        <f t="shared" ca="1" si="33"/>
        <v>0</v>
      </c>
      <c r="L62" s="151">
        <f t="shared" ca="1" si="34"/>
        <v>234.92213333333351</v>
      </c>
      <c r="M62" s="2">
        <v>38</v>
      </c>
      <c r="N62" s="2">
        <f t="shared" ca="1" si="38"/>
        <v>1</v>
      </c>
      <c r="O62" s="2">
        <f t="shared" ref="O62:O72" ca="1" si="56">IF(M62=A$14,IF(DATE(YEAR(0),MONTH(0),DAY(D$16)-1)&lt;AR62,DATE(YEAR(0),MONTH(0),DAY(D$16)-1),AR62),AR62)</f>
        <v>20</v>
      </c>
      <c r="P62" s="134">
        <f t="shared" ca="1" si="12"/>
        <v>38.886466666666614</v>
      </c>
      <c r="Q62" s="134">
        <f t="shared" ca="1" si="13"/>
        <v>38.886466666666614</v>
      </c>
      <c r="R62" s="134">
        <f t="shared" ca="1" si="51"/>
        <v>1833.2099999999973</v>
      </c>
      <c r="S62" s="134">
        <f t="shared" ca="1" si="26"/>
        <v>166.67</v>
      </c>
      <c r="T62" s="134">
        <f t="shared" ca="1" si="15"/>
        <v>166.67</v>
      </c>
      <c r="U62" s="134">
        <f t="shared" ca="1" si="35"/>
        <v>38.886466666666614</v>
      </c>
      <c r="V62" s="134">
        <f t="shared" ca="1" si="36"/>
        <v>38.886466666666614</v>
      </c>
      <c r="W62" s="134">
        <f t="shared" ca="1" si="27"/>
        <v>160</v>
      </c>
      <c r="X62" s="134">
        <f t="shared" ca="1" si="28"/>
        <v>160</v>
      </c>
      <c r="Y62" s="134">
        <f t="shared" ca="1" si="16"/>
        <v>2095.1200000000085</v>
      </c>
      <c r="Z62" s="134">
        <f t="shared" ca="1" si="37"/>
        <v>44.442133333333508</v>
      </c>
      <c r="AA62" s="134">
        <f t="shared" ca="1" si="17"/>
        <v>44.442133333333508</v>
      </c>
      <c r="AB62" s="134">
        <f t="shared" ca="1" si="39"/>
        <v>58329.699999999924</v>
      </c>
      <c r="AC62" s="134">
        <f t="shared" ca="1" si="18"/>
        <v>0</v>
      </c>
      <c r="AD62" s="134">
        <f t="shared" ca="1" si="19"/>
        <v>0</v>
      </c>
      <c r="AE62" s="134">
        <f t="shared" ca="1" si="30"/>
        <v>0</v>
      </c>
      <c r="AF62" s="134">
        <f t="shared" ca="1" si="20"/>
        <v>0</v>
      </c>
      <c r="AG62" s="134">
        <f t="shared" ca="1" si="29"/>
        <v>0</v>
      </c>
      <c r="AH62" s="134">
        <f t="shared" ca="1" si="21"/>
        <v>0</v>
      </c>
      <c r="AI62" s="134">
        <f t="shared" ca="1" si="44"/>
        <v>1833.2099999999973</v>
      </c>
      <c r="AJ62" s="134">
        <f t="shared" ref="AJ62:AJ72" ca="1" si="57">IF(N63=1,AI61*G$12*20/36000+AI62*G$12*10/36000,IF(N63=0,IF(N62=0,0,AI62*G$12*Q$12/36000+AI61*G$12*20/36000+AI62*G$12*10/36000)))</f>
        <v>0</v>
      </c>
      <c r="AK62" s="134">
        <f t="shared" ref="AK62:AK72" ca="1" si="58">IF(N63=1,AI61*G$12*20/36000+AI62*G$12*10/36000,IF(N63=0,IF(N62=0,0,AI62*G$12*Q$12/36000+AI61*G$12*20/36000+AI62*G$12*10/36000)))</f>
        <v>0</v>
      </c>
      <c r="AL62" s="132">
        <f t="shared" ca="1" si="52"/>
        <v>3</v>
      </c>
      <c r="AM62" s="132">
        <f t="shared" ca="1" si="45"/>
        <v>3</v>
      </c>
      <c r="AN62" s="2">
        <f t="shared" ca="1" si="53"/>
        <v>2027</v>
      </c>
      <c r="AO62" s="2">
        <f t="shared" ca="1" si="46"/>
        <v>2027</v>
      </c>
      <c r="AP62" s="2">
        <f t="shared" ca="1" si="47"/>
        <v>0</v>
      </c>
      <c r="AQ62" s="2">
        <f t="shared" ca="1" si="48"/>
        <v>30</v>
      </c>
      <c r="AR62" s="2">
        <f t="shared" si="49"/>
        <v>20</v>
      </c>
      <c r="AS62" s="2">
        <f t="shared" ca="1" si="54"/>
        <v>28</v>
      </c>
      <c r="AT62" s="21"/>
      <c r="AU62" s="21"/>
      <c r="AV62" s="21"/>
      <c r="AW62" s="21"/>
      <c r="AX62" s="21"/>
      <c r="AY62" s="2">
        <f t="shared" ca="1" si="25"/>
        <v>1</v>
      </c>
      <c r="AZ62" s="21"/>
      <c r="BA62" s="21"/>
      <c r="BB62" s="21"/>
      <c r="BC62" s="21"/>
      <c r="BD62" s="21"/>
      <c r="BE62" s="21"/>
      <c r="BF62" s="21"/>
      <c r="BG62" s="21"/>
      <c r="BH62" s="21"/>
      <c r="BI62" s="52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5"/>
        <v>46497</v>
      </c>
      <c r="C63" s="401"/>
      <c r="D63" s="435">
        <f ca="1">IF(N63=0,IF(N62=1,SUM(D$25:E62)," "),IF(N63=0," ",IF(N64=1,D$25,IF(N64=0,D$10-D$25*(M$14-1)," "))))</f>
        <v>166.67</v>
      </c>
      <c r="E63" s="435"/>
      <c r="F63" s="151">
        <f ca="1">IF(N63=0,IF(N62=1,SUM(F$25:F62)," "),IF(M$1=1,P63,IF(M$1=2,Q63," ")))</f>
        <v>35.553066666666609</v>
      </c>
      <c r="G63" s="151">
        <f ca="1">IF(N63=0,IF(N62=1,SUM(G$25:G62)," "),IF(M$1=1,AC63,IF(M$1=2,AD63," ")))</f>
        <v>0</v>
      </c>
      <c r="H63" s="151">
        <f t="shared" ca="1" si="50"/>
        <v>202.2230666666666</v>
      </c>
      <c r="I63" s="151">
        <f t="shared" ca="1" si="31"/>
        <v>190.48</v>
      </c>
      <c r="J63" s="151">
        <f t="shared" ca="1" si="32"/>
        <v>40.632533333333512</v>
      </c>
      <c r="K63" s="151">
        <f t="shared" ca="1" si="33"/>
        <v>0</v>
      </c>
      <c r="L63" s="151">
        <f t="shared" ca="1" si="34"/>
        <v>231.11253333333349</v>
      </c>
      <c r="M63" s="2">
        <v>39</v>
      </c>
      <c r="N63" s="2">
        <f t="shared" ca="1" si="38"/>
        <v>1</v>
      </c>
      <c r="O63" s="2">
        <f t="shared" ca="1" si="56"/>
        <v>20</v>
      </c>
      <c r="P63" s="134">
        <f t="shared" ca="1" si="12"/>
        <v>35.553066666666609</v>
      </c>
      <c r="Q63" s="134">
        <f t="shared" ca="1" si="13"/>
        <v>35.553066666666609</v>
      </c>
      <c r="R63" s="134">
        <f t="shared" ca="1" si="51"/>
        <v>1666.5399999999972</v>
      </c>
      <c r="S63" s="134">
        <f t="shared" ca="1" si="26"/>
        <v>166.67</v>
      </c>
      <c r="T63" s="134">
        <f t="shared" ca="1" si="15"/>
        <v>166.67</v>
      </c>
      <c r="U63" s="134">
        <f t="shared" ca="1" si="35"/>
        <v>35.553066666666609</v>
      </c>
      <c r="V63" s="134">
        <f t="shared" ca="1" si="36"/>
        <v>35.553066666666609</v>
      </c>
      <c r="W63" s="134">
        <f t="shared" ca="1" si="27"/>
        <v>160</v>
      </c>
      <c r="X63" s="134">
        <f t="shared" ca="1" si="28"/>
        <v>160</v>
      </c>
      <c r="Y63" s="134">
        <f t="shared" ca="1" si="16"/>
        <v>1904.6400000000085</v>
      </c>
      <c r="Z63" s="134">
        <f t="shared" ca="1" si="37"/>
        <v>40.632533333333512</v>
      </c>
      <c r="AA63" s="134">
        <f t="shared" ca="1" si="17"/>
        <v>40.632533333333512</v>
      </c>
      <c r="AB63" s="134">
        <f t="shared" ca="1" si="39"/>
        <v>53329.599999999919</v>
      </c>
      <c r="AC63" s="134">
        <f t="shared" ca="1" si="18"/>
        <v>0</v>
      </c>
      <c r="AD63" s="134">
        <f t="shared" ca="1" si="19"/>
        <v>0</v>
      </c>
      <c r="AE63" s="134">
        <f t="shared" ca="1" si="30"/>
        <v>0</v>
      </c>
      <c r="AF63" s="134">
        <f t="shared" ca="1" si="20"/>
        <v>0</v>
      </c>
      <c r="AG63" s="134">
        <f t="shared" ca="1" si="29"/>
        <v>0</v>
      </c>
      <c r="AH63" s="134">
        <f t="shared" ca="1" si="21"/>
        <v>0</v>
      </c>
      <c r="AI63" s="134">
        <f t="shared" ca="1" si="44"/>
        <v>1666.5399999999972</v>
      </c>
      <c r="AJ63" s="134">
        <f t="shared" ca="1" si="57"/>
        <v>0</v>
      </c>
      <c r="AK63" s="134">
        <f t="shared" ca="1" si="58"/>
        <v>0</v>
      </c>
      <c r="AL63" s="132">
        <f t="shared" ca="1" si="52"/>
        <v>4</v>
      </c>
      <c r="AM63" s="132">
        <f t="shared" ca="1" si="45"/>
        <v>4</v>
      </c>
      <c r="AN63" s="2">
        <f t="shared" ca="1" si="53"/>
        <v>2027</v>
      </c>
      <c r="AO63" s="2">
        <f t="shared" ca="1" si="46"/>
        <v>2027</v>
      </c>
      <c r="AP63" s="2">
        <f t="shared" ca="1" si="47"/>
        <v>0</v>
      </c>
      <c r="AQ63" s="2">
        <f t="shared" ca="1" si="48"/>
        <v>30</v>
      </c>
      <c r="AR63" s="2">
        <f t="shared" si="49"/>
        <v>20</v>
      </c>
      <c r="AS63" s="2">
        <f t="shared" ca="1" si="54"/>
        <v>30</v>
      </c>
      <c r="AT63" s="21"/>
      <c r="AU63" s="21"/>
      <c r="AV63" s="21"/>
      <c r="AW63" s="21"/>
      <c r="AX63" s="21"/>
      <c r="AY63" s="2">
        <f t="shared" ca="1" si="25"/>
        <v>1</v>
      </c>
      <c r="AZ63" s="21"/>
      <c r="BA63" s="21"/>
      <c r="BB63" s="21"/>
      <c r="BC63" s="21"/>
      <c r="BD63" s="21"/>
      <c r="BE63" s="21"/>
      <c r="BF63" s="21"/>
      <c r="BG63" s="21"/>
      <c r="BH63" s="21"/>
      <c r="BI63" s="52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5"/>
        <v>46527</v>
      </c>
      <c r="C64" s="401"/>
      <c r="D64" s="435">
        <f ca="1">IF(N64=0,IF(N63=1,SUM(D$25:E63)," "),IF(N64=0," ",IF(N65=1,D$25,IF(N65=0,D$10-D$25*(M$14-1)," "))))</f>
        <v>166.67</v>
      </c>
      <c r="E64" s="435"/>
      <c r="F64" s="151">
        <f ca="1">IF(N64=0,IF(N63=1,SUM(F$25:F63)," "),IF(M$1=1,P64,IF(M$1=2,Q64," ")))</f>
        <v>32.219666666666612</v>
      </c>
      <c r="G64" s="151">
        <f ca="1">IF(N64=0,IF(N63=1,SUM(G$25:G63)," "),IF(M$1=1,AC64,IF(M$1=2,AD64," ")))</f>
        <v>0</v>
      </c>
      <c r="H64" s="151">
        <f t="shared" ca="1" si="50"/>
        <v>198.88966666666659</v>
      </c>
      <c r="I64" s="151">
        <f t="shared" ca="1" si="31"/>
        <v>190.48</v>
      </c>
      <c r="J64" s="151">
        <f t="shared" ca="1" si="32"/>
        <v>36.822933333333509</v>
      </c>
      <c r="K64" s="151">
        <f t="shared" ca="1" si="33"/>
        <v>0</v>
      </c>
      <c r="L64" s="151">
        <f t="shared" ca="1" si="34"/>
        <v>227.3029333333335</v>
      </c>
      <c r="M64" s="2">
        <v>40</v>
      </c>
      <c r="N64" s="2">
        <f t="shared" ca="1" si="38"/>
        <v>1</v>
      </c>
      <c r="O64" s="2">
        <f t="shared" ca="1" si="56"/>
        <v>20</v>
      </c>
      <c r="P64" s="134">
        <f t="shared" ca="1" si="12"/>
        <v>32.219666666666612</v>
      </c>
      <c r="Q64" s="134">
        <f t="shared" ca="1" si="13"/>
        <v>32.219666666666612</v>
      </c>
      <c r="R64" s="134">
        <f t="shared" ca="1" si="51"/>
        <v>1499.8699999999972</v>
      </c>
      <c r="S64" s="134">
        <f t="shared" ca="1" si="26"/>
        <v>166.67</v>
      </c>
      <c r="T64" s="134">
        <f t="shared" ca="1" si="15"/>
        <v>166.67</v>
      </c>
      <c r="U64" s="134">
        <f t="shared" ca="1" si="35"/>
        <v>32.219666666666612</v>
      </c>
      <c r="V64" s="134">
        <f t="shared" ca="1" si="36"/>
        <v>32.219666666666612</v>
      </c>
      <c r="W64" s="134">
        <f t="shared" ca="1" si="27"/>
        <v>160</v>
      </c>
      <c r="X64" s="134">
        <f t="shared" ca="1" si="28"/>
        <v>160</v>
      </c>
      <c r="Y64" s="134">
        <f t="shared" ca="1" si="16"/>
        <v>1714.1600000000085</v>
      </c>
      <c r="Z64" s="134">
        <f t="shared" ca="1" si="37"/>
        <v>36.822933333333509</v>
      </c>
      <c r="AA64" s="134">
        <f t="shared" ca="1" si="17"/>
        <v>36.822933333333509</v>
      </c>
      <c r="AB64" s="134">
        <f t="shared" ca="1" si="39"/>
        <v>48329.499999999913</v>
      </c>
      <c r="AC64" s="134">
        <f t="shared" ca="1" si="18"/>
        <v>0</v>
      </c>
      <c r="AD64" s="134">
        <f t="shared" ca="1" si="19"/>
        <v>0</v>
      </c>
      <c r="AE64" s="134">
        <f t="shared" ca="1" si="30"/>
        <v>0</v>
      </c>
      <c r="AF64" s="134">
        <f t="shared" ca="1" si="20"/>
        <v>0</v>
      </c>
      <c r="AG64" s="134">
        <f t="shared" ca="1" si="29"/>
        <v>0</v>
      </c>
      <c r="AH64" s="134">
        <f t="shared" ca="1" si="21"/>
        <v>0</v>
      </c>
      <c r="AI64" s="134">
        <f t="shared" ca="1" si="44"/>
        <v>1499.8699999999972</v>
      </c>
      <c r="AJ64" s="134">
        <f t="shared" ca="1" si="57"/>
        <v>0</v>
      </c>
      <c r="AK64" s="134">
        <f t="shared" ca="1" si="58"/>
        <v>0</v>
      </c>
      <c r="AL64" s="132">
        <f t="shared" ca="1" si="52"/>
        <v>5</v>
      </c>
      <c r="AM64" s="132">
        <f t="shared" ca="1" si="45"/>
        <v>5</v>
      </c>
      <c r="AN64" s="2">
        <f t="shared" ca="1" si="53"/>
        <v>2027</v>
      </c>
      <c r="AO64" s="2">
        <f t="shared" ca="1" si="46"/>
        <v>2027</v>
      </c>
      <c r="AP64" s="2">
        <f t="shared" ca="1" si="47"/>
        <v>0</v>
      </c>
      <c r="AQ64" s="2">
        <f t="shared" ca="1" si="48"/>
        <v>30</v>
      </c>
      <c r="AR64" s="2">
        <f t="shared" si="49"/>
        <v>20</v>
      </c>
      <c r="AS64" s="2">
        <f t="shared" ca="1" si="54"/>
        <v>30</v>
      </c>
      <c r="AT64" s="21"/>
      <c r="AU64" s="21"/>
      <c r="AV64" s="21"/>
      <c r="AW64" s="21"/>
      <c r="AX64" s="21"/>
      <c r="AY64" s="2">
        <f t="shared" ca="1" si="25"/>
        <v>1</v>
      </c>
      <c r="AZ64" s="21"/>
      <c r="BA64" s="21"/>
      <c r="BB64" s="21"/>
      <c r="BC64" s="21"/>
      <c r="BD64" s="21"/>
      <c r="BE64" s="21"/>
      <c r="BF64" s="21"/>
      <c r="BG64" s="21"/>
      <c r="BH64" s="21"/>
      <c r="BI64" s="52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5"/>
        <v>46558</v>
      </c>
      <c r="C65" s="401"/>
      <c r="D65" s="435">
        <f ca="1">IF(N65=0,IF(N64=1,SUM(D$25:E64)," "),IF(N65=0," ",IF(N66=1,D$25,IF(N66=0,D$10-D$25*(M$14-1)," "))))</f>
        <v>166.67</v>
      </c>
      <c r="E65" s="435"/>
      <c r="F65" s="151">
        <f ca="1">IF(N65=0,IF(N64=1,SUM(F$25:F64)," "),IF(M$1=1,P65,IF(M$1=2,Q65," ")))</f>
        <v>28.886266666666611</v>
      </c>
      <c r="G65" s="151">
        <f ca="1">IF(N65=0,IF(N64=1,SUM(G$25:G64)," "),IF(M$1=1,AC65,IF(M$1=2,AD65," ")))</f>
        <v>0</v>
      </c>
      <c r="H65" s="151">
        <f t="shared" ca="1" si="50"/>
        <v>195.5562666666666</v>
      </c>
      <c r="I65" s="151">
        <f t="shared" ca="1" si="31"/>
        <v>190.48</v>
      </c>
      <c r="J65" s="151">
        <f t="shared" ca="1" si="32"/>
        <v>33.013333333333506</v>
      </c>
      <c r="K65" s="151">
        <f t="shared" ca="1" si="33"/>
        <v>0</v>
      </c>
      <c r="L65" s="151">
        <f t="shared" ca="1" si="34"/>
        <v>223.49333333333351</v>
      </c>
      <c r="M65" s="2">
        <v>41</v>
      </c>
      <c r="N65" s="2">
        <f t="shared" ca="1" si="38"/>
        <v>1</v>
      </c>
      <c r="O65" s="2">
        <f t="shared" ca="1" si="56"/>
        <v>20</v>
      </c>
      <c r="P65" s="134">
        <f t="shared" ca="1" si="12"/>
        <v>28.886266666666611</v>
      </c>
      <c r="Q65" s="134">
        <f t="shared" ca="1" si="13"/>
        <v>28.886266666666611</v>
      </c>
      <c r="R65" s="134">
        <f t="shared" ca="1" si="51"/>
        <v>1333.1999999999971</v>
      </c>
      <c r="S65" s="134">
        <f t="shared" ca="1" si="26"/>
        <v>166.67</v>
      </c>
      <c r="T65" s="134">
        <f t="shared" ca="1" si="15"/>
        <v>166.67</v>
      </c>
      <c r="U65" s="134">
        <f t="shared" ca="1" si="35"/>
        <v>28.886266666666611</v>
      </c>
      <c r="V65" s="134">
        <f t="shared" ca="1" si="36"/>
        <v>28.886266666666611</v>
      </c>
      <c r="W65" s="134">
        <f t="shared" ca="1" si="27"/>
        <v>160</v>
      </c>
      <c r="X65" s="134">
        <f t="shared" ca="1" si="28"/>
        <v>160</v>
      </c>
      <c r="Y65" s="134">
        <f t="shared" ca="1" si="16"/>
        <v>1523.6800000000085</v>
      </c>
      <c r="Z65" s="134">
        <f t="shared" ca="1" si="37"/>
        <v>33.013333333333506</v>
      </c>
      <c r="AA65" s="134">
        <f t="shared" ca="1" si="17"/>
        <v>33.013333333333506</v>
      </c>
      <c r="AB65" s="134">
        <f t="shared" ca="1" si="39"/>
        <v>43329.399999999914</v>
      </c>
      <c r="AC65" s="134">
        <f t="shared" ca="1" si="18"/>
        <v>0</v>
      </c>
      <c r="AD65" s="134">
        <f t="shared" ca="1" si="19"/>
        <v>0</v>
      </c>
      <c r="AE65" s="134">
        <f t="shared" ca="1" si="30"/>
        <v>0</v>
      </c>
      <c r="AF65" s="134">
        <f t="shared" ca="1" si="20"/>
        <v>0</v>
      </c>
      <c r="AG65" s="134">
        <f t="shared" ca="1" si="29"/>
        <v>0</v>
      </c>
      <c r="AH65" s="134">
        <f t="shared" ca="1" si="21"/>
        <v>0</v>
      </c>
      <c r="AI65" s="134">
        <f t="shared" ca="1" si="44"/>
        <v>1333.1999999999971</v>
      </c>
      <c r="AJ65" s="134">
        <f t="shared" ca="1" si="57"/>
        <v>0</v>
      </c>
      <c r="AK65" s="134">
        <f t="shared" ca="1" si="58"/>
        <v>0</v>
      </c>
      <c r="AL65" s="132">
        <f t="shared" ca="1" si="52"/>
        <v>6</v>
      </c>
      <c r="AM65" s="132">
        <f t="shared" ca="1" si="45"/>
        <v>6</v>
      </c>
      <c r="AN65" s="2">
        <f t="shared" ca="1" si="53"/>
        <v>2027</v>
      </c>
      <c r="AO65" s="2">
        <f t="shared" ca="1" si="46"/>
        <v>2027</v>
      </c>
      <c r="AP65" s="2">
        <f t="shared" ca="1" si="47"/>
        <v>0</v>
      </c>
      <c r="AQ65" s="2">
        <f t="shared" ca="1" si="48"/>
        <v>30</v>
      </c>
      <c r="AR65" s="2">
        <f t="shared" si="49"/>
        <v>20</v>
      </c>
      <c r="AS65" s="2">
        <f t="shared" ca="1" si="54"/>
        <v>30</v>
      </c>
      <c r="AT65" s="21"/>
      <c r="AU65" s="21"/>
      <c r="AV65" s="21"/>
      <c r="AW65" s="21"/>
      <c r="AX65" s="21"/>
      <c r="AY65" s="2">
        <f t="shared" ca="1" si="25"/>
        <v>1</v>
      </c>
      <c r="AZ65" s="21"/>
      <c r="BA65" s="21"/>
      <c r="BB65" s="21"/>
      <c r="BC65" s="21"/>
      <c r="BD65" s="21"/>
      <c r="BE65" s="21"/>
      <c r="BF65" s="21"/>
      <c r="BG65" s="21"/>
      <c r="BH65" s="21"/>
      <c r="BI65" s="52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5"/>
        <v>46588</v>
      </c>
      <c r="C66" s="401"/>
      <c r="D66" s="435">
        <f ca="1">IF(N66=0,IF(N65=1,SUM(D$25:E65)," "),IF(N66=0," ",IF(N67=1,D$25,IF(N67=0,D$10-D$25*(M$14-1)," "))))</f>
        <v>166.67</v>
      </c>
      <c r="E66" s="435"/>
      <c r="F66" s="151">
        <f ca="1">IF(N66=0,IF(N65=1,SUM(F$25:F65)," "),IF(M$1=1,P66,IF(M$1=2,Q66," ")))</f>
        <v>25.552866666666606</v>
      </c>
      <c r="G66" s="151">
        <f ca="1">IF(N66=0,IF(N65=1,SUM(G$25:G65)," "),IF(M$1=1,AC66,IF(M$1=2,AD66," ")))</f>
        <v>0</v>
      </c>
      <c r="H66" s="151">
        <f t="shared" ca="1" si="50"/>
        <v>192.22286666666659</v>
      </c>
      <c r="I66" s="151">
        <f t="shared" ca="1" si="31"/>
        <v>190.48</v>
      </c>
      <c r="J66" s="151">
        <f t="shared" ca="1" si="32"/>
        <v>29.203733333333503</v>
      </c>
      <c r="K66" s="151">
        <f t="shared" ca="1" si="33"/>
        <v>0</v>
      </c>
      <c r="L66" s="151">
        <f t="shared" ca="1" si="34"/>
        <v>219.68373333333349</v>
      </c>
      <c r="M66" s="2">
        <v>42</v>
      </c>
      <c r="N66" s="2">
        <f t="shared" ca="1" si="38"/>
        <v>1</v>
      </c>
      <c r="O66" s="2">
        <f t="shared" ca="1" si="56"/>
        <v>20</v>
      </c>
      <c r="P66" s="134">
        <f t="shared" ca="1" si="12"/>
        <v>25.552866666666606</v>
      </c>
      <c r="Q66" s="134">
        <f t="shared" ca="1" si="13"/>
        <v>25.552866666666606</v>
      </c>
      <c r="R66" s="134">
        <f t="shared" ca="1" si="51"/>
        <v>1166.529999999997</v>
      </c>
      <c r="S66" s="134">
        <f t="shared" ca="1" si="26"/>
        <v>166.67</v>
      </c>
      <c r="T66" s="134">
        <f t="shared" ca="1" si="15"/>
        <v>166.67</v>
      </c>
      <c r="U66" s="134">
        <f t="shared" ca="1" si="35"/>
        <v>25.552866666666606</v>
      </c>
      <c r="V66" s="134">
        <f t="shared" ca="1" si="36"/>
        <v>25.552866666666606</v>
      </c>
      <c r="W66" s="134">
        <f t="shared" ca="1" si="27"/>
        <v>160</v>
      </c>
      <c r="X66" s="134">
        <f t="shared" ca="1" si="28"/>
        <v>160</v>
      </c>
      <c r="Y66" s="134">
        <f t="shared" ca="1" si="16"/>
        <v>1333.2000000000085</v>
      </c>
      <c r="Z66" s="134">
        <f t="shared" ca="1" si="37"/>
        <v>29.203733333333503</v>
      </c>
      <c r="AA66" s="134">
        <f t="shared" ca="1" si="17"/>
        <v>29.203733333333503</v>
      </c>
      <c r="AB66" s="134">
        <f t="shared" ca="1" si="39"/>
        <v>38329.299999999916</v>
      </c>
      <c r="AC66" s="134">
        <f t="shared" ca="1" si="18"/>
        <v>0</v>
      </c>
      <c r="AD66" s="134">
        <f t="shared" ca="1" si="19"/>
        <v>0</v>
      </c>
      <c r="AE66" s="134">
        <f t="shared" ca="1" si="30"/>
        <v>0</v>
      </c>
      <c r="AF66" s="134">
        <f t="shared" ca="1" si="20"/>
        <v>0</v>
      </c>
      <c r="AG66" s="134">
        <f t="shared" ca="1" si="29"/>
        <v>0</v>
      </c>
      <c r="AH66" s="134">
        <f t="shared" ca="1" si="21"/>
        <v>0</v>
      </c>
      <c r="AI66" s="134">
        <f t="shared" ca="1" si="44"/>
        <v>1166.529999999997</v>
      </c>
      <c r="AJ66" s="134">
        <f t="shared" ca="1" si="57"/>
        <v>0</v>
      </c>
      <c r="AK66" s="134">
        <f t="shared" ca="1" si="58"/>
        <v>0</v>
      </c>
      <c r="AL66" s="132">
        <f t="shared" ca="1" si="52"/>
        <v>7</v>
      </c>
      <c r="AM66" s="132">
        <f t="shared" ca="1" si="45"/>
        <v>7</v>
      </c>
      <c r="AN66" s="2">
        <f t="shared" ca="1" si="53"/>
        <v>2027</v>
      </c>
      <c r="AO66" s="2">
        <f t="shared" ca="1" si="46"/>
        <v>2027</v>
      </c>
      <c r="AP66" s="2">
        <f t="shared" ca="1" si="47"/>
        <v>0</v>
      </c>
      <c r="AQ66" s="2">
        <f t="shared" ca="1" si="48"/>
        <v>30</v>
      </c>
      <c r="AR66" s="2">
        <f t="shared" si="49"/>
        <v>20</v>
      </c>
      <c r="AS66" s="2">
        <f t="shared" ca="1" si="54"/>
        <v>30</v>
      </c>
      <c r="AT66" s="21"/>
      <c r="AU66" s="21"/>
      <c r="AV66" s="21"/>
      <c r="AW66" s="21"/>
      <c r="AX66" s="21"/>
      <c r="AY66" s="2">
        <f t="shared" ca="1" si="25"/>
        <v>1</v>
      </c>
      <c r="AZ66" s="21"/>
      <c r="BA66" s="21"/>
      <c r="BB66" s="21"/>
      <c r="BC66" s="21"/>
      <c r="BD66" s="21"/>
      <c r="BE66" s="21"/>
      <c r="BF66" s="21"/>
      <c r="BG66" s="21"/>
      <c r="BH66" s="21"/>
      <c r="BI66" s="52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5"/>
        <v>46619</v>
      </c>
      <c r="C67" s="401"/>
      <c r="D67" s="435">
        <f ca="1">IF(N67=0,IF(N66=1,SUM(D$25:E66)," "),IF(N67=0," ",IF(N68=1,D$25,IF(N68=0,D$10-D$25*(M$14-1)," "))))</f>
        <v>166.67</v>
      </c>
      <c r="E67" s="435"/>
      <c r="F67" s="151">
        <f ca="1">IF(N67=0,IF(N66=1,SUM(F$25:F66)," "),IF(M$1=1,P67,IF(M$1=2,Q67," ")))</f>
        <v>22.219466666666605</v>
      </c>
      <c r="G67" s="151">
        <f ca="1">IF(N67=0,IF(N66=1,SUM(G$25:G66)," "),IF(M$1=1,AC67,IF(M$1=2,AD67," ")))</f>
        <v>0</v>
      </c>
      <c r="H67" s="151">
        <f t="shared" ca="1" si="50"/>
        <v>188.88946666666658</v>
      </c>
      <c r="I67" s="151">
        <f t="shared" ca="1" si="31"/>
        <v>190.48</v>
      </c>
      <c r="J67" s="151">
        <f t="shared" ca="1" si="32"/>
        <v>25.394133333333503</v>
      </c>
      <c r="K67" s="151">
        <f t="shared" ca="1" si="33"/>
        <v>0</v>
      </c>
      <c r="L67" s="151">
        <f t="shared" ca="1" si="34"/>
        <v>215.8741333333335</v>
      </c>
      <c r="M67" s="2">
        <v>43</v>
      </c>
      <c r="N67" s="2">
        <f t="shared" ca="1" si="38"/>
        <v>1</v>
      </c>
      <c r="O67" s="2">
        <f t="shared" ca="1" si="56"/>
        <v>20</v>
      </c>
      <c r="P67" s="134">
        <f t="shared" ca="1" si="12"/>
        <v>22.219466666666605</v>
      </c>
      <c r="Q67" s="134">
        <f t="shared" ca="1" si="13"/>
        <v>22.219466666666605</v>
      </c>
      <c r="R67" s="134">
        <f t="shared" ca="1" si="51"/>
        <v>999.85999999999706</v>
      </c>
      <c r="S67" s="134">
        <f t="shared" ca="1" si="26"/>
        <v>166.67</v>
      </c>
      <c r="T67" s="134">
        <f t="shared" ca="1" si="15"/>
        <v>166.67</v>
      </c>
      <c r="U67" s="134">
        <f t="shared" ca="1" si="35"/>
        <v>22.219466666666605</v>
      </c>
      <c r="V67" s="134">
        <f t="shared" ca="1" si="36"/>
        <v>22.219466666666605</v>
      </c>
      <c r="W67" s="134">
        <f t="shared" ca="1" si="27"/>
        <v>160</v>
      </c>
      <c r="X67" s="134">
        <f t="shared" ca="1" si="28"/>
        <v>160</v>
      </c>
      <c r="Y67" s="134">
        <f t="shared" ca="1" si="16"/>
        <v>1142.7200000000084</v>
      </c>
      <c r="Z67" s="134">
        <f t="shared" ca="1" si="37"/>
        <v>25.394133333333503</v>
      </c>
      <c r="AA67" s="134">
        <f t="shared" ca="1" si="17"/>
        <v>25.394133333333503</v>
      </c>
      <c r="AB67" s="134">
        <f t="shared" ca="1" si="39"/>
        <v>33329.19999999991</v>
      </c>
      <c r="AC67" s="134">
        <f t="shared" ca="1" si="18"/>
        <v>0</v>
      </c>
      <c r="AD67" s="134">
        <f t="shared" ca="1" si="19"/>
        <v>0</v>
      </c>
      <c r="AE67" s="134">
        <f t="shared" ca="1" si="30"/>
        <v>0</v>
      </c>
      <c r="AF67" s="134">
        <f t="shared" ca="1" si="20"/>
        <v>0</v>
      </c>
      <c r="AG67" s="134">
        <f t="shared" ca="1" si="29"/>
        <v>0</v>
      </c>
      <c r="AH67" s="134">
        <f t="shared" ca="1" si="21"/>
        <v>0</v>
      </c>
      <c r="AI67" s="134">
        <f t="shared" ca="1" si="44"/>
        <v>999.85999999999706</v>
      </c>
      <c r="AJ67" s="134">
        <f t="shared" ca="1" si="57"/>
        <v>0</v>
      </c>
      <c r="AK67" s="134">
        <f t="shared" ca="1" si="58"/>
        <v>0</v>
      </c>
      <c r="AL67" s="132">
        <f t="shared" ca="1" si="52"/>
        <v>8</v>
      </c>
      <c r="AM67" s="132">
        <f t="shared" ca="1" si="45"/>
        <v>8</v>
      </c>
      <c r="AN67" s="2">
        <f t="shared" ca="1" si="53"/>
        <v>2027</v>
      </c>
      <c r="AO67" s="2">
        <f t="shared" ca="1" si="46"/>
        <v>2027</v>
      </c>
      <c r="AP67" s="2">
        <f t="shared" ca="1" si="47"/>
        <v>0</v>
      </c>
      <c r="AQ67" s="2">
        <f t="shared" ca="1" si="48"/>
        <v>30</v>
      </c>
      <c r="AR67" s="2">
        <f t="shared" si="49"/>
        <v>20</v>
      </c>
      <c r="AS67" s="2">
        <f t="shared" ca="1" si="54"/>
        <v>30</v>
      </c>
      <c r="AT67" s="21"/>
      <c r="AU67" s="21"/>
      <c r="AV67" s="21"/>
      <c r="AW67" s="21"/>
      <c r="AX67" s="21"/>
      <c r="AY67" s="2">
        <f t="shared" ca="1" si="25"/>
        <v>1</v>
      </c>
      <c r="AZ67" s="21"/>
      <c r="BA67" s="21"/>
      <c r="BB67" s="21"/>
      <c r="BC67" s="21"/>
      <c r="BD67" s="21"/>
      <c r="BE67" s="21"/>
      <c r="BF67" s="21"/>
      <c r="BG67" s="21"/>
      <c r="BH67" s="21"/>
      <c r="BI67" s="52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5"/>
        <v>46650</v>
      </c>
      <c r="C68" s="401"/>
      <c r="D68" s="435">
        <f ca="1">IF(N68=0,IF(N67=1,SUM(D$25:E67)," "),IF(N68=0," ",IF(N69=1,D$25,IF(N69=0,D$10-D$25*(M$14-1)," "))))</f>
        <v>166.67</v>
      </c>
      <c r="E68" s="435"/>
      <c r="F68" s="151">
        <f ca="1">IF(N68=0,IF(N67=1,SUM(F$25:F67)," "),IF(M$1=1,P68,IF(M$1=2,Q68," ")))</f>
        <v>18.886066666666611</v>
      </c>
      <c r="G68" s="151">
        <f ca="1">IF(N68=0,IF(N67=1,SUM(G$25:G67)," "),IF(M$1=1,AC68,IF(M$1=2,AD68," ")))</f>
        <v>0</v>
      </c>
      <c r="H68" s="151">
        <f t="shared" ca="1" si="50"/>
        <v>185.5560666666666</v>
      </c>
      <c r="I68" s="151">
        <f t="shared" ca="1" si="31"/>
        <v>190.48</v>
      </c>
      <c r="J68" s="151">
        <f t="shared" ca="1" si="32"/>
        <v>21.584533333333503</v>
      </c>
      <c r="K68" s="151">
        <f t="shared" ca="1" si="33"/>
        <v>0</v>
      </c>
      <c r="L68" s="151">
        <f t="shared" ca="1" si="34"/>
        <v>212.06453333333349</v>
      </c>
      <c r="M68" s="2">
        <v>44</v>
      </c>
      <c r="N68" s="2">
        <f t="shared" ca="1" si="38"/>
        <v>1</v>
      </c>
      <c r="O68" s="2">
        <f t="shared" ca="1" si="56"/>
        <v>20</v>
      </c>
      <c r="P68" s="134">
        <f t="shared" ca="1" si="12"/>
        <v>18.886066666666611</v>
      </c>
      <c r="Q68" s="134">
        <f t="shared" ca="1" si="13"/>
        <v>18.886066666666611</v>
      </c>
      <c r="R68" s="134">
        <f t="shared" ca="1" si="51"/>
        <v>833.1899999999971</v>
      </c>
      <c r="S68" s="134">
        <f t="shared" ca="1" si="26"/>
        <v>166.67</v>
      </c>
      <c r="T68" s="134">
        <f t="shared" ca="1" si="15"/>
        <v>166.67</v>
      </c>
      <c r="U68" s="134">
        <f t="shared" ca="1" si="35"/>
        <v>18.886066666666611</v>
      </c>
      <c r="V68" s="134">
        <f t="shared" ca="1" si="36"/>
        <v>18.886066666666611</v>
      </c>
      <c r="W68" s="134">
        <f t="shared" ca="1" si="27"/>
        <v>160</v>
      </c>
      <c r="X68" s="134">
        <f t="shared" ca="1" si="28"/>
        <v>160</v>
      </c>
      <c r="Y68" s="134">
        <f t="shared" ca="1" si="16"/>
        <v>952.24000000000842</v>
      </c>
      <c r="Z68" s="134">
        <f t="shared" ca="1" si="37"/>
        <v>21.584533333333503</v>
      </c>
      <c r="AA68" s="134">
        <f t="shared" ca="1" si="17"/>
        <v>21.584533333333503</v>
      </c>
      <c r="AB68" s="134">
        <f t="shared" ca="1" si="39"/>
        <v>28329.099999999911</v>
      </c>
      <c r="AC68" s="134">
        <f t="shared" ca="1" si="18"/>
        <v>0</v>
      </c>
      <c r="AD68" s="134">
        <f t="shared" ca="1" si="19"/>
        <v>0</v>
      </c>
      <c r="AE68" s="134">
        <f t="shared" ca="1" si="30"/>
        <v>0</v>
      </c>
      <c r="AF68" s="134">
        <f t="shared" ca="1" si="20"/>
        <v>0</v>
      </c>
      <c r="AG68" s="134">
        <f t="shared" ca="1" si="29"/>
        <v>0</v>
      </c>
      <c r="AH68" s="134">
        <f t="shared" ca="1" si="21"/>
        <v>0</v>
      </c>
      <c r="AI68" s="134">
        <f t="shared" ca="1" si="44"/>
        <v>833.1899999999971</v>
      </c>
      <c r="AJ68" s="134">
        <f t="shared" ca="1" si="57"/>
        <v>0</v>
      </c>
      <c r="AK68" s="134">
        <f t="shared" ca="1" si="58"/>
        <v>0</v>
      </c>
      <c r="AL68" s="132">
        <f t="shared" ca="1" si="52"/>
        <v>9</v>
      </c>
      <c r="AM68" s="132">
        <f t="shared" ca="1" si="45"/>
        <v>9</v>
      </c>
      <c r="AN68" s="2">
        <f t="shared" ca="1" si="53"/>
        <v>2027</v>
      </c>
      <c r="AO68" s="2">
        <f t="shared" ca="1" si="46"/>
        <v>2027</v>
      </c>
      <c r="AP68" s="2">
        <f t="shared" ca="1" si="47"/>
        <v>0</v>
      </c>
      <c r="AQ68" s="2">
        <f t="shared" ca="1" si="48"/>
        <v>30</v>
      </c>
      <c r="AR68" s="2">
        <f t="shared" si="49"/>
        <v>20</v>
      </c>
      <c r="AS68" s="2">
        <f t="shared" ca="1" si="54"/>
        <v>30</v>
      </c>
      <c r="AT68" s="21"/>
      <c r="AU68" s="21"/>
      <c r="AV68" s="21"/>
      <c r="AW68" s="21"/>
      <c r="AX68" s="21"/>
      <c r="AY68" s="2">
        <f t="shared" ca="1" si="25"/>
        <v>1</v>
      </c>
      <c r="AZ68" s="21"/>
      <c r="BA68" s="21"/>
      <c r="BB68" s="21"/>
      <c r="BC68" s="21"/>
      <c r="BD68" s="21"/>
      <c r="BE68" s="21"/>
      <c r="BF68" s="21"/>
      <c r="BG68" s="21"/>
      <c r="BH68" s="21"/>
      <c r="BI68" s="52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5"/>
        <v>46680</v>
      </c>
      <c r="C69" s="401"/>
      <c r="D69" s="435">
        <f ca="1">IF(N69=0,IF(N68=1,SUM(D$25:E68)," "),IF(N69=0," ",IF(N70=1,D$25,IF(N70=0,D$10-D$25*(M$14-1)," "))))</f>
        <v>166.67</v>
      </c>
      <c r="E69" s="435"/>
      <c r="F69" s="151">
        <f ca="1">IF(N69=0,IF(N68=1,SUM(F$25:F68)," "),IF(M$1=1,P69,IF(M$1=2,Q69," ")))</f>
        <v>15.55266666666661</v>
      </c>
      <c r="G69" s="151">
        <f ca="1">IF(N69=0,IF(N68=1,SUM(G$25:G68)," "),IF(M$1=1,AC69,IF(M$1=2,AD69," ")))</f>
        <v>0</v>
      </c>
      <c r="H69" s="151">
        <f t="shared" ca="1" si="50"/>
        <v>182.22266666666661</v>
      </c>
      <c r="I69" s="151">
        <f t="shared" ca="1" si="31"/>
        <v>190.48</v>
      </c>
      <c r="J69" s="151">
        <f t="shared" ca="1" si="32"/>
        <v>17.7749333333335</v>
      </c>
      <c r="K69" s="151">
        <f t="shared" ca="1" si="33"/>
        <v>0</v>
      </c>
      <c r="L69" s="151">
        <f t="shared" ca="1" si="34"/>
        <v>208.2549333333335</v>
      </c>
      <c r="M69" s="2">
        <v>45</v>
      </c>
      <c r="N69" s="2">
        <f t="shared" ca="1" si="38"/>
        <v>1</v>
      </c>
      <c r="O69" s="2">
        <f t="shared" ca="1" si="56"/>
        <v>20</v>
      </c>
      <c r="P69" s="134">
        <f t="shared" ca="1" si="12"/>
        <v>15.55266666666661</v>
      </c>
      <c r="Q69" s="134">
        <f t="shared" ca="1" si="13"/>
        <v>15.55266666666661</v>
      </c>
      <c r="R69" s="134">
        <f t="shared" ca="1" si="51"/>
        <v>666.51999999999714</v>
      </c>
      <c r="S69" s="134">
        <f t="shared" ca="1" si="26"/>
        <v>166.67</v>
      </c>
      <c r="T69" s="134">
        <f t="shared" ca="1" si="15"/>
        <v>166.67</v>
      </c>
      <c r="U69" s="134">
        <f t="shared" ca="1" si="35"/>
        <v>15.55266666666661</v>
      </c>
      <c r="V69" s="134">
        <f t="shared" ca="1" si="36"/>
        <v>15.55266666666661</v>
      </c>
      <c r="W69" s="134">
        <f t="shared" ca="1" si="27"/>
        <v>160</v>
      </c>
      <c r="X69" s="134">
        <f t="shared" ca="1" si="28"/>
        <v>160</v>
      </c>
      <c r="Y69" s="134">
        <f t="shared" ca="1" si="16"/>
        <v>761.7600000000084</v>
      </c>
      <c r="Z69" s="134">
        <f t="shared" ca="1" si="37"/>
        <v>17.7749333333335</v>
      </c>
      <c r="AA69" s="134">
        <f t="shared" ca="1" si="17"/>
        <v>17.7749333333335</v>
      </c>
      <c r="AB69" s="134">
        <f t="shared" ca="1" si="39"/>
        <v>23328.999999999913</v>
      </c>
      <c r="AC69" s="134">
        <f t="shared" ca="1" si="18"/>
        <v>0</v>
      </c>
      <c r="AD69" s="134">
        <f t="shared" ca="1" si="19"/>
        <v>0</v>
      </c>
      <c r="AE69" s="134">
        <f t="shared" ca="1" si="30"/>
        <v>0</v>
      </c>
      <c r="AF69" s="134">
        <f t="shared" ca="1" si="20"/>
        <v>0</v>
      </c>
      <c r="AG69" s="134">
        <f t="shared" ca="1" si="29"/>
        <v>0</v>
      </c>
      <c r="AH69" s="134">
        <f t="shared" ca="1" si="21"/>
        <v>0</v>
      </c>
      <c r="AI69" s="134">
        <f t="shared" ca="1" si="44"/>
        <v>666.51999999999714</v>
      </c>
      <c r="AJ69" s="134">
        <f t="shared" ca="1" si="57"/>
        <v>0</v>
      </c>
      <c r="AK69" s="134">
        <f t="shared" ca="1" si="58"/>
        <v>0</v>
      </c>
      <c r="AL69" s="132">
        <f t="shared" ca="1" si="52"/>
        <v>10</v>
      </c>
      <c r="AM69" s="132">
        <f t="shared" ca="1" si="45"/>
        <v>10</v>
      </c>
      <c r="AN69" s="2">
        <f t="shared" ca="1" si="53"/>
        <v>2027</v>
      </c>
      <c r="AO69" s="2">
        <f t="shared" ca="1" si="46"/>
        <v>2027</v>
      </c>
      <c r="AP69" s="2">
        <f t="shared" ca="1" si="47"/>
        <v>0</v>
      </c>
      <c r="AQ69" s="2">
        <f t="shared" ca="1" si="48"/>
        <v>30</v>
      </c>
      <c r="AR69" s="2">
        <f t="shared" si="49"/>
        <v>20</v>
      </c>
      <c r="AS69" s="2">
        <f t="shared" ca="1" si="54"/>
        <v>30</v>
      </c>
      <c r="AT69" s="21"/>
      <c r="AU69" s="21"/>
      <c r="AV69" s="21"/>
      <c r="AW69" s="21"/>
      <c r="AX69" s="21"/>
      <c r="AY69" s="2">
        <f t="shared" ca="1" si="25"/>
        <v>1</v>
      </c>
      <c r="AZ69" s="21"/>
      <c r="BA69" s="21"/>
      <c r="BB69" s="21"/>
      <c r="BC69" s="21"/>
      <c r="BD69" s="21"/>
      <c r="BE69" s="21"/>
      <c r="BF69" s="21"/>
      <c r="BG69" s="21"/>
      <c r="BH69" s="21"/>
      <c r="BI69" s="52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5"/>
        <v>46711</v>
      </c>
      <c r="C70" s="401"/>
      <c r="D70" s="435">
        <f ca="1">IF(N70=0,IF(N69=1,SUM(D$25:E69)," "),IF(N70=0," ",IF(N71=1,D$25,IF(N71=0,D$10-D$25*(M$14-1)," "))))</f>
        <v>166.67</v>
      </c>
      <c r="E70" s="435"/>
      <c r="F70" s="151">
        <f ca="1">IF(N70=0,IF(N69=1,SUM(F$25:F69)," "),IF(M$1=1,P70,IF(M$1=2,Q70," ")))</f>
        <v>12.219266666666609</v>
      </c>
      <c r="G70" s="151">
        <f ca="1">IF(N70=0,IF(N69=1,SUM(G$25:G69)," "),IF(M$1=1,AC70,IF(M$1=2,AD70," ")))</f>
        <v>0</v>
      </c>
      <c r="H70" s="151">
        <f t="shared" ca="1" si="50"/>
        <v>178.8892666666666</v>
      </c>
      <c r="I70" s="151">
        <f t="shared" ca="1" si="31"/>
        <v>190.48</v>
      </c>
      <c r="J70" s="151">
        <f t="shared" ca="1" si="32"/>
        <v>13.965333333333501</v>
      </c>
      <c r="K70" s="151">
        <f t="shared" ca="1" si="33"/>
        <v>0</v>
      </c>
      <c r="L70" s="151">
        <f t="shared" ca="1" si="34"/>
        <v>204.44533333333348</v>
      </c>
      <c r="M70" s="2">
        <v>46</v>
      </c>
      <c r="N70" s="2">
        <f t="shared" ca="1" si="38"/>
        <v>1</v>
      </c>
      <c r="O70" s="2">
        <f t="shared" ca="1" si="56"/>
        <v>20</v>
      </c>
      <c r="P70" s="134">
        <f t="shared" ca="1" si="12"/>
        <v>12.219266666666609</v>
      </c>
      <c r="Q70" s="134">
        <f t="shared" ca="1" si="13"/>
        <v>12.219266666666609</v>
      </c>
      <c r="R70" s="134">
        <f t="shared" ca="1" si="51"/>
        <v>499.84999999999718</v>
      </c>
      <c r="S70" s="134">
        <f t="shared" ca="1" si="26"/>
        <v>166.67</v>
      </c>
      <c r="T70" s="134">
        <f t="shared" ca="1" si="15"/>
        <v>166.67</v>
      </c>
      <c r="U70" s="134">
        <f t="shared" ca="1" si="35"/>
        <v>12.219266666666609</v>
      </c>
      <c r="V70" s="134">
        <f t="shared" ca="1" si="36"/>
        <v>12.219266666666609</v>
      </c>
      <c r="W70" s="134">
        <f t="shared" ca="1" si="27"/>
        <v>160</v>
      </c>
      <c r="X70" s="134">
        <f t="shared" ca="1" si="28"/>
        <v>160</v>
      </c>
      <c r="Y70" s="134">
        <f t="shared" ca="1" si="16"/>
        <v>571.28000000000839</v>
      </c>
      <c r="Z70" s="134">
        <f t="shared" ca="1" si="37"/>
        <v>13.965333333333501</v>
      </c>
      <c r="AA70" s="134">
        <f t="shared" ca="1" si="17"/>
        <v>13.965333333333501</v>
      </c>
      <c r="AB70" s="134">
        <f t="shared" ca="1" si="39"/>
        <v>18328.899999999914</v>
      </c>
      <c r="AC70" s="134">
        <f t="shared" ca="1" si="18"/>
        <v>0</v>
      </c>
      <c r="AD70" s="134">
        <f t="shared" ca="1" si="19"/>
        <v>0</v>
      </c>
      <c r="AE70" s="134">
        <f t="shared" ca="1" si="30"/>
        <v>0</v>
      </c>
      <c r="AF70" s="134">
        <f t="shared" ca="1" si="20"/>
        <v>0</v>
      </c>
      <c r="AG70" s="134">
        <f t="shared" ca="1" si="29"/>
        <v>0</v>
      </c>
      <c r="AH70" s="134">
        <f t="shared" ca="1" si="21"/>
        <v>0</v>
      </c>
      <c r="AI70" s="134">
        <f t="shared" ca="1" si="44"/>
        <v>499.84999999999718</v>
      </c>
      <c r="AJ70" s="134">
        <f t="shared" ca="1" si="57"/>
        <v>0</v>
      </c>
      <c r="AK70" s="134">
        <f t="shared" ca="1" si="58"/>
        <v>0</v>
      </c>
      <c r="AL70" s="132">
        <f t="shared" ca="1" si="52"/>
        <v>11</v>
      </c>
      <c r="AM70" s="132">
        <f t="shared" ca="1" si="45"/>
        <v>11</v>
      </c>
      <c r="AN70" s="2">
        <f t="shared" ca="1" si="53"/>
        <v>2027</v>
      </c>
      <c r="AO70" s="2">
        <f t="shared" ca="1" si="46"/>
        <v>2027</v>
      </c>
      <c r="AP70" s="2">
        <f t="shared" ca="1" si="47"/>
        <v>0</v>
      </c>
      <c r="AQ70" s="2">
        <f t="shared" ca="1" si="48"/>
        <v>30</v>
      </c>
      <c r="AR70" s="2">
        <f t="shared" si="49"/>
        <v>20</v>
      </c>
      <c r="AS70" s="2">
        <f t="shared" ca="1" si="54"/>
        <v>30</v>
      </c>
      <c r="AT70" s="21"/>
      <c r="AU70" s="21"/>
      <c r="AV70" s="21"/>
      <c r="AW70" s="21"/>
      <c r="AX70" s="21"/>
      <c r="AY70" s="2">
        <f t="shared" ca="1" si="25"/>
        <v>1</v>
      </c>
      <c r="AZ70" s="21"/>
      <c r="BA70" s="21"/>
      <c r="BB70" s="21"/>
      <c r="BC70" s="21"/>
      <c r="BD70" s="21"/>
      <c r="BE70" s="21"/>
      <c r="BF70" s="21"/>
      <c r="BG70" s="21"/>
      <c r="BH70" s="21"/>
      <c r="BI70" s="52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5"/>
        <v>46741</v>
      </c>
      <c r="C71" s="401"/>
      <c r="D71" s="435">
        <f ca="1">IF(N71=0,IF(N70=1,SUM(D$25:E70)," "),IF(N71=0," ",IF(N72=1,D$25,IF(N72=0,D$10-D$25*(M$14-1)," "))))</f>
        <v>166.67</v>
      </c>
      <c r="E71" s="435"/>
      <c r="F71" s="151">
        <f ca="1">IF(N71=0,IF(N70=1,SUM(F$25:F70)," "),IF(M$1=1,P71,IF(M$1=2,Q71," ")))</f>
        <v>8.8858666666666117</v>
      </c>
      <c r="G71" s="151">
        <f ca="1">IF(N71=0,IF(N70=1,SUM(G$25:G70)," "),IF(M$1=1,AC71,IF(M$1=2,AD71," ")))</f>
        <v>0</v>
      </c>
      <c r="H71" s="151">
        <f t="shared" ca="1" si="50"/>
        <v>175.55586666666659</v>
      </c>
      <c r="I71" s="151">
        <f t="shared" ca="1" si="31"/>
        <v>190.48</v>
      </c>
      <c r="J71" s="151">
        <f t="shared" ca="1" si="32"/>
        <v>10.155733333333501</v>
      </c>
      <c r="K71" s="151">
        <f t="shared" ca="1" si="33"/>
        <v>0</v>
      </c>
      <c r="L71" s="151">
        <f t="shared" ca="1" si="34"/>
        <v>200.63573333333349</v>
      </c>
      <c r="M71" s="2">
        <v>47</v>
      </c>
      <c r="N71" s="2">
        <f t="shared" ca="1" si="38"/>
        <v>1</v>
      </c>
      <c r="O71" s="2">
        <f t="shared" ca="1" si="56"/>
        <v>20</v>
      </c>
      <c r="P71" s="134">
        <f t="shared" ca="1" si="12"/>
        <v>8.8858666666666117</v>
      </c>
      <c r="Q71" s="134">
        <f t="shared" ca="1" si="13"/>
        <v>8.8858666666666117</v>
      </c>
      <c r="R71" s="134">
        <f t="shared" ca="1" si="51"/>
        <v>333.17999999999722</v>
      </c>
      <c r="S71" s="134">
        <f t="shared" ca="1" si="26"/>
        <v>166.67</v>
      </c>
      <c r="T71" s="134">
        <f t="shared" ca="1" si="15"/>
        <v>166.67</v>
      </c>
      <c r="U71" s="134">
        <f t="shared" ca="1" si="35"/>
        <v>8.8858666666666117</v>
      </c>
      <c r="V71" s="134">
        <f t="shared" ca="1" si="36"/>
        <v>8.8858666666666117</v>
      </c>
      <c r="W71" s="134">
        <f t="shared" ca="1" si="27"/>
        <v>160</v>
      </c>
      <c r="X71" s="134">
        <f t="shared" ca="1" si="28"/>
        <v>160</v>
      </c>
      <c r="Y71" s="134">
        <f t="shared" ca="1" si="16"/>
        <v>380.80000000000837</v>
      </c>
      <c r="Z71" s="134">
        <f t="shared" ca="1" si="37"/>
        <v>10.155733333333501</v>
      </c>
      <c r="AA71" s="134">
        <f t="shared" ca="1" si="17"/>
        <v>10.155733333333501</v>
      </c>
      <c r="AB71" s="134">
        <f t="shared" ca="1" si="39"/>
        <v>13328.799999999916</v>
      </c>
      <c r="AC71" s="134">
        <f t="shared" ca="1" si="18"/>
        <v>0</v>
      </c>
      <c r="AD71" s="134">
        <f t="shared" ca="1" si="19"/>
        <v>0</v>
      </c>
      <c r="AE71" s="134">
        <f t="shared" ca="1" si="30"/>
        <v>0</v>
      </c>
      <c r="AF71" s="134">
        <f t="shared" ca="1" si="20"/>
        <v>0</v>
      </c>
      <c r="AG71" s="134">
        <f t="shared" ca="1" si="29"/>
        <v>0</v>
      </c>
      <c r="AH71" s="134">
        <f t="shared" ca="1" si="21"/>
        <v>0</v>
      </c>
      <c r="AI71" s="134">
        <f t="shared" ca="1" si="44"/>
        <v>333.17999999999722</v>
      </c>
      <c r="AJ71" s="134">
        <f t="shared" ca="1" si="57"/>
        <v>0</v>
      </c>
      <c r="AK71" s="134">
        <f t="shared" ca="1" si="58"/>
        <v>0</v>
      </c>
      <c r="AL71" s="132">
        <f t="shared" ca="1" si="52"/>
        <v>12</v>
      </c>
      <c r="AM71" s="132">
        <f t="shared" ca="1" si="45"/>
        <v>12</v>
      </c>
      <c r="AN71" s="2">
        <f t="shared" ca="1" si="53"/>
        <v>2027</v>
      </c>
      <c r="AO71" s="2">
        <f t="shared" ca="1" si="46"/>
        <v>2027</v>
      </c>
      <c r="AP71" s="2">
        <f t="shared" ca="1" si="47"/>
        <v>0</v>
      </c>
      <c r="AQ71" s="2">
        <f t="shared" ca="1" si="48"/>
        <v>30</v>
      </c>
      <c r="AR71" s="2">
        <f t="shared" si="49"/>
        <v>20</v>
      </c>
      <c r="AS71" s="2">
        <f t="shared" ca="1" si="54"/>
        <v>30</v>
      </c>
      <c r="AT71" s="21"/>
      <c r="AU71" s="21"/>
      <c r="AV71" s="21"/>
      <c r="AW71" s="21"/>
      <c r="AX71" s="21"/>
      <c r="AY71" s="2">
        <f t="shared" ca="1" si="25"/>
        <v>1</v>
      </c>
      <c r="AZ71" s="21"/>
      <c r="BA71" s="21"/>
      <c r="BB71" s="21"/>
      <c r="BC71" s="21"/>
      <c r="BD71" s="21"/>
      <c r="BE71" s="21"/>
      <c r="BF71" s="21"/>
      <c r="BG71" s="21"/>
      <c r="BH71" s="21"/>
      <c r="BI71" s="52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5"/>
        <v>46754</v>
      </c>
      <c r="C72" s="401"/>
      <c r="D72" s="435">
        <f ca="1">IF(N72=0,IF(N71=1,SUM(D$25:E71)," "),IF(N72=0," ",IF(N73=1,D$25,IF(N73=0,D$10-D$25*(M$14-1)," "))))</f>
        <v>166.51000000000022</v>
      </c>
      <c r="E72" s="435"/>
      <c r="F72" s="151">
        <f ca="1">IF(N72=0,IF(N71=1,SUM(F$25:F71)," "),IF(M$1=1,P72,IF(M$1=2,Q72," ")))</f>
        <v>5.7744799999999401</v>
      </c>
      <c r="G72" s="151">
        <f ca="1">IF(N72=0,IF(N71=1,SUM(G$25:G71)," "),IF(M$1=1,AC72,IF(M$1=2,AD72," ")))</f>
        <v>0</v>
      </c>
      <c r="H72" s="151">
        <f t="shared" ca="1" si="50"/>
        <v>172.28448000000014</v>
      </c>
      <c r="I72" s="151">
        <f t="shared" ca="1" si="31"/>
        <v>190.32000000000014</v>
      </c>
      <c r="J72" s="151">
        <f t="shared" ca="1" si="32"/>
        <v>2.7934933333333438</v>
      </c>
      <c r="K72" s="151">
        <f t="shared" ca="1" si="33"/>
        <v>0</v>
      </c>
      <c r="L72" s="151">
        <f t="shared" ca="1" si="34"/>
        <v>193.11349333333348</v>
      </c>
      <c r="M72" s="2">
        <v>48</v>
      </c>
      <c r="N72" s="2">
        <f t="shared" ca="1" si="38"/>
        <v>1</v>
      </c>
      <c r="O72" s="2">
        <f t="shared" ca="1" si="56"/>
        <v>2</v>
      </c>
      <c r="P72" s="134">
        <f t="shared" ca="1" si="12"/>
        <v>5.7744799999999401</v>
      </c>
      <c r="Q72" s="134">
        <f t="shared" ca="1" si="13"/>
        <v>5.7744799999999401</v>
      </c>
      <c r="R72" s="134">
        <f t="shared" ca="1" si="51"/>
        <v>166.50999999999723</v>
      </c>
      <c r="S72" s="134">
        <f t="shared" ca="1" si="26"/>
        <v>166.51000000000022</v>
      </c>
      <c r="T72" s="134">
        <f t="shared" ca="1" si="15"/>
        <v>166.51000000000022</v>
      </c>
      <c r="U72" s="134">
        <f ca="1">IF(N73=1,R71*D$11*20/36000+R72*D$11*10/36000,IF(N73=0,IF(N72=0,0,IF(DAY(D$16)&gt;20,R71*D$11*20/36000+R72*D$11*(Q$12-20)/36000,R72*D11*Q12/36000+R71*D11*20/36000+R72*D11*10/36000))))</f>
        <v>5.7744799999999401</v>
      </c>
      <c r="V72" s="134">
        <f ca="1">IF(N73=1,R71*D$11*20/36000+R72*D$11*10/36000,IF(N73=0,IF(N72=0,0,IF(DAY(D$16)&gt;20,R71*D$11*20/36000+R72*D$11*(Q$12-20)/36000,R72*D11*Q12/36000+R71*D11*20/36000+R72*D11*10/36000))))</f>
        <v>5.7744799999999401</v>
      </c>
      <c r="W72" s="134">
        <f t="shared" ca="1" si="27"/>
        <v>170.66666666666669</v>
      </c>
      <c r="X72" s="134">
        <f t="shared" ca="1" si="28"/>
        <v>170</v>
      </c>
      <c r="Y72" s="134">
        <f t="shared" ca="1" si="16"/>
        <v>190.32000000000838</v>
      </c>
      <c r="Z72" s="134">
        <f t="shared" ca="1" si="37"/>
        <v>2.7934933333333438</v>
      </c>
      <c r="AA72" s="134">
        <f t="shared" ca="1" si="17"/>
        <v>2.7934933333333438</v>
      </c>
      <c r="AB72" s="134">
        <f t="shared" ca="1" si="39"/>
        <v>333.01999999999447</v>
      </c>
      <c r="AC72" s="134">
        <f t="shared" ca="1" si="18"/>
        <v>0</v>
      </c>
      <c r="AD72" s="134">
        <f t="shared" ca="1" si="19"/>
        <v>0</v>
      </c>
      <c r="AE72" s="134">
        <f t="shared" ca="1" si="30"/>
        <v>0</v>
      </c>
      <c r="AF72" s="134">
        <f t="shared" ca="1" si="20"/>
        <v>0</v>
      </c>
      <c r="AG72" s="134">
        <f t="shared" ca="1" si="29"/>
        <v>0</v>
      </c>
      <c r="AH72" s="134">
        <f t="shared" ca="1" si="21"/>
        <v>0</v>
      </c>
      <c r="AI72" s="134">
        <f t="shared" ca="1" si="44"/>
        <v>166.50999999999723</v>
      </c>
      <c r="AJ72" s="134">
        <f t="shared" ca="1" si="57"/>
        <v>0</v>
      </c>
      <c r="AK72" s="134">
        <f t="shared" ca="1" si="58"/>
        <v>0</v>
      </c>
      <c r="AL72" s="132">
        <f t="shared" ca="1" si="52"/>
        <v>13</v>
      </c>
      <c r="AM72" s="132">
        <f t="shared" ca="1" si="45"/>
        <v>1</v>
      </c>
      <c r="AN72" s="2">
        <f t="shared" ca="1" si="53"/>
        <v>2027</v>
      </c>
      <c r="AO72" s="2">
        <f t="shared" ca="1" si="46"/>
        <v>2028</v>
      </c>
      <c r="AP72" s="2">
        <f t="shared" ca="1" si="47"/>
        <v>0</v>
      </c>
      <c r="AQ72" s="2">
        <f t="shared" ca="1" si="48"/>
        <v>30</v>
      </c>
      <c r="AR72" s="2">
        <f t="shared" si="49"/>
        <v>20</v>
      </c>
      <c r="AS72" s="2">
        <f t="shared" ca="1" si="54"/>
        <v>30</v>
      </c>
      <c r="AT72" s="21"/>
      <c r="AU72" s="21"/>
      <c r="AV72" s="21"/>
      <c r="AW72" s="21"/>
      <c r="AX72" s="21"/>
      <c r="AY72" s="2">
        <f t="shared" ca="1" si="25"/>
        <v>1</v>
      </c>
      <c r="AZ72" s="21"/>
      <c r="BA72" s="21"/>
      <c r="BB72" s="21"/>
      <c r="BC72" s="21"/>
      <c r="BD72" s="21"/>
      <c r="BE72" s="21"/>
      <c r="BF72" s="21"/>
      <c r="BG72" s="21"/>
      <c r="BH72" s="21"/>
      <c r="BI72" s="52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ca="1">IF(N73=0,IF(N72=1,"ИТОГО"," "),IF(M73=M$14,DATE(YEAR(B72),MONTH(B72),O73),DATE(YEAR(B72),MONTH(B72)+1,O73)))</f>
        <v>ИТОГО</v>
      </c>
      <c r="C73" s="401"/>
      <c r="D73" s="435">
        <f ca="1">IF(N73=0,IF(N72=1,SUM(D$25:E72)," "),IF(N73=0," ",IF(N74=1,D$25,IF(N74=0,D$10-D$25*(M$14-1)," "))))</f>
        <v>8000.0000000000027</v>
      </c>
      <c r="E73" s="435"/>
      <c r="F73" s="151">
        <f ca="1">IF(N73=0,IF(N72=1,SUM(F$25:F72)," "),IF(M$1=1,P73,IF(M$1=2,Q73," ")))</f>
        <v>4008.5933466666638</v>
      </c>
      <c r="G73" s="151">
        <f ca="1">IF(N73=0,IF(N72=1,SUM(G$25:G72)," "),IF(M$1=1,AC73,IF(M$1=2,AD73," ")))</f>
        <v>0</v>
      </c>
      <c r="H73" s="151">
        <f t="shared" ca="1" si="50"/>
        <v>12008.593346666667</v>
      </c>
      <c r="I73" s="151">
        <f t="shared" ca="1" si="31"/>
        <v>0</v>
      </c>
      <c r="J73" s="151">
        <f t="shared" ca="1" si="32"/>
        <v>0</v>
      </c>
      <c r="K73" s="151">
        <f t="shared" ca="1" si="33"/>
        <v>0</v>
      </c>
      <c r="L73" s="151" t="str">
        <f t="shared" ca="1" si="34"/>
        <v xml:space="preserve"> </v>
      </c>
      <c r="M73" s="2">
        <v>49</v>
      </c>
      <c r="N73" s="2">
        <f t="shared" ca="1" si="38"/>
        <v>0</v>
      </c>
      <c r="O73" s="2">
        <f ca="1">IF(M73=A$14,IF(MONTH(B72)=-2,AS73,DATE(YEAR(0),MONTH(0),DAY(D$16)-1)),AR73)</f>
        <v>20</v>
      </c>
      <c r="P73" s="134">
        <f t="shared" ca="1" si="12"/>
        <v>0</v>
      </c>
      <c r="Q73" s="134">
        <f t="shared" ca="1" si="13"/>
        <v>0</v>
      </c>
      <c r="R73" s="134">
        <f t="shared" ca="1" si="51"/>
        <v>0</v>
      </c>
      <c r="S73" s="134">
        <f t="shared" ca="1" si="26"/>
        <v>8000.0000000000027</v>
      </c>
      <c r="T73" s="134">
        <f t="shared" ca="1" si="15"/>
        <v>8000.0000000000027</v>
      </c>
      <c r="U73" s="134">
        <f t="shared" ca="1" si="35"/>
        <v>0</v>
      </c>
      <c r="V73" s="134">
        <f t="shared" ca="1" si="36"/>
        <v>0</v>
      </c>
      <c r="W73" s="134">
        <f t="shared" ca="1" si="27"/>
        <v>0</v>
      </c>
      <c r="X73" s="134">
        <f t="shared" ca="1" si="28"/>
        <v>0</v>
      </c>
      <c r="Y73" s="134">
        <f t="shared" ca="1" si="16"/>
        <v>8.2422957348171622E-12</v>
      </c>
      <c r="Z73" s="134">
        <f t="shared" ca="1" si="37"/>
        <v>0</v>
      </c>
      <c r="AA73" s="134">
        <f t="shared" ca="1" si="17"/>
        <v>0</v>
      </c>
      <c r="AB73" s="134">
        <f ca="1">IF(R74=0,R73*Q$12,(R72*20+R73*10))</f>
        <v>0</v>
      </c>
      <c r="AC73" s="134">
        <f t="shared" ca="1" si="18"/>
        <v>0</v>
      </c>
      <c r="AD73" s="134">
        <f t="shared" ca="1" si="19"/>
        <v>0</v>
      </c>
      <c r="AE73" s="134">
        <f t="shared" ca="1" si="30"/>
        <v>0</v>
      </c>
      <c r="AF73" s="134">
        <f t="shared" ca="1" si="20"/>
        <v>0</v>
      </c>
      <c r="AG73" s="134">
        <f t="shared" ca="1" si="29"/>
        <v>0</v>
      </c>
      <c r="AH73" s="134">
        <f t="shared" ca="1" si="21"/>
        <v>0</v>
      </c>
      <c r="AI73" s="134">
        <f t="shared" ca="1" si="44"/>
        <v>0</v>
      </c>
      <c r="AJ73" s="134">
        <f ca="1">IF(N74=1,AI72*G$12*20/36000+AI73*G$12*10/36000,IF(N74=0,IF(N73=0,0,AI73*G$12*Q$12/36000)))</f>
        <v>0</v>
      </c>
      <c r="AK73" s="134">
        <f ca="1">IF(N74=1,AI72*G$12*20/36000+AI73*G$12*10/36000,IF(N74=0,IF(N73=0,0,AI73*G$12*Q$12/36000)))</f>
        <v>0</v>
      </c>
      <c r="AL73" s="132">
        <f t="shared" ca="1" si="52"/>
        <v>0</v>
      </c>
      <c r="AM73" s="132">
        <f t="shared" ca="1" si="45"/>
        <v>0</v>
      </c>
      <c r="AN73" s="2">
        <f t="shared" ca="1" si="53"/>
        <v>0</v>
      </c>
      <c r="AO73" s="2">
        <f t="shared" ca="1" si="46"/>
        <v>0</v>
      </c>
      <c r="AP73" s="2">
        <f t="shared" ca="1" si="47"/>
        <v>0</v>
      </c>
      <c r="AQ73" s="2">
        <f t="shared" ca="1" si="48"/>
        <v>30</v>
      </c>
      <c r="AR73" s="2">
        <f t="shared" si="49"/>
        <v>20</v>
      </c>
      <c r="AS73" s="2">
        <f t="shared" ca="1" si="54"/>
        <v>30</v>
      </c>
      <c r="AT73" s="21"/>
      <c r="AU73" s="21"/>
      <c r="AV73" s="21"/>
      <c r="AW73" s="21"/>
      <c r="AX73" s="21"/>
      <c r="AY73" s="2">
        <f t="shared" ca="1" si="25"/>
        <v>0</v>
      </c>
      <c r="AZ73" s="21"/>
      <c r="BA73" s="21"/>
      <c r="BB73" s="21"/>
      <c r="BC73" s="21"/>
      <c r="BD73" s="21"/>
      <c r="BE73" s="21"/>
      <c r="BF73" s="21"/>
      <c r="BG73" s="21"/>
      <c r="BH73" s="21"/>
      <c r="BI73" s="52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ref="B74:B84" ca="1" si="59">IF(N74=0,IF(N73=1,"ИТОГО"," "),DATE(YEAR(B73),MONTH(B73)+1,O74))</f>
        <v xml:space="preserve"> </v>
      </c>
      <c r="C74" s="401"/>
      <c r="D74" s="435" t="str">
        <f ca="1">IF(N74=0,IF(N73=1,SUM(D$25:E73)," "),IF(N74=0," ",IF(N75=1,D$25,IF(N75=0,D$10-D$25*(M$14-1)," "))))</f>
        <v xml:space="preserve"> </v>
      </c>
      <c r="E74" s="435"/>
      <c r="F74" s="151" t="str">
        <f ca="1">IF(N74=0,IF(N73=1,SUM(F$25:F73)," "),IF(M$1=1,P74,IF(M$1=2,Q74," ")))</f>
        <v xml:space="preserve"> </v>
      </c>
      <c r="G74" s="151" t="str">
        <f ca="1">IF(N74=0,IF(N73=1,SUM(G$25:G73)," "),IF(M$1=1,AC74,IF(M$1=2,AD74," ")))</f>
        <v xml:space="preserve"> </v>
      </c>
      <c r="H74" s="151" t="str">
        <f t="shared" ca="1" si="50"/>
        <v xml:space="preserve"> </v>
      </c>
      <c r="I74" s="151">
        <f t="shared" ca="1" si="31"/>
        <v>0</v>
      </c>
      <c r="J74" s="151">
        <f t="shared" ca="1" si="32"/>
        <v>0</v>
      </c>
      <c r="K74" s="151">
        <f t="shared" ca="1" si="33"/>
        <v>0</v>
      </c>
      <c r="L74" s="151" t="str">
        <f t="shared" ca="1" si="34"/>
        <v xml:space="preserve"> </v>
      </c>
      <c r="M74" s="2">
        <v>50</v>
      </c>
      <c r="N74" s="2">
        <f t="shared" ca="1" si="38"/>
        <v>0</v>
      </c>
      <c r="O74" s="2">
        <f t="shared" ref="O74:O84" ca="1" si="60">IF(M74=A$14,IF(DATE(YEAR(0),MONTH(0),DAY(D$16)-1)&lt;AR74,DATE(YEAR(0),MONTH(0),DAY(D$16)-1),AR74),AR74)</f>
        <v>20</v>
      </c>
      <c r="P74" s="134">
        <f t="shared" ca="1" si="12"/>
        <v>0</v>
      </c>
      <c r="Q74" s="134">
        <f t="shared" ca="1" si="13"/>
        <v>0</v>
      </c>
      <c r="R74" s="134">
        <f t="shared" ca="1" si="51"/>
        <v>0</v>
      </c>
      <c r="S74" s="134" t="str">
        <f t="shared" ca="1" si="26"/>
        <v xml:space="preserve"> </v>
      </c>
      <c r="T74" s="134" t="str">
        <f t="shared" ca="1" si="15"/>
        <v xml:space="preserve"> </v>
      </c>
      <c r="U74" s="134">
        <f t="shared" ca="1" si="35"/>
        <v>0</v>
      </c>
      <c r="V74" s="134">
        <f t="shared" ca="1" si="36"/>
        <v>0</v>
      </c>
      <c r="W74" s="134">
        <f t="shared" ca="1" si="27"/>
        <v>0</v>
      </c>
      <c r="X74" s="134">
        <f t="shared" ca="1" si="28"/>
        <v>0</v>
      </c>
      <c r="Y74" s="134">
        <f t="shared" ca="1" si="16"/>
        <v>8.2422957348171622E-12</v>
      </c>
      <c r="Z74" s="134">
        <f t="shared" ca="1" si="37"/>
        <v>0</v>
      </c>
      <c r="AA74" s="134">
        <f t="shared" ca="1" si="17"/>
        <v>0</v>
      </c>
      <c r="AB74" s="134">
        <f t="shared" ref="AB74:AB84" ca="1" si="61">IF(R75=0,R74*Q$12,(R73*20+R74*10))</f>
        <v>0</v>
      </c>
      <c r="AC74" s="134">
        <f t="shared" ca="1" si="18"/>
        <v>0</v>
      </c>
      <c r="AD74" s="134">
        <f t="shared" ca="1" si="19"/>
        <v>0</v>
      </c>
      <c r="AE74" s="134">
        <f t="shared" ca="1" si="30"/>
        <v>0</v>
      </c>
      <c r="AF74" s="134">
        <f t="shared" ca="1" si="20"/>
        <v>0</v>
      </c>
      <c r="AG74" s="134">
        <f t="shared" ca="1" si="29"/>
        <v>0</v>
      </c>
      <c r="AH74" s="134">
        <f t="shared" ca="1" si="21"/>
        <v>0</v>
      </c>
      <c r="AI74" s="134">
        <f t="shared" ca="1" si="44"/>
        <v>0</v>
      </c>
      <c r="AJ74" s="134">
        <f t="shared" ref="AJ74:AJ84" ca="1" si="62">IF(N75=1,AI73*G$12*20/36000+AI74*G$12*10/36000,IF(N75=0,IF(N74=0,0,AI74*G$12*Q$12/36000+AI73*G$12*20/36000+AI74*G$12*10/36000)))</f>
        <v>0</v>
      </c>
      <c r="AK74" s="134">
        <f t="shared" ref="AK74:AK84" ca="1" si="63">IF(N75=1,AI73*G$12*20/36000+AI74*G$12*10/36000,IF(N75=0,IF(N74=0,0,AI74*G$12*Q$12/36000+AI73*G$12*20/36000+AI74*G$12*10/36000)))</f>
        <v>0</v>
      </c>
      <c r="AL74" s="132">
        <f t="shared" ca="1" si="52"/>
        <v>0</v>
      </c>
      <c r="AM74" s="132">
        <f t="shared" ca="1" si="45"/>
        <v>0</v>
      </c>
      <c r="AN74" s="2">
        <f t="shared" ca="1" si="53"/>
        <v>0</v>
      </c>
      <c r="AO74" s="2">
        <f t="shared" ca="1" si="46"/>
        <v>0</v>
      </c>
      <c r="AP74" s="2">
        <f t="shared" ca="1" si="47"/>
        <v>0</v>
      </c>
      <c r="AQ74" s="2">
        <f t="shared" ca="1" si="48"/>
        <v>30</v>
      </c>
      <c r="AR74" s="2">
        <f t="shared" si="49"/>
        <v>20</v>
      </c>
      <c r="AS74" s="2">
        <f t="shared" ca="1" si="54"/>
        <v>30</v>
      </c>
      <c r="AT74" s="21"/>
      <c r="AU74" s="21"/>
      <c r="AV74" s="21"/>
      <c r="AW74" s="21"/>
      <c r="AX74" s="21"/>
      <c r="AY74" s="2">
        <f t="shared" ca="1" si="25"/>
        <v>0</v>
      </c>
      <c r="AZ74" s="21"/>
      <c r="BA74" s="21"/>
      <c r="BB74" s="21"/>
      <c r="BC74" s="21"/>
      <c r="BD74" s="21"/>
      <c r="BE74" s="21"/>
      <c r="BF74" s="21"/>
      <c r="BG74" s="21"/>
      <c r="BH74" s="21"/>
      <c r="BI74" s="52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9"/>
        <v xml:space="preserve"> </v>
      </c>
      <c r="C75" s="401"/>
      <c r="D75" s="435" t="str">
        <f ca="1">IF(N75=0,IF(N74=1,SUM(D$25:E74)," "),IF(N75=0," ",IF(N76=1,D$25,IF(N76=0,D$10-D$25*(M$14-1)," "))))</f>
        <v xml:space="preserve"> </v>
      </c>
      <c r="E75" s="435"/>
      <c r="F75" s="151" t="str">
        <f ca="1">IF(N75=0,IF(N74=1,SUM(F$25:F74)," "),IF(M$1=1,P75,IF(M$1=2,Q75," ")))</f>
        <v xml:space="preserve"> </v>
      </c>
      <c r="G75" s="151" t="str">
        <f ca="1">IF(N75=0,IF(N74=1,SUM(G$25:G74)," "),IF(M$1=1,AC75,IF(M$1=2,AD75," ")))</f>
        <v xml:space="preserve"> </v>
      </c>
      <c r="H75" s="151" t="str">
        <f t="shared" ca="1" si="50"/>
        <v xml:space="preserve"> </v>
      </c>
      <c r="I75" s="151">
        <f t="shared" ca="1" si="31"/>
        <v>0</v>
      </c>
      <c r="J75" s="151">
        <f t="shared" ca="1" si="32"/>
        <v>0</v>
      </c>
      <c r="K75" s="151">
        <f t="shared" ca="1" si="33"/>
        <v>0</v>
      </c>
      <c r="L75" s="151" t="str">
        <f t="shared" ca="1" si="34"/>
        <v xml:space="preserve"> </v>
      </c>
      <c r="M75" s="2">
        <v>51</v>
      </c>
      <c r="N75" s="2">
        <f t="shared" ca="1" si="38"/>
        <v>0</v>
      </c>
      <c r="O75" s="2">
        <f t="shared" ca="1" si="60"/>
        <v>20</v>
      </c>
      <c r="P75" s="134">
        <f t="shared" ca="1" si="12"/>
        <v>0</v>
      </c>
      <c r="Q75" s="134">
        <f t="shared" ca="1" si="13"/>
        <v>0</v>
      </c>
      <c r="R75" s="134">
        <f t="shared" ca="1" si="51"/>
        <v>0</v>
      </c>
      <c r="S75" s="134" t="str">
        <f t="shared" ca="1" si="26"/>
        <v xml:space="preserve"> </v>
      </c>
      <c r="T75" s="134" t="str">
        <f t="shared" ca="1" si="15"/>
        <v xml:space="preserve"> </v>
      </c>
      <c r="U75" s="134">
        <f t="shared" ca="1" si="35"/>
        <v>0</v>
      </c>
      <c r="V75" s="134">
        <f t="shared" ca="1" si="36"/>
        <v>0</v>
      </c>
      <c r="W75" s="134">
        <f t="shared" ca="1" si="27"/>
        <v>0</v>
      </c>
      <c r="X75" s="134">
        <f t="shared" ca="1" si="28"/>
        <v>0</v>
      </c>
      <c r="Y75" s="134">
        <f t="shared" ca="1" si="16"/>
        <v>8.2422957348171622E-12</v>
      </c>
      <c r="Z75" s="134">
        <f t="shared" ca="1" si="37"/>
        <v>0</v>
      </c>
      <c r="AA75" s="134">
        <f t="shared" ca="1" si="17"/>
        <v>0</v>
      </c>
      <c r="AB75" s="134">
        <f t="shared" ca="1" si="61"/>
        <v>0</v>
      </c>
      <c r="AC75" s="134">
        <f t="shared" ca="1" si="18"/>
        <v>0</v>
      </c>
      <c r="AD75" s="134">
        <f t="shared" ca="1" si="19"/>
        <v>0</v>
      </c>
      <c r="AE75" s="134">
        <f t="shared" ca="1" si="30"/>
        <v>0</v>
      </c>
      <c r="AF75" s="134">
        <f t="shared" ca="1" si="20"/>
        <v>0</v>
      </c>
      <c r="AG75" s="134">
        <f t="shared" ca="1" si="29"/>
        <v>0</v>
      </c>
      <c r="AH75" s="134">
        <f t="shared" ca="1" si="21"/>
        <v>0</v>
      </c>
      <c r="AI75" s="134">
        <f t="shared" ca="1" si="44"/>
        <v>0</v>
      </c>
      <c r="AJ75" s="134">
        <f t="shared" ca="1" si="62"/>
        <v>0</v>
      </c>
      <c r="AK75" s="134">
        <f t="shared" ca="1" si="63"/>
        <v>0</v>
      </c>
      <c r="AL75" s="132">
        <f t="shared" ca="1" si="52"/>
        <v>0</v>
      </c>
      <c r="AM75" s="132">
        <f t="shared" ca="1" si="45"/>
        <v>0</v>
      </c>
      <c r="AN75" s="2">
        <f t="shared" ca="1" si="53"/>
        <v>0</v>
      </c>
      <c r="AO75" s="2">
        <f t="shared" ca="1" si="46"/>
        <v>0</v>
      </c>
      <c r="AP75" s="2">
        <f t="shared" ca="1" si="47"/>
        <v>0</v>
      </c>
      <c r="AQ75" s="2">
        <f t="shared" ca="1" si="48"/>
        <v>30</v>
      </c>
      <c r="AR75" s="2">
        <f t="shared" si="49"/>
        <v>20</v>
      </c>
      <c r="AS75" s="2">
        <f t="shared" ca="1" si="54"/>
        <v>30</v>
      </c>
      <c r="AT75" s="21"/>
      <c r="AU75" s="21"/>
      <c r="AV75" s="21"/>
      <c r="AW75" s="21"/>
      <c r="AX75" s="21"/>
      <c r="AY75" s="2">
        <f t="shared" ca="1" si="25"/>
        <v>0</v>
      </c>
      <c r="AZ75" s="21"/>
      <c r="BA75" s="21"/>
      <c r="BB75" s="21"/>
      <c r="BC75" s="21"/>
      <c r="BD75" s="21"/>
      <c r="BE75" s="21"/>
      <c r="BF75" s="21"/>
      <c r="BG75" s="21"/>
      <c r="BH75" s="21"/>
      <c r="BI75" s="52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9"/>
        <v xml:space="preserve"> </v>
      </c>
      <c r="C76" s="401"/>
      <c r="D76" s="435" t="str">
        <f ca="1">IF(N76=0,IF(N75=1,SUM(D$25:E75)," "),IF(N76=0," ",IF(N77=1,D$25,IF(N77=0,D$10-D$25*(M$14-1)," "))))</f>
        <v xml:space="preserve"> </v>
      </c>
      <c r="E76" s="435"/>
      <c r="F76" s="151" t="str">
        <f ca="1">IF(N76=0,IF(N75=1,SUM(F$25:F75)," "),IF(M$1=1,P76,IF(M$1=2,Q76," ")))</f>
        <v xml:space="preserve"> </v>
      </c>
      <c r="G76" s="151" t="str">
        <f ca="1">IF(N76=0,IF(N75=1,SUM(G$25:G75)," "),IF(M$1=1,AC76,IF(M$1=2,AD76," ")))</f>
        <v xml:space="preserve"> </v>
      </c>
      <c r="H76" s="151" t="str">
        <f t="shared" ca="1" si="50"/>
        <v xml:space="preserve"> </v>
      </c>
      <c r="I76" s="151">
        <f t="shared" ca="1" si="31"/>
        <v>0</v>
      </c>
      <c r="J76" s="151">
        <f t="shared" ca="1" si="32"/>
        <v>0</v>
      </c>
      <c r="K76" s="151">
        <f t="shared" ca="1" si="33"/>
        <v>0</v>
      </c>
      <c r="L76" s="151" t="str">
        <f t="shared" ca="1" si="34"/>
        <v xml:space="preserve"> </v>
      </c>
      <c r="M76" s="2">
        <v>52</v>
      </c>
      <c r="N76" s="2">
        <f t="shared" ca="1" si="38"/>
        <v>0</v>
      </c>
      <c r="O76" s="2">
        <f t="shared" ca="1" si="60"/>
        <v>20</v>
      </c>
      <c r="P76" s="134">
        <f t="shared" ca="1" si="12"/>
        <v>0</v>
      </c>
      <c r="Q76" s="134">
        <f t="shared" ca="1" si="13"/>
        <v>0</v>
      </c>
      <c r="R76" s="134">
        <f t="shared" ca="1" si="51"/>
        <v>0</v>
      </c>
      <c r="S76" s="134" t="str">
        <f t="shared" ca="1" si="26"/>
        <v xml:space="preserve"> </v>
      </c>
      <c r="T76" s="134" t="str">
        <f t="shared" ca="1" si="15"/>
        <v xml:space="preserve"> </v>
      </c>
      <c r="U76" s="134">
        <f t="shared" ca="1" si="35"/>
        <v>0</v>
      </c>
      <c r="V76" s="134">
        <f t="shared" ca="1" si="36"/>
        <v>0</v>
      </c>
      <c r="W76" s="134">
        <f t="shared" ca="1" si="27"/>
        <v>0</v>
      </c>
      <c r="X76" s="134">
        <f t="shared" ca="1" si="28"/>
        <v>0</v>
      </c>
      <c r="Y76" s="134">
        <f t="shared" ca="1" si="16"/>
        <v>8.2422957348171622E-12</v>
      </c>
      <c r="Z76" s="134">
        <f t="shared" ca="1" si="37"/>
        <v>0</v>
      </c>
      <c r="AA76" s="134">
        <f t="shared" ca="1" si="17"/>
        <v>0</v>
      </c>
      <c r="AB76" s="134">
        <f t="shared" ca="1" si="61"/>
        <v>0</v>
      </c>
      <c r="AC76" s="134">
        <f t="shared" ca="1" si="18"/>
        <v>0</v>
      </c>
      <c r="AD76" s="134">
        <f t="shared" ca="1" si="19"/>
        <v>0</v>
      </c>
      <c r="AE76" s="134">
        <f t="shared" ca="1" si="30"/>
        <v>0</v>
      </c>
      <c r="AF76" s="134">
        <f t="shared" ca="1" si="20"/>
        <v>0</v>
      </c>
      <c r="AG76" s="134">
        <f t="shared" ca="1" si="29"/>
        <v>0</v>
      </c>
      <c r="AH76" s="134">
        <f t="shared" ca="1" si="21"/>
        <v>0</v>
      </c>
      <c r="AI76" s="134">
        <f t="shared" ca="1" si="44"/>
        <v>0</v>
      </c>
      <c r="AJ76" s="134">
        <f t="shared" ca="1" si="62"/>
        <v>0</v>
      </c>
      <c r="AK76" s="134">
        <f t="shared" ca="1" si="63"/>
        <v>0</v>
      </c>
      <c r="AL76" s="132">
        <f t="shared" ca="1" si="52"/>
        <v>0</v>
      </c>
      <c r="AM76" s="132">
        <f t="shared" ca="1" si="45"/>
        <v>0</v>
      </c>
      <c r="AN76" s="2">
        <f t="shared" ca="1" si="53"/>
        <v>0</v>
      </c>
      <c r="AO76" s="2">
        <f t="shared" ca="1" si="46"/>
        <v>0</v>
      </c>
      <c r="AP76" s="2">
        <f t="shared" ca="1" si="47"/>
        <v>0</v>
      </c>
      <c r="AQ76" s="2">
        <f t="shared" ca="1" si="48"/>
        <v>30</v>
      </c>
      <c r="AR76" s="2">
        <f t="shared" si="49"/>
        <v>20</v>
      </c>
      <c r="AS76" s="2">
        <f t="shared" ca="1" si="54"/>
        <v>30</v>
      </c>
      <c r="AT76" s="21"/>
      <c r="AU76" s="21"/>
      <c r="AV76" s="21"/>
      <c r="AW76" s="21"/>
      <c r="AX76" s="21"/>
      <c r="AY76" s="2">
        <f t="shared" ca="1" si="25"/>
        <v>0</v>
      </c>
      <c r="AZ76" s="21"/>
      <c r="BA76" s="21"/>
      <c r="BB76" s="21"/>
      <c r="BC76" s="21"/>
      <c r="BD76" s="21"/>
      <c r="BE76" s="21"/>
      <c r="BF76" s="21"/>
      <c r="BG76" s="21"/>
      <c r="BH76" s="21"/>
      <c r="BI76" s="52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9"/>
        <v xml:space="preserve"> </v>
      </c>
      <c r="C77" s="401"/>
      <c r="D77" s="435" t="str">
        <f ca="1">IF(N77=0,IF(N76=1,SUM(D$25:E76)," "),IF(N77=0," ",IF(N78=1,D$25,IF(N78=0,D$10-D$25*(M$14-1)," "))))</f>
        <v xml:space="preserve"> </v>
      </c>
      <c r="E77" s="435"/>
      <c r="F77" s="151" t="str">
        <f ca="1">IF(N77=0,IF(N76=1,SUM(F$25:F76)," "),IF(M$1=1,P77,IF(M$1=2,Q77," ")))</f>
        <v xml:space="preserve"> </v>
      </c>
      <c r="G77" s="151" t="str">
        <f ca="1">IF(N77=0,IF(N76=1,SUM(G$25:G76)," "),IF(M$1=1,AC77,IF(M$1=2,AD77," ")))</f>
        <v xml:space="preserve"> </v>
      </c>
      <c r="H77" s="151" t="str">
        <f t="shared" ca="1" si="50"/>
        <v xml:space="preserve"> </v>
      </c>
      <c r="I77" s="151">
        <f t="shared" ca="1" si="31"/>
        <v>0</v>
      </c>
      <c r="J77" s="151">
        <f t="shared" ca="1" si="32"/>
        <v>0</v>
      </c>
      <c r="K77" s="151">
        <f t="shared" ca="1" si="33"/>
        <v>0</v>
      </c>
      <c r="L77" s="151" t="str">
        <f t="shared" ca="1" si="34"/>
        <v xml:space="preserve"> </v>
      </c>
      <c r="M77" s="2">
        <v>53</v>
      </c>
      <c r="N77" s="2">
        <f t="shared" ca="1" si="38"/>
        <v>0</v>
      </c>
      <c r="O77" s="2">
        <f t="shared" ca="1" si="60"/>
        <v>20</v>
      </c>
      <c r="P77" s="134">
        <f t="shared" ca="1" si="12"/>
        <v>0</v>
      </c>
      <c r="Q77" s="134">
        <f t="shared" ca="1" si="13"/>
        <v>0</v>
      </c>
      <c r="R77" s="134">
        <f t="shared" ca="1" si="51"/>
        <v>0</v>
      </c>
      <c r="S77" s="134" t="str">
        <f t="shared" ca="1" si="26"/>
        <v xml:space="preserve"> </v>
      </c>
      <c r="T77" s="134" t="str">
        <f t="shared" ca="1" si="15"/>
        <v xml:space="preserve"> </v>
      </c>
      <c r="U77" s="134">
        <f t="shared" ca="1" si="35"/>
        <v>0</v>
      </c>
      <c r="V77" s="134">
        <f t="shared" ca="1" si="36"/>
        <v>0</v>
      </c>
      <c r="W77" s="134">
        <f t="shared" ca="1" si="27"/>
        <v>0</v>
      </c>
      <c r="X77" s="134">
        <f t="shared" ca="1" si="28"/>
        <v>0</v>
      </c>
      <c r="Y77" s="134">
        <f t="shared" ca="1" si="16"/>
        <v>8.2422957348171622E-12</v>
      </c>
      <c r="Z77" s="134">
        <f t="shared" ca="1" si="37"/>
        <v>0</v>
      </c>
      <c r="AA77" s="134">
        <f t="shared" ca="1" si="17"/>
        <v>0</v>
      </c>
      <c r="AB77" s="134">
        <f t="shared" ca="1" si="61"/>
        <v>0</v>
      </c>
      <c r="AC77" s="134">
        <f t="shared" ca="1" si="18"/>
        <v>0</v>
      </c>
      <c r="AD77" s="134">
        <f t="shared" ca="1" si="19"/>
        <v>0</v>
      </c>
      <c r="AE77" s="134">
        <f t="shared" ca="1" si="30"/>
        <v>0</v>
      </c>
      <c r="AF77" s="134">
        <f t="shared" ca="1" si="20"/>
        <v>0</v>
      </c>
      <c r="AG77" s="134">
        <f t="shared" ca="1" si="29"/>
        <v>0</v>
      </c>
      <c r="AH77" s="134">
        <f t="shared" ca="1" si="21"/>
        <v>0</v>
      </c>
      <c r="AI77" s="134">
        <f t="shared" ca="1" si="44"/>
        <v>0</v>
      </c>
      <c r="AJ77" s="134">
        <f t="shared" ca="1" si="62"/>
        <v>0</v>
      </c>
      <c r="AK77" s="134">
        <f t="shared" ca="1" si="63"/>
        <v>0</v>
      </c>
      <c r="AL77" s="132">
        <f t="shared" ca="1" si="52"/>
        <v>0</v>
      </c>
      <c r="AM77" s="132">
        <f t="shared" ca="1" si="45"/>
        <v>0</v>
      </c>
      <c r="AN77" s="2">
        <f t="shared" ca="1" si="53"/>
        <v>0</v>
      </c>
      <c r="AO77" s="2">
        <f t="shared" ca="1" si="46"/>
        <v>0</v>
      </c>
      <c r="AP77" s="2">
        <f t="shared" ca="1" si="47"/>
        <v>0</v>
      </c>
      <c r="AQ77" s="2">
        <f t="shared" ca="1" si="48"/>
        <v>30</v>
      </c>
      <c r="AR77" s="2">
        <f t="shared" si="49"/>
        <v>20</v>
      </c>
      <c r="AS77" s="2">
        <f t="shared" ca="1" si="54"/>
        <v>30</v>
      </c>
      <c r="AT77" s="21"/>
      <c r="AU77" s="21"/>
      <c r="AV77" s="21"/>
      <c r="AW77" s="21"/>
      <c r="AX77" s="21"/>
      <c r="AY77" s="2">
        <f t="shared" ca="1" si="25"/>
        <v>0</v>
      </c>
      <c r="AZ77" s="21"/>
      <c r="BA77" s="21"/>
      <c r="BB77" s="21"/>
      <c r="BC77" s="21"/>
      <c r="BD77" s="21"/>
      <c r="BE77" s="21"/>
      <c r="BF77" s="21"/>
      <c r="BG77" s="21"/>
      <c r="BH77" s="21"/>
      <c r="BI77" s="52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9"/>
        <v xml:space="preserve"> </v>
      </c>
      <c r="C78" s="401"/>
      <c r="D78" s="435" t="str">
        <f ca="1">IF(N78=0,IF(N77=1,SUM(D$25:E77)," "),IF(N78=0," ",IF(N79=1,D$25,IF(N79=0,D$10-D$25*(M$14-1)," "))))</f>
        <v xml:space="preserve"> </v>
      </c>
      <c r="E78" s="435"/>
      <c r="F78" s="151" t="str">
        <f ca="1">IF(N78=0,IF(N77=1,SUM(F$25:F77)," "),IF(M$1=1,P78,IF(M$1=2,Q78," ")))</f>
        <v xml:space="preserve"> </v>
      </c>
      <c r="G78" s="151" t="str">
        <f ca="1">IF(N78=0,IF(N77=1,SUM(G$25:G77)," "),IF(M$1=1,AC78,IF(M$1=2,AD78," ")))</f>
        <v xml:space="preserve"> </v>
      </c>
      <c r="H78" s="151" t="str">
        <f t="shared" ca="1" si="50"/>
        <v xml:space="preserve"> </v>
      </c>
      <c r="I78" s="151">
        <f t="shared" ca="1" si="31"/>
        <v>0</v>
      </c>
      <c r="J78" s="151">
        <f t="shared" ca="1" si="32"/>
        <v>0</v>
      </c>
      <c r="K78" s="151">
        <f t="shared" ca="1" si="33"/>
        <v>0</v>
      </c>
      <c r="L78" s="151" t="str">
        <f t="shared" ca="1" si="34"/>
        <v xml:space="preserve"> </v>
      </c>
      <c r="M78" s="2">
        <v>54</v>
      </c>
      <c r="N78" s="2">
        <f t="shared" ca="1" si="38"/>
        <v>0</v>
      </c>
      <c r="O78" s="2">
        <f t="shared" ca="1" si="60"/>
        <v>20</v>
      </c>
      <c r="P78" s="134">
        <f t="shared" ca="1" si="12"/>
        <v>0</v>
      </c>
      <c r="Q78" s="134">
        <f t="shared" ca="1" si="13"/>
        <v>0</v>
      </c>
      <c r="R78" s="134">
        <f t="shared" ca="1" si="51"/>
        <v>0</v>
      </c>
      <c r="S78" s="134" t="str">
        <f t="shared" ca="1" si="26"/>
        <v xml:space="preserve"> </v>
      </c>
      <c r="T78" s="134" t="str">
        <f t="shared" ca="1" si="15"/>
        <v xml:space="preserve"> </v>
      </c>
      <c r="U78" s="134">
        <f t="shared" ca="1" si="35"/>
        <v>0</v>
      </c>
      <c r="V78" s="134">
        <f t="shared" ca="1" si="36"/>
        <v>0</v>
      </c>
      <c r="W78" s="134">
        <f t="shared" ca="1" si="27"/>
        <v>0</v>
      </c>
      <c r="X78" s="134">
        <f t="shared" ca="1" si="28"/>
        <v>0</v>
      </c>
      <c r="Y78" s="134">
        <f t="shared" ca="1" si="16"/>
        <v>8.2422957348171622E-12</v>
      </c>
      <c r="Z78" s="134">
        <f t="shared" ca="1" si="37"/>
        <v>0</v>
      </c>
      <c r="AA78" s="134">
        <f t="shared" ca="1" si="17"/>
        <v>0</v>
      </c>
      <c r="AB78" s="134">
        <f t="shared" ca="1" si="61"/>
        <v>0</v>
      </c>
      <c r="AC78" s="134">
        <f t="shared" ca="1" si="18"/>
        <v>0</v>
      </c>
      <c r="AD78" s="134">
        <f t="shared" ca="1" si="19"/>
        <v>0</v>
      </c>
      <c r="AE78" s="134">
        <f t="shared" ca="1" si="30"/>
        <v>0</v>
      </c>
      <c r="AF78" s="134">
        <f t="shared" ca="1" si="20"/>
        <v>0</v>
      </c>
      <c r="AG78" s="134">
        <f t="shared" ca="1" si="29"/>
        <v>0</v>
      </c>
      <c r="AH78" s="134">
        <f t="shared" ca="1" si="21"/>
        <v>0</v>
      </c>
      <c r="AI78" s="134">
        <f t="shared" ca="1" si="44"/>
        <v>0</v>
      </c>
      <c r="AJ78" s="134">
        <f t="shared" ca="1" si="62"/>
        <v>0</v>
      </c>
      <c r="AK78" s="134">
        <f t="shared" ca="1" si="63"/>
        <v>0</v>
      </c>
      <c r="AL78" s="132">
        <f t="shared" ca="1" si="52"/>
        <v>0</v>
      </c>
      <c r="AM78" s="132">
        <f t="shared" ca="1" si="45"/>
        <v>0</v>
      </c>
      <c r="AN78" s="2">
        <f t="shared" ca="1" si="53"/>
        <v>0</v>
      </c>
      <c r="AO78" s="2">
        <f t="shared" ca="1" si="46"/>
        <v>0</v>
      </c>
      <c r="AP78" s="2">
        <f t="shared" ca="1" si="47"/>
        <v>0</v>
      </c>
      <c r="AQ78" s="2">
        <f t="shared" ca="1" si="48"/>
        <v>30</v>
      </c>
      <c r="AR78" s="2">
        <f t="shared" si="49"/>
        <v>20</v>
      </c>
      <c r="AS78" s="2">
        <f t="shared" ca="1" si="54"/>
        <v>30</v>
      </c>
      <c r="AT78" s="21"/>
      <c r="AU78" s="21"/>
      <c r="AV78" s="21"/>
      <c r="AW78" s="21"/>
      <c r="AX78" s="21"/>
      <c r="AY78" s="2">
        <f t="shared" ca="1" si="25"/>
        <v>0</v>
      </c>
      <c r="AZ78" s="21"/>
      <c r="BA78" s="21"/>
      <c r="BB78" s="21"/>
      <c r="BC78" s="21"/>
      <c r="BD78" s="21"/>
      <c r="BE78" s="21"/>
      <c r="BF78" s="21"/>
      <c r="BG78" s="21"/>
      <c r="BH78" s="21"/>
      <c r="BI78" s="52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9"/>
        <v xml:space="preserve"> </v>
      </c>
      <c r="C79" s="401"/>
      <c r="D79" s="435" t="str">
        <f ca="1">IF(N79=0,IF(N78=1,SUM(D$25:E78)," "),IF(N79=0," ",IF(N80=1,D$25,IF(N80=0,D$10-D$25*(M$14-1)," "))))</f>
        <v xml:space="preserve"> </v>
      </c>
      <c r="E79" s="435"/>
      <c r="F79" s="151" t="str">
        <f ca="1">IF(N79=0,IF(N78=1,SUM(F$25:F78)," "),IF(M$1=1,P79,IF(M$1=2,Q79," ")))</f>
        <v xml:space="preserve"> </v>
      </c>
      <c r="G79" s="151" t="str">
        <f ca="1">IF(N79=0,IF(N78=1,SUM(G$25:G78)," "),IF(M$1=1,AC79,IF(M$1=2,AD79," ")))</f>
        <v xml:space="preserve"> </v>
      </c>
      <c r="H79" s="151" t="str">
        <f t="shared" ca="1" si="50"/>
        <v xml:space="preserve"> </v>
      </c>
      <c r="I79" s="151">
        <f t="shared" ca="1" si="31"/>
        <v>0</v>
      </c>
      <c r="J79" s="151">
        <f t="shared" ca="1" si="32"/>
        <v>0</v>
      </c>
      <c r="K79" s="151">
        <f t="shared" ca="1" si="33"/>
        <v>0</v>
      </c>
      <c r="L79" s="151" t="str">
        <f t="shared" ca="1" si="34"/>
        <v xml:space="preserve"> </v>
      </c>
      <c r="M79" s="2">
        <v>55</v>
      </c>
      <c r="N79" s="2">
        <f t="shared" ca="1" si="38"/>
        <v>0</v>
      </c>
      <c r="O79" s="2">
        <f t="shared" ca="1" si="60"/>
        <v>20</v>
      </c>
      <c r="P79" s="134">
        <f t="shared" ca="1" si="12"/>
        <v>0</v>
      </c>
      <c r="Q79" s="134">
        <f t="shared" ca="1" si="13"/>
        <v>0</v>
      </c>
      <c r="R79" s="134">
        <f t="shared" ca="1" si="51"/>
        <v>0</v>
      </c>
      <c r="S79" s="134" t="str">
        <f t="shared" ca="1" si="26"/>
        <v xml:space="preserve"> </v>
      </c>
      <c r="T79" s="134" t="str">
        <f t="shared" ca="1" si="15"/>
        <v xml:space="preserve"> </v>
      </c>
      <c r="U79" s="134">
        <f t="shared" ca="1" si="35"/>
        <v>0</v>
      </c>
      <c r="V79" s="134">
        <f t="shared" ca="1" si="36"/>
        <v>0</v>
      </c>
      <c r="W79" s="134">
        <f t="shared" ca="1" si="27"/>
        <v>0</v>
      </c>
      <c r="X79" s="134">
        <f t="shared" ca="1" si="28"/>
        <v>0</v>
      </c>
      <c r="Y79" s="134">
        <f t="shared" ca="1" si="16"/>
        <v>8.2422957348171622E-12</v>
      </c>
      <c r="Z79" s="134">
        <f t="shared" ca="1" si="37"/>
        <v>0</v>
      </c>
      <c r="AA79" s="134">
        <f t="shared" ca="1" si="17"/>
        <v>0</v>
      </c>
      <c r="AB79" s="134">
        <f t="shared" ca="1" si="61"/>
        <v>0</v>
      </c>
      <c r="AC79" s="134">
        <f t="shared" ca="1" si="18"/>
        <v>0</v>
      </c>
      <c r="AD79" s="134">
        <f t="shared" ca="1" si="19"/>
        <v>0</v>
      </c>
      <c r="AE79" s="134">
        <f t="shared" ca="1" si="30"/>
        <v>0</v>
      </c>
      <c r="AF79" s="134">
        <f t="shared" ca="1" si="20"/>
        <v>0</v>
      </c>
      <c r="AG79" s="134">
        <f t="shared" ca="1" si="29"/>
        <v>0</v>
      </c>
      <c r="AH79" s="134">
        <f t="shared" ca="1" si="21"/>
        <v>0</v>
      </c>
      <c r="AI79" s="134">
        <f t="shared" ca="1" si="44"/>
        <v>0</v>
      </c>
      <c r="AJ79" s="134">
        <f t="shared" ca="1" si="62"/>
        <v>0</v>
      </c>
      <c r="AK79" s="134">
        <f t="shared" ca="1" si="63"/>
        <v>0</v>
      </c>
      <c r="AL79" s="132">
        <f t="shared" ca="1" si="52"/>
        <v>0</v>
      </c>
      <c r="AM79" s="132">
        <f t="shared" ca="1" si="45"/>
        <v>0</v>
      </c>
      <c r="AN79" s="2">
        <f t="shared" ca="1" si="53"/>
        <v>0</v>
      </c>
      <c r="AO79" s="2">
        <f t="shared" ca="1" si="46"/>
        <v>0</v>
      </c>
      <c r="AP79" s="2">
        <f t="shared" ca="1" si="47"/>
        <v>0</v>
      </c>
      <c r="AQ79" s="2">
        <f t="shared" ca="1" si="48"/>
        <v>30</v>
      </c>
      <c r="AR79" s="2">
        <f t="shared" si="49"/>
        <v>20</v>
      </c>
      <c r="AS79" s="2">
        <f t="shared" ca="1" si="54"/>
        <v>30</v>
      </c>
      <c r="AT79" s="21"/>
      <c r="AU79" s="21"/>
      <c r="AV79" s="21"/>
      <c r="AW79" s="21"/>
      <c r="AX79" s="21"/>
      <c r="AY79" s="2">
        <f t="shared" ca="1" si="25"/>
        <v>0</v>
      </c>
      <c r="AZ79" s="21"/>
      <c r="BA79" s="21"/>
      <c r="BB79" s="21"/>
      <c r="BC79" s="21"/>
      <c r="BD79" s="21"/>
      <c r="BE79" s="21"/>
      <c r="BF79" s="21"/>
      <c r="BG79" s="21"/>
      <c r="BH79" s="21"/>
      <c r="BI79" s="52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9"/>
        <v xml:space="preserve"> </v>
      </c>
      <c r="C80" s="401"/>
      <c r="D80" s="435" t="str">
        <f ca="1">IF(N80=0,IF(N79=1,SUM(D$25:E79)," "),IF(N80=0," ",IF(N81=1,D$25,IF(N81=0,D$10-D$25*(M$14-1)," "))))</f>
        <v xml:space="preserve"> </v>
      </c>
      <c r="E80" s="435"/>
      <c r="F80" s="151" t="str">
        <f ca="1">IF(N80=0,IF(N79=1,SUM(F$25:F79)," "),IF(M$1=1,P80,IF(M$1=2,Q80," ")))</f>
        <v xml:space="preserve"> </v>
      </c>
      <c r="G80" s="151" t="str">
        <f ca="1">IF(N80=0,IF(N79=1,SUM(G$25:G79)," "),IF(M$1=1,AC80,IF(M$1=2,AD80," ")))</f>
        <v xml:space="preserve"> </v>
      </c>
      <c r="H80" s="151" t="str">
        <f t="shared" ca="1" si="50"/>
        <v xml:space="preserve"> </v>
      </c>
      <c r="I80" s="151">
        <f t="shared" ca="1" si="31"/>
        <v>0</v>
      </c>
      <c r="J80" s="151">
        <f t="shared" ca="1" si="32"/>
        <v>0</v>
      </c>
      <c r="K80" s="151">
        <f t="shared" ca="1" si="33"/>
        <v>0</v>
      </c>
      <c r="L80" s="151" t="str">
        <f t="shared" ca="1" si="34"/>
        <v xml:space="preserve"> </v>
      </c>
      <c r="M80" s="2">
        <v>56</v>
      </c>
      <c r="N80" s="2">
        <f t="shared" ca="1" si="38"/>
        <v>0</v>
      </c>
      <c r="O80" s="2">
        <f t="shared" ca="1" si="60"/>
        <v>20</v>
      </c>
      <c r="P80" s="134">
        <f t="shared" ca="1" si="12"/>
        <v>0</v>
      </c>
      <c r="Q80" s="134">
        <f t="shared" ca="1" si="13"/>
        <v>0</v>
      </c>
      <c r="R80" s="134">
        <f t="shared" ca="1" si="51"/>
        <v>0</v>
      </c>
      <c r="S80" s="134" t="str">
        <f t="shared" ca="1" si="26"/>
        <v xml:space="preserve"> </v>
      </c>
      <c r="T80" s="134" t="str">
        <f t="shared" ca="1" si="15"/>
        <v xml:space="preserve"> </v>
      </c>
      <c r="U80" s="134">
        <f t="shared" ca="1" si="35"/>
        <v>0</v>
      </c>
      <c r="V80" s="134">
        <f t="shared" ca="1" si="36"/>
        <v>0</v>
      </c>
      <c r="W80" s="134">
        <f t="shared" ca="1" si="27"/>
        <v>0</v>
      </c>
      <c r="X80" s="134">
        <f t="shared" ca="1" si="28"/>
        <v>0</v>
      </c>
      <c r="Y80" s="134">
        <f t="shared" ca="1" si="16"/>
        <v>8.2422957348171622E-12</v>
      </c>
      <c r="Z80" s="134">
        <f t="shared" ca="1" si="37"/>
        <v>0</v>
      </c>
      <c r="AA80" s="134">
        <f t="shared" ca="1" si="17"/>
        <v>0</v>
      </c>
      <c r="AB80" s="134">
        <f t="shared" ca="1" si="61"/>
        <v>0</v>
      </c>
      <c r="AC80" s="134">
        <f t="shared" ca="1" si="18"/>
        <v>0</v>
      </c>
      <c r="AD80" s="134">
        <f t="shared" ca="1" si="19"/>
        <v>0</v>
      </c>
      <c r="AE80" s="134">
        <f t="shared" ca="1" si="30"/>
        <v>0</v>
      </c>
      <c r="AF80" s="134">
        <f t="shared" ca="1" si="20"/>
        <v>0</v>
      </c>
      <c r="AG80" s="134">
        <f t="shared" ca="1" si="29"/>
        <v>0</v>
      </c>
      <c r="AH80" s="134">
        <f t="shared" ca="1" si="21"/>
        <v>0</v>
      </c>
      <c r="AI80" s="134">
        <f t="shared" ca="1" si="44"/>
        <v>0</v>
      </c>
      <c r="AJ80" s="134">
        <f t="shared" ca="1" si="62"/>
        <v>0</v>
      </c>
      <c r="AK80" s="134">
        <f t="shared" ca="1" si="63"/>
        <v>0</v>
      </c>
      <c r="AL80" s="132">
        <f t="shared" ca="1" si="52"/>
        <v>0</v>
      </c>
      <c r="AM80" s="132">
        <f t="shared" ca="1" si="45"/>
        <v>0</v>
      </c>
      <c r="AN80" s="2">
        <f t="shared" ca="1" si="53"/>
        <v>0</v>
      </c>
      <c r="AO80" s="2">
        <f t="shared" ca="1" si="46"/>
        <v>0</v>
      </c>
      <c r="AP80" s="2">
        <f t="shared" ca="1" si="47"/>
        <v>0</v>
      </c>
      <c r="AQ80" s="2">
        <f t="shared" ca="1" si="48"/>
        <v>30</v>
      </c>
      <c r="AR80" s="2">
        <f t="shared" si="49"/>
        <v>20</v>
      </c>
      <c r="AS80" s="2">
        <f t="shared" ca="1" si="54"/>
        <v>30</v>
      </c>
      <c r="AT80" s="21"/>
      <c r="AU80" s="21"/>
      <c r="AV80" s="21"/>
      <c r="AW80" s="21"/>
      <c r="AX80" s="21"/>
      <c r="AY80" s="2">
        <f t="shared" ca="1" si="25"/>
        <v>0</v>
      </c>
      <c r="AZ80" s="21"/>
      <c r="BA80" s="21"/>
      <c r="BB80" s="21"/>
      <c r="BC80" s="21"/>
      <c r="BD80" s="21"/>
      <c r="BE80" s="21"/>
      <c r="BF80" s="21"/>
      <c r="BG80" s="21"/>
      <c r="BH80" s="21"/>
      <c r="BI80" s="52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9"/>
        <v xml:space="preserve"> </v>
      </c>
      <c r="C81" s="401"/>
      <c r="D81" s="435" t="str">
        <f ca="1">IF(N81=0,IF(N80=1,SUM(D$25:E80)," "),IF(N81=0," ",IF(N82=1,D$25,IF(N82=0,D$10-D$25*(M$14-1)," "))))</f>
        <v xml:space="preserve"> </v>
      </c>
      <c r="E81" s="435"/>
      <c r="F81" s="151" t="str">
        <f ca="1">IF(N81=0,IF(N80=1,SUM(F$25:F80)," "),IF(M$1=1,P81,IF(M$1=2,Q81," ")))</f>
        <v xml:space="preserve"> </v>
      </c>
      <c r="G81" s="151" t="str">
        <f ca="1">IF(N81=0,IF(N80=1,SUM(G$25:G80)," "),IF(M$1=1,AC81,IF(M$1=2,AD81," ")))</f>
        <v xml:space="preserve"> </v>
      </c>
      <c r="H81" s="151" t="str">
        <f t="shared" ca="1" si="50"/>
        <v xml:space="preserve"> </v>
      </c>
      <c r="I81" s="151">
        <f t="shared" ca="1" si="31"/>
        <v>0</v>
      </c>
      <c r="J81" s="151">
        <f t="shared" ca="1" si="32"/>
        <v>0</v>
      </c>
      <c r="K81" s="151">
        <f t="shared" ca="1" si="33"/>
        <v>0</v>
      </c>
      <c r="L81" s="151" t="str">
        <f t="shared" ca="1" si="34"/>
        <v xml:space="preserve"> </v>
      </c>
      <c r="M81" s="2">
        <v>57</v>
      </c>
      <c r="N81" s="2">
        <f t="shared" ca="1" si="38"/>
        <v>0</v>
      </c>
      <c r="O81" s="2">
        <f t="shared" ca="1" si="60"/>
        <v>20</v>
      </c>
      <c r="P81" s="134">
        <f t="shared" ca="1" si="12"/>
        <v>0</v>
      </c>
      <c r="Q81" s="134">
        <f t="shared" ca="1" si="13"/>
        <v>0</v>
      </c>
      <c r="R81" s="134">
        <f t="shared" ca="1" si="51"/>
        <v>0</v>
      </c>
      <c r="S81" s="134" t="str">
        <f t="shared" ca="1" si="26"/>
        <v xml:space="preserve"> </v>
      </c>
      <c r="T81" s="134" t="str">
        <f t="shared" ca="1" si="15"/>
        <v xml:space="preserve"> </v>
      </c>
      <c r="U81" s="134">
        <f t="shared" ca="1" si="35"/>
        <v>0</v>
      </c>
      <c r="V81" s="134">
        <f t="shared" ca="1" si="36"/>
        <v>0</v>
      </c>
      <c r="W81" s="134">
        <f t="shared" ca="1" si="27"/>
        <v>0</v>
      </c>
      <c r="X81" s="134">
        <f t="shared" ca="1" si="28"/>
        <v>0</v>
      </c>
      <c r="Y81" s="134">
        <f t="shared" ca="1" si="16"/>
        <v>8.2422957348171622E-12</v>
      </c>
      <c r="Z81" s="134">
        <f t="shared" ca="1" si="37"/>
        <v>0</v>
      </c>
      <c r="AA81" s="134">
        <f t="shared" ca="1" si="17"/>
        <v>0</v>
      </c>
      <c r="AB81" s="134">
        <f t="shared" ca="1" si="61"/>
        <v>0</v>
      </c>
      <c r="AC81" s="134">
        <f t="shared" ca="1" si="18"/>
        <v>0</v>
      </c>
      <c r="AD81" s="134">
        <f t="shared" ca="1" si="19"/>
        <v>0</v>
      </c>
      <c r="AE81" s="134">
        <f t="shared" ca="1" si="30"/>
        <v>0</v>
      </c>
      <c r="AF81" s="134">
        <f t="shared" ca="1" si="20"/>
        <v>0</v>
      </c>
      <c r="AG81" s="134">
        <f t="shared" ca="1" si="29"/>
        <v>0</v>
      </c>
      <c r="AH81" s="134">
        <f t="shared" ca="1" si="21"/>
        <v>0</v>
      </c>
      <c r="AI81" s="134">
        <f t="shared" ca="1" si="44"/>
        <v>0</v>
      </c>
      <c r="AJ81" s="134">
        <f t="shared" ca="1" si="62"/>
        <v>0</v>
      </c>
      <c r="AK81" s="134">
        <f t="shared" ca="1" si="63"/>
        <v>0</v>
      </c>
      <c r="AL81" s="132">
        <f t="shared" ca="1" si="52"/>
        <v>0</v>
      </c>
      <c r="AM81" s="132">
        <f t="shared" ca="1" si="45"/>
        <v>0</v>
      </c>
      <c r="AN81" s="2">
        <f t="shared" ca="1" si="53"/>
        <v>0</v>
      </c>
      <c r="AO81" s="2">
        <f t="shared" ca="1" si="46"/>
        <v>0</v>
      </c>
      <c r="AP81" s="2">
        <f t="shared" ca="1" si="47"/>
        <v>0</v>
      </c>
      <c r="AQ81" s="2">
        <f t="shared" ca="1" si="48"/>
        <v>30</v>
      </c>
      <c r="AR81" s="2">
        <f t="shared" si="49"/>
        <v>20</v>
      </c>
      <c r="AS81" s="2">
        <f t="shared" ca="1" si="54"/>
        <v>30</v>
      </c>
      <c r="AT81" s="21"/>
      <c r="AU81" s="21"/>
      <c r="AV81" s="21"/>
      <c r="AW81" s="21"/>
      <c r="AX81" s="21"/>
      <c r="AY81" s="2">
        <f t="shared" ca="1" si="25"/>
        <v>0</v>
      </c>
      <c r="AZ81" s="21"/>
      <c r="BA81" s="21"/>
      <c r="BB81" s="21"/>
      <c r="BC81" s="21"/>
      <c r="BD81" s="21"/>
      <c r="BE81" s="21"/>
      <c r="BF81" s="21"/>
      <c r="BG81" s="21"/>
      <c r="BH81" s="21"/>
      <c r="BI81" s="52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9"/>
        <v xml:space="preserve"> </v>
      </c>
      <c r="C82" s="401"/>
      <c r="D82" s="435" t="str">
        <f ca="1">IF(N82=0,IF(N81=1,SUM(D$25:E81)," "),IF(N82=0," ",IF(N83=1,D$25,IF(N83=0,D$10-D$25*(M$14-1)," "))))</f>
        <v xml:space="preserve"> </v>
      </c>
      <c r="E82" s="435"/>
      <c r="F82" s="151" t="str">
        <f ca="1">IF(N82=0,IF(N81=1,SUM(F$25:F81)," "),IF(M$1=1,P82,IF(M$1=2,Q82," ")))</f>
        <v xml:space="preserve"> </v>
      </c>
      <c r="G82" s="151" t="str">
        <f ca="1">IF(N82=0,IF(N81=1,SUM(G$25:G81)," "),IF(M$1=1,AC82,IF(M$1=2,AD82," ")))</f>
        <v xml:space="preserve"> </v>
      </c>
      <c r="H82" s="151" t="str">
        <f t="shared" ca="1" si="50"/>
        <v xml:space="preserve"> </v>
      </c>
      <c r="I82" s="151">
        <f t="shared" ca="1" si="31"/>
        <v>0</v>
      </c>
      <c r="J82" s="151">
        <f t="shared" ca="1" si="32"/>
        <v>0</v>
      </c>
      <c r="K82" s="151">
        <f t="shared" ca="1" si="33"/>
        <v>0</v>
      </c>
      <c r="L82" s="151" t="str">
        <f t="shared" ca="1" si="34"/>
        <v xml:space="preserve"> </v>
      </c>
      <c r="M82" s="2">
        <v>58</v>
      </c>
      <c r="N82" s="2">
        <f t="shared" ca="1" si="38"/>
        <v>0</v>
      </c>
      <c r="O82" s="2">
        <f t="shared" ca="1" si="60"/>
        <v>20</v>
      </c>
      <c r="P82" s="134">
        <f t="shared" ca="1" si="12"/>
        <v>0</v>
      </c>
      <c r="Q82" s="134">
        <f t="shared" ca="1" si="13"/>
        <v>0</v>
      </c>
      <c r="R82" s="134">
        <f t="shared" ca="1" si="51"/>
        <v>0</v>
      </c>
      <c r="S82" s="134" t="str">
        <f t="shared" ca="1" si="26"/>
        <v xml:space="preserve"> </v>
      </c>
      <c r="T82" s="134" t="str">
        <f t="shared" ca="1" si="15"/>
        <v xml:space="preserve"> </v>
      </c>
      <c r="U82" s="134">
        <f t="shared" ca="1" si="35"/>
        <v>0</v>
      </c>
      <c r="V82" s="134">
        <f t="shared" ca="1" si="36"/>
        <v>0</v>
      </c>
      <c r="W82" s="134">
        <f t="shared" ca="1" si="27"/>
        <v>0</v>
      </c>
      <c r="X82" s="134">
        <f t="shared" ca="1" si="28"/>
        <v>0</v>
      </c>
      <c r="Y82" s="134">
        <f t="shared" ca="1" si="16"/>
        <v>8.2422957348171622E-12</v>
      </c>
      <c r="Z82" s="134">
        <f t="shared" ca="1" si="37"/>
        <v>0</v>
      </c>
      <c r="AA82" s="134">
        <f t="shared" ca="1" si="17"/>
        <v>0</v>
      </c>
      <c r="AB82" s="134">
        <f t="shared" ca="1" si="61"/>
        <v>0</v>
      </c>
      <c r="AC82" s="134">
        <f t="shared" ca="1" si="18"/>
        <v>0</v>
      </c>
      <c r="AD82" s="134">
        <f t="shared" ca="1" si="19"/>
        <v>0</v>
      </c>
      <c r="AE82" s="134">
        <f t="shared" ca="1" si="30"/>
        <v>0</v>
      </c>
      <c r="AF82" s="134">
        <f t="shared" ca="1" si="20"/>
        <v>0</v>
      </c>
      <c r="AG82" s="134">
        <f t="shared" ca="1" si="29"/>
        <v>0</v>
      </c>
      <c r="AH82" s="134">
        <f t="shared" ca="1" si="21"/>
        <v>0</v>
      </c>
      <c r="AI82" s="134">
        <f t="shared" ca="1" si="44"/>
        <v>0</v>
      </c>
      <c r="AJ82" s="134">
        <f t="shared" ca="1" si="62"/>
        <v>0</v>
      </c>
      <c r="AK82" s="134">
        <f t="shared" ca="1" si="63"/>
        <v>0</v>
      </c>
      <c r="AL82" s="132">
        <f t="shared" ca="1" si="52"/>
        <v>0</v>
      </c>
      <c r="AM82" s="132">
        <f t="shared" ca="1" si="45"/>
        <v>0</v>
      </c>
      <c r="AN82" s="2">
        <f t="shared" ca="1" si="53"/>
        <v>0</v>
      </c>
      <c r="AO82" s="2">
        <f t="shared" ca="1" si="46"/>
        <v>0</v>
      </c>
      <c r="AP82" s="2">
        <f t="shared" ca="1" si="47"/>
        <v>0</v>
      </c>
      <c r="AQ82" s="2">
        <f t="shared" ca="1" si="48"/>
        <v>30</v>
      </c>
      <c r="AR82" s="2">
        <f t="shared" si="49"/>
        <v>20</v>
      </c>
      <c r="AS82" s="2">
        <f t="shared" ca="1" si="54"/>
        <v>30</v>
      </c>
      <c r="AT82" s="21"/>
      <c r="AU82" s="21"/>
      <c r="AV82" s="21"/>
      <c r="AW82" s="21"/>
      <c r="AX82" s="21"/>
      <c r="AY82" s="2">
        <f t="shared" ca="1" si="25"/>
        <v>0</v>
      </c>
      <c r="AZ82" s="21"/>
      <c r="BA82" s="21"/>
      <c r="BB82" s="21"/>
      <c r="BC82" s="21"/>
      <c r="BD82" s="21"/>
      <c r="BE82" s="21"/>
      <c r="BF82" s="21"/>
      <c r="BG82" s="21"/>
      <c r="BH82" s="21"/>
      <c r="BI82" s="52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9"/>
        <v xml:space="preserve"> </v>
      </c>
      <c r="C83" s="401"/>
      <c r="D83" s="435" t="str">
        <f ca="1">IF(N83=0,IF(N82=1,SUM(D$25:E82)," "),IF(N83=0," ",IF(N84=1,D$25,IF(N84=0,D$10-D$25*(M$14-1)," "))))</f>
        <v xml:space="preserve"> </v>
      </c>
      <c r="E83" s="435"/>
      <c r="F83" s="151" t="str">
        <f ca="1">IF(N83=0,IF(N82=1,SUM(F$25:F82)," "),IF(M$1=1,P83,IF(M$1=2,Q83," ")))</f>
        <v xml:space="preserve"> </v>
      </c>
      <c r="G83" s="151" t="str">
        <f ca="1">IF(N83=0,IF(N82=1,SUM(G$25:G82)," "),IF(M$1=1,AC83,IF(M$1=2,AD83," ")))</f>
        <v xml:space="preserve"> </v>
      </c>
      <c r="H83" s="151" t="str">
        <f t="shared" ca="1" si="50"/>
        <v xml:space="preserve"> </v>
      </c>
      <c r="I83" s="151">
        <f t="shared" ca="1" si="31"/>
        <v>0</v>
      </c>
      <c r="J83" s="151">
        <f t="shared" ca="1" si="32"/>
        <v>0</v>
      </c>
      <c r="K83" s="151">
        <f t="shared" ca="1" si="33"/>
        <v>0</v>
      </c>
      <c r="L83" s="151" t="str">
        <f t="shared" ca="1" si="34"/>
        <v xml:space="preserve"> </v>
      </c>
      <c r="M83" s="2">
        <v>59</v>
      </c>
      <c r="N83" s="2">
        <f t="shared" ca="1" si="38"/>
        <v>0</v>
      </c>
      <c r="O83" s="2">
        <f t="shared" ca="1" si="60"/>
        <v>20</v>
      </c>
      <c r="P83" s="134">
        <f t="shared" ca="1" si="12"/>
        <v>0</v>
      </c>
      <c r="Q83" s="134">
        <f t="shared" ca="1" si="13"/>
        <v>0</v>
      </c>
      <c r="R83" s="134">
        <f t="shared" ca="1" si="51"/>
        <v>0</v>
      </c>
      <c r="S83" s="134" t="str">
        <f t="shared" ca="1" si="26"/>
        <v xml:space="preserve"> </v>
      </c>
      <c r="T83" s="134" t="str">
        <f t="shared" ca="1" si="15"/>
        <v xml:space="preserve"> </v>
      </c>
      <c r="U83" s="134">
        <f t="shared" ca="1" si="35"/>
        <v>0</v>
      </c>
      <c r="V83" s="134">
        <f t="shared" ca="1" si="36"/>
        <v>0</v>
      </c>
      <c r="W83" s="134">
        <f t="shared" ca="1" si="27"/>
        <v>0</v>
      </c>
      <c r="X83" s="134">
        <f t="shared" ca="1" si="28"/>
        <v>0</v>
      </c>
      <c r="Y83" s="134">
        <f t="shared" ca="1" si="16"/>
        <v>8.2422957348171622E-12</v>
      </c>
      <c r="Z83" s="134">
        <f t="shared" ca="1" si="37"/>
        <v>0</v>
      </c>
      <c r="AA83" s="134">
        <f t="shared" ca="1" si="17"/>
        <v>0</v>
      </c>
      <c r="AB83" s="134">
        <f t="shared" ca="1" si="61"/>
        <v>0</v>
      </c>
      <c r="AC83" s="134">
        <f t="shared" ca="1" si="18"/>
        <v>0</v>
      </c>
      <c r="AD83" s="134">
        <f t="shared" ca="1" si="19"/>
        <v>0</v>
      </c>
      <c r="AE83" s="134">
        <f t="shared" ca="1" si="30"/>
        <v>0</v>
      </c>
      <c r="AF83" s="134">
        <f t="shared" ca="1" si="20"/>
        <v>0</v>
      </c>
      <c r="AG83" s="134">
        <f t="shared" ca="1" si="29"/>
        <v>0</v>
      </c>
      <c r="AH83" s="134">
        <f t="shared" ca="1" si="21"/>
        <v>0</v>
      </c>
      <c r="AI83" s="134">
        <f t="shared" ca="1" si="44"/>
        <v>0</v>
      </c>
      <c r="AJ83" s="134">
        <f t="shared" ca="1" si="62"/>
        <v>0</v>
      </c>
      <c r="AK83" s="134">
        <f t="shared" ca="1" si="63"/>
        <v>0</v>
      </c>
      <c r="AL83" s="132">
        <f t="shared" ca="1" si="52"/>
        <v>0</v>
      </c>
      <c r="AM83" s="132">
        <f t="shared" ca="1" si="45"/>
        <v>0</v>
      </c>
      <c r="AN83" s="2">
        <f t="shared" ca="1" si="53"/>
        <v>0</v>
      </c>
      <c r="AO83" s="2">
        <f t="shared" ca="1" si="46"/>
        <v>0</v>
      </c>
      <c r="AP83" s="2">
        <f t="shared" ca="1" si="47"/>
        <v>0</v>
      </c>
      <c r="AQ83" s="2">
        <f t="shared" ca="1" si="48"/>
        <v>30</v>
      </c>
      <c r="AR83" s="2">
        <f t="shared" si="49"/>
        <v>20</v>
      </c>
      <c r="AS83" s="2">
        <f t="shared" ca="1" si="54"/>
        <v>30</v>
      </c>
      <c r="AT83" s="21"/>
      <c r="AU83" s="21"/>
      <c r="AV83" s="21"/>
      <c r="AW83" s="21"/>
      <c r="AX83" s="21"/>
      <c r="AY83" s="2">
        <f t="shared" ca="1" si="25"/>
        <v>0</v>
      </c>
      <c r="AZ83" s="21"/>
      <c r="BA83" s="21"/>
      <c r="BB83" s="21"/>
      <c r="BC83" s="21"/>
      <c r="BD83" s="21"/>
      <c r="BE83" s="21"/>
      <c r="BF83" s="21"/>
      <c r="BG83" s="21"/>
      <c r="BH83" s="21"/>
      <c r="BI83" s="52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9"/>
        <v xml:space="preserve"> </v>
      </c>
      <c r="C84" s="401"/>
      <c r="D84" s="435" t="str">
        <f ca="1">IF(N84=0,IF(N83=1,SUM(D$25:E83)," "),IF(N84=0," ",IF(N85=1,D$25,IF(N85=0,D$10-D$25*(M$14-1)," "))))</f>
        <v xml:space="preserve"> </v>
      </c>
      <c r="E84" s="435"/>
      <c r="F84" s="151" t="str">
        <f ca="1">IF(N84=0,IF(N83=1,SUM(F$25:F83)," "),IF(M$1=1,P84,IF(M$1=2,Q84," ")))</f>
        <v xml:space="preserve"> </v>
      </c>
      <c r="G84" s="151" t="str">
        <f ca="1">IF(N84=0,IF(N83=1,SUM(G$25:G83)," "),IF(M$1=1,AC84,IF(M$1=2,AD84," ")))</f>
        <v xml:space="preserve"> </v>
      </c>
      <c r="H84" s="151" t="str">
        <f t="shared" ca="1" si="50"/>
        <v xml:space="preserve"> </v>
      </c>
      <c r="I84" s="151">
        <f t="shared" ca="1" si="31"/>
        <v>0</v>
      </c>
      <c r="J84" s="151">
        <f t="shared" ca="1" si="32"/>
        <v>0</v>
      </c>
      <c r="K84" s="151">
        <f t="shared" ca="1" si="33"/>
        <v>0</v>
      </c>
      <c r="L84" s="151" t="str">
        <f t="shared" ca="1" si="34"/>
        <v xml:space="preserve"> </v>
      </c>
      <c r="M84" s="2">
        <v>60</v>
      </c>
      <c r="N84" s="2">
        <f t="shared" ca="1" si="38"/>
        <v>0</v>
      </c>
      <c r="O84" s="2">
        <f t="shared" ca="1" si="60"/>
        <v>20</v>
      </c>
      <c r="P84" s="134">
        <f t="shared" ca="1" si="12"/>
        <v>0</v>
      </c>
      <c r="Q84" s="134">
        <f t="shared" ca="1" si="13"/>
        <v>0</v>
      </c>
      <c r="R84" s="134">
        <f t="shared" ca="1" si="51"/>
        <v>0</v>
      </c>
      <c r="S84" s="134" t="str">
        <f t="shared" ca="1" si="26"/>
        <v xml:space="preserve"> </v>
      </c>
      <c r="T84" s="134" t="str">
        <f t="shared" ca="1" si="15"/>
        <v xml:space="preserve"> </v>
      </c>
      <c r="U84" s="134">
        <f ca="1">IF(N85=1,R83*D$11*20/36000+R84*D$11*10/36000,IF(N85=0,IF(N84=0,0,IF(DAY(D$16)&gt;20,R83*D$11*20/36000+R84*D$11*(Q$12-20)/36000,R84*D11*Q12/36000+R83*D11*20/36000+R84*D11*10/36000))))</f>
        <v>0</v>
      </c>
      <c r="V84" s="134">
        <f ca="1">IF(N85=1,R83*D$11*20/36000+R84*D$11*10/36000,IF(N85=0,IF(N84=0,0,IF(DAY(D$16)&gt;20,R83*D$11*20/36000+R84*D$11*(Q$12-20)/36000,R84*D11*Q12/36000+R83*D11*20/36000+R84*D11*10/36000))))</f>
        <v>0</v>
      </c>
      <c r="W84" s="134">
        <f t="shared" ca="1" si="27"/>
        <v>0</v>
      </c>
      <c r="X84" s="134">
        <f t="shared" ca="1" si="28"/>
        <v>0</v>
      </c>
      <c r="Y84" s="134">
        <f t="shared" ca="1" si="16"/>
        <v>8.2422957348171622E-12</v>
      </c>
      <c r="Z84" s="134">
        <f t="shared" ca="1" si="37"/>
        <v>0</v>
      </c>
      <c r="AA84" s="134">
        <f t="shared" ca="1" si="17"/>
        <v>0</v>
      </c>
      <c r="AB84" s="134">
        <f t="shared" ca="1" si="61"/>
        <v>0</v>
      </c>
      <c r="AC84" s="134">
        <f t="shared" ca="1" si="18"/>
        <v>0</v>
      </c>
      <c r="AD84" s="134">
        <f t="shared" ca="1" si="19"/>
        <v>0</v>
      </c>
      <c r="AE84" s="134">
        <f t="shared" ca="1" si="30"/>
        <v>0</v>
      </c>
      <c r="AF84" s="134">
        <f t="shared" ca="1" si="20"/>
        <v>0</v>
      </c>
      <c r="AG84" s="134">
        <f t="shared" ca="1" si="29"/>
        <v>0</v>
      </c>
      <c r="AH84" s="134">
        <f t="shared" ca="1" si="21"/>
        <v>0</v>
      </c>
      <c r="AI84" s="134">
        <f t="shared" ca="1" si="44"/>
        <v>0</v>
      </c>
      <c r="AJ84" s="134">
        <f t="shared" ca="1" si="62"/>
        <v>0</v>
      </c>
      <c r="AK84" s="134">
        <f t="shared" ca="1" si="63"/>
        <v>0</v>
      </c>
      <c r="AL84" s="132">
        <f t="shared" ca="1" si="52"/>
        <v>0</v>
      </c>
      <c r="AM84" s="132">
        <f t="shared" ca="1" si="45"/>
        <v>0</v>
      </c>
      <c r="AN84" s="2">
        <f t="shared" ca="1" si="53"/>
        <v>0</v>
      </c>
      <c r="AO84" s="2">
        <f t="shared" ca="1" si="46"/>
        <v>0</v>
      </c>
      <c r="AP84" s="2">
        <f t="shared" ca="1" si="47"/>
        <v>0</v>
      </c>
      <c r="AQ84" s="2">
        <f t="shared" ca="1" si="48"/>
        <v>30</v>
      </c>
      <c r="AR84" s="2">
        <f t="shared" si="49"/>
        <v>20</v>
      </c>
      <c r="AS84" s="2">
        <f t="shared" ca="1" si="54"/>
        <v>30</v>
      </c>
      <c r="AT84" s="21"/>
      <c r="AU84" s="21"/>
      <c r="AV84" s="21"/>
      <c r="AW84" s="21"/>
      <c r="AX84" s="21"/>
      <c r="AY84" s="2">
        <f t="shared" ca="1" si="25"/>
        <v>0</v>
      </c>
      <c r="AZ84" s="21"/>
      <c r="BA84" s="21"/>
      <c r="BB84" s="21"/>
      <c r="BC84" s="21"/>
      <c r="BD84" s="21"/>
      <c r="BE84" s="21"/>
      <c r="BF84" s="21"/>
      <c r="BG84" s="21"/>
      <c r="BH84" s="21"/>
      <c r="BI84" s="52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ca="1">IF(N85=0,IF(N84=1,"ИТОГО"," "),IF(M85=M$14,DATE(YEAR(B84),MONTH(B84),O85),DATE(YEAR(B84),MONTH(B84)+1,O85)))</f>
        <v xml:space="preserve"> </v>
      </c>
      <c r="C85" s="401"/>
      <c r="D85" s="435" t="str">
        <f ca="1">IF(N85=0,IF(N84=1,SUM(D$25:E84)," "),IF(N85=0," ",IF(N86=1,D$25,IF(N86=0,D$10-D$25*(M$14-1)," "))))</f>
        <v xml:space="preserve"> </v>
      </c>
      <c r="E85" s="435"/>
      <c r="F85" s="151" t="str">
        <f ca="1">IF(N85=0,IF(N84=1,SUM(F$25:F84)," "),IF(M$1=1,P85,IF(M$1=2,Q85," ")))</f>
        <v xml:space="preserve"> </v>
      </c>
      <c r="G85" s="151" t="str">
        <f ca="1">IF(N85=0,IF(N84=1,SUM(G$25:G84)," "),IF(M$1=1,AC85,IF(M$1=2,AD85," ")))</f>
        <v xml:space="preserve"> </v>
      </c>
      <c r="H85" s="151" t="str">
        <f t="shared" ca="1" si="50"/>
        <v xml:space="preserve"> </v>
      </c>
      <c r="I85" s="151">
        <f ca="1">IF(N85=1,IF(N86=1,IF(M85&lt;=D$15,T85,AV$26),D$10-AV$26*M$16+AV$26),0)</f>
        <v>0</v>
      </c>
      <c r="J85" s="151">
        <f ca="1">IF(M85&lt;=D$15,X85,IF(M$1=1,P85,IF(M$1=2,Q85," ")))</f>
        <v>0</v>
      </c>
      <c r="K85" s="151">
        <f ca="1">IF(M85&lt;=D$15,AF85,IF(M$1=1,AC85,IF(M$1=2,AD85," ")))</f>
        <v>0</v>
      </c>
      <c r="L85" s="151" t="str">
        <f ca="1">IF(SUM(I85:K85)=0," ",SUM(I85:K85))</f>
        <v xml:space="preserve"> </v>
      </c>
      <c r="M85" s="2">
        <v>61</v>
      </c>
      <c r="N85" s="2">
        <f t="shared" ca="1" si="38"/>
        <v>0</v>
      </c>
      <c r="O85" s="2">
        <f ca="1">IF(M85=A$14,IF(MONTH(B84)=-2,AS85,DATE(YEAR(0),MONTH(0),DAY(D$16)-1)),AR85)</f>
        <v>20</v>
      </c>
      <c r="P85" s="134">
        <f t="shared" ca="1" si="12"/>
        <v>0</v>
      </c>
      <c r="Q85" s="134">
        <f t="shared" ca="1" si="13"/>
        <v>0</v>
      </c>
      <c r="R85" s="134">
        <f t="shared" ca="1" si="51"/>
        <v>0</v>
      </c>
      <c r="S85" s="134" t="str">
        <f t="shared" ca="1" si="26"/>
        <v xml:space="preserve"> </v>
      </c>
      <c r="T85" s="134" t="str">
        <f t="shared" ca="1" si="15"/>
        <v xml:space="preserve"> </v>
      </c>
      <c r="U85" s="134">
        <f t="shared" ca="1" si="35"/>
        <v>0</v>
      </c>
      <c r="V85" s="134">
        <f t="shared" ca="1" si="36"/>
        <v>0</v>
      </c>
      <c r="W85" s="134">
        <f ca="1">IF(N86=1,D10*D$11*20/36000+D10*D$11*10/36000,IF(N86=0,IF(N85=0,0,D10*D$11*Q$12/36000)))</f>
        <v>0</v>
      </c>
      <c r="X85" s="134">
        <f t="shared" ca="1" si="28"/>
        <v>0</v>
      </c>
      <c r="Y85" s="134">
        <f t="shared" ca="1" si="16"/>
        <v>8.2422957348171622E-12</v>
      </c>
      <c r="Z85" s="134">
        <f t="shared" ca="1" si="37"/>
        <v>0</v>
      </c>
      <c r="AA85" s="134">
        <f t="shared" ca="1" si="17"/>
        <v>0</v>
      </c>
      <c r="AB85" s="134">
        <f ca="1">R85*Q$12</f>
        <v>0</v>
      </c>
      <c r="AC85" s="134">
        <f t="shared" ca="1" si="18"/>
        <v>0</v>
      </c>
      <c r="AD85" s="134">
        <f t="shared" ca="1" si="19"/>
        <v>0</v>
      </c>
      <c r="AE85" s="134">
        <f ca="1">IF(N86=1,D10*G$12*20/36000+D10*G$12*10/36000,IF(N86=0,IF(N85=0,0,D10*G$12*Q$12/36000)))</f>
        <v>0</v>
      </c>
      <c r="AF85" s="134">
        <f t="shared" ca="1" si="20"/>
        <v>0</v>
      </c>
      <c r="AG85" s="134">
        <f ca="1">IF(N86=1,Y84*G$12*20/36000+Y85*G$12*10/36000,IF(N86=0,IF(N85=0,0,Y85*G$12*Q$12/36000)))</f>
        <v>0</v>
      </c>
      <c r="AH85" s="134">
        <f t="shared" ca="1" si="21"/>
        <v>0</v>
      </c>
      <c r="AI85" s="134">
        <f t="shared" ca="1" si="44"/>
        <v>0</v>
      </c>
      <c r="AJ85" s="134">
        <f ca="1">IF(N86=1,AI84*G$12*20/36000+AI85*G$12*10/36000,IF(N86=0,IF(N85=0,0,AI85*G$12*Q$12/36000)))</f>
        <v>0</v>
      </c>
      <c r="AK85" s="134">
        <f ca="1">IF(N86=1,AI84*G$12*20/36000+AI85*G$12*10/36000,IF(N86=0,IF(N85=0,0,AI85*G$12*Q$12/36000)))</f>
        <v>0</v>
      </c>
      <c r="AL85" s="132">
        <f t="shared" ca="1" si="52"/>
        <v>0</v>
      </c>
      <c r="AM85" s="132">
        <f t="shared" ca="1" si="45"/>
        <v>0</v>
      </c>
      <c r="AN85" s="2">
        <f t="shared" ca="1" si="53"/>
        <v>0</v>
      </c>
      <c r="AO85" s="2">
        <f t="shared" ca="1" si="46"/>
        <v>0</v>
      </c>
      <c r="AP85" s="2">
        <f t="shared" ca="1" si="47"/>
        <v>0</v>
      </c>
      <c r="AQ85" s="2">
        <f t="shared" ca="1" si="48"/>
        <v>30</v>
      </c>
      <c r="AR85" s="2">
        <f t="shared" si="49"/>
        <v>20</v>
      </c>
      <c r="AS85" s="2">
        <f t="shared" ca="1" si="54"/>
        <v>30</v>
      </c>
      <c r="AT85" s="21"/>
      <c r="AU85" s="21"/>
      <c r="AV85" s="21"/>
      <c r="AW85" s="21"/>
      <c r="AX85" s="21"/>
      <c r="AY85" s="2">
        <f t="shared" ca="1" si="25"/>
        <v>0</v>
      </c>
      <c r="AZ85" s="21"/>
      <c r="BA85" s="21"/>
      <c r="BB85" s="21"/>
      <c r="BC85" s="21"/>
      <c r="BD85" s="21"/>
      <c r="BE85" s="21"/>
      <c r="BF85" s="21"/>
      <c r="BG85" s="21"/>
      <c r="BH85" s="21"/>
      <c r="BI85" s="52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0" t="str">
        <f ca="1">IF(N86=0,IF(N85=1,D22," ")," ")</f>
        <v xml:space="preserve"> </v>
      </c>
      <c r="E86" s="440"/>
      <c r="F86" s="68" t="str">
        <f ca="1">IF(N86=0,IF(N85=1,SUM(F25:F85)," ")," ")</f>
        <v xml:space="preserve"> </v>
      </c>
      <c r="G86" s="68" t="str">
        <f ca="1">IF(N86=0,IF(N85=1,SUM(G25:G85)," ")," ")</f>
        <v xml:space="preserve"> </v>
      </c>
      <c r="H86" s="68" t="str">
        <f t="shared" ca="1" si="50"/>
        <v xml:space="preserve"> </v>
      </c>
      <c r="I86" s="68"/>
      <c r="J86" s="68"/>
      <c r="K86" s="68"/>
      <c r="L86" s="68"/>
      <c r="M86" s="135">
        <f>IF(A95=0,0,62000)</f>
        <v>0</v>
      </c>
      <c r="N86" s="135"/>
      <c r="O86" s="135"/>
      <c r="P86" s="136">
        <f t="shared" ref="P86:AK86" ca="1" si="64">SUM(P25:P85)</f>
        <v>4008.5933466666638</v>
      </c>
      <c r="Q86" s="136">
        <f t="shared" ca="1" si="64"/>
        <v>4008.5933466666638</v>
      </c>
      <c r="R86" s="136">
        <f t="shared" ca="1" si="64"/>
        <v>195996.23999999996</v>
      </c>
      <c r="S86" s="136"/>
      <c r="T86" s="136"/>
      <c r="U86" s="136">
        <f t="shared" ca="1" si="64"/>
        <v>4008.5933466666638</v>
      </c>
      <c r="V86" s="136">
        <f t="shared" ca="1" si="64"/>
        <v>4008.5933466666638</v>
      </c>
      <c r="W86" s="136">
        <f t="shared" ca="1" si="64"/>
        <v>7674.666666666667</v>
      </c>
      <c r="X86" s="136">
        <f t="shared" ca="1" si="64"/>
        <v>7670</v>
      </c>
      <c r="Y86" s="136"/>
      <c r="Z86" s="136"/>
      <c r="AA86" s="136"/>
      <c r="AB86" s="136">
        <f t="shared" ca="1" si="64"/>
        <v>6004561.3199999994</v>
      </c>
      <c r="AC86" s="136">
        <f t="shared" ca="1" si="64"/>
        <v>0</v>
      </c>
      <c r="AD86" s="136">
        <f t="shared" ca="1" si="64"/>
        <v>0</v>
      </c>
      <c r="AE86" s="136">
        <f t="shared" ca="1" si="64"/>
        <v>0</v>
      </c>
      <c r="AF86" s="136">
        <f t="shared" ca="1" si="64"/>
        <v>0</v>
      </c>
      <c r="AG86" s="136"/>
      <c r="AH86" s="136"/>
      <c r="AI86" s="136">
        <f t="shared" ca="1" si="64"/>
        <v>195996.23999999996</v>
      </c>
      <c r="AJ86" s="136">
        <f t="shared" ca="1" si="64"/>
        <v>0</v>
      </c>
      <c r="AK86" s="136">
        <f t="shared" ca="1" si="64"/>
        <v>0</v>
      </c>
      <c r="AL86" s="136"/>
      <c r="AM86" s="135"/>
      <c r="AN86" s="135"/>
      <c r="AO86" s="135"/>
      <c r="AP86" s="135"/>
      <c r="AQ86" s="135"/>
      <c r="AR86" s="135"/>
      <c r="AS86" s="135"/>
      <c r="AT86" s="43"/>
      <c r="AU86" s="43"/>
      <c r="AV86" s="43"/>
      <c r="AW86" s="43"/>
      <c r="AX86" s="43"/>
      <c r="AY86" s="135"/>
      <c r="AZ86" s="43"/>
      <c r="BA86" s="43"/>
      <c r="BB86" s="43"/>
      <c r="BC86" s="43"/>
      <c r="BD86" s="43"/>
      <c r="BE86" s="43"/>
      <c r="BF86" s="43"/>
      <c r="BG86" s="43"/>
      <c r="BH86" s="43"/>
      <c r="BI86" s="60"/>
    </row>
    <row r="87" spans="1:141" ht="76.5" hidden="1" customHeight="1">
      <c r="A87" s="28"/>
      <c r="B87" s="301" t="str">
        <f>IF(M1=2,IF(F10="USD",O87,IF(F10="бел. рублей",N87)),IF(H8=1,N94,"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9"/>
      <c r="N87" s="29" t="s">
        <v>129</v>
      </c>
      <c r="O87" s="29" t="s">
        <v>129</v>
      </c>
      <c r="P87" s="29"/>
      <c r="Q87" s="2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ht="38.25" customHeight="1">
      <c r="A92" s="4"/>
      <c r="B92" s="385" t="s">
        <v>154</v>
      </c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</row>
    <row r="93" spans="1:141" ht="32.25" customHeight="1">
      <c r="A93" s="4"/>
      <c r="B93" s="385" t="s">
        <v>202</v>
      </c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N93" s="29"/>
      <c r="O93" s="29"/>
    </row>
    <row r="94" spans="1:141" ht="41.25" customHeight="1">
      <c r="A94" s="31"/>
      <c r="B94" s="385" t="s">
        <v>213</v>
      </c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N94" s="29" t="s">
        <v>118</v>
      </c>
    </row>
    <row r="95" spans="1:141" ht="81" customHeight="1">
      <c r="A95" s="31"/>
      <c r="B95" s="385" t="s">
        <v>212</v>
      </c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N95" s="300" t="s">
        <v>80</v>
      </c>
      <c r="O95" s="300"/>
      <c r="P95" s="300" t="s">
        <v>38</v>
      </c>
      <c r="Q95" s="300"/>
      <c r="V95" s="2" t="s">
        <v>20</v>
      </c>
    </row>
    <row r="96" spans="1:141" s="36" customFormat="1" ht="25.5" customHeight="1">
      <c r="A96" s="32">
        <f t="shared" ref="A96:A120" si="65">IF(LEFT(B96,1)="I",1,0)</f>
        <v>0</v>
      </c>
      <c r="B96" s="394" t="s">
        <v>187</v>
      </c>
      <c r="C96" s="394"/>
      <c r="D96" s="394"/>
      <c r="E96" s="394"/>
      <c r="F96" s="394"/>
      <c r="G96" s="394"/>
      <c r="H96" s="394"/>
      <c r="I96" s="394"/>
      <c r="J96" s="394"/>
      <c r="K96" s="394"/>
      <c r="L96" s="394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Y96" s="137"/>
      <c r="BI96" s="50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</row>
    <row r="97" spans="1:141" s="36" customFormat="1" ht="25.5" hidden="1" customHeight="1">
      <c r="A97" s="32">
        <f t="shared" si="65"/>
        <v>0</v>
      </c>
      <c r="B97" s="385" t="s">
        <v>156</v>
      </c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137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Y97" s="137"/>
      <c r="BI97" s="34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</row>
    <row r="98" spans="1:141" s="36" customFormat="1" ht="39.75" customHeight="1">
      <c r="A98" s="32">
        <f t="shared" si="65"/>
        <v>0</v>
      </c>
      <c r="B98" s="434" t="s">
        <v>156</v>
      </c>
      <c r="C98" s="434"/>
      <c r="D98" s="434"/>
      <c r="E98" s="434"/>
      <c r="F98" s="434"/>
      <c r="G98" s="434"/>
      <c r="H98" s="434"/>
      <c r="I98" s="434"/>
      <c r="J98" s="434"/>
      <c r="K98" s="434"/>
      <c r="L98" s="434"/>
      <c r="M98" s="137"/>
      <c r="N98" s="139" t="s">
        <v>147</v>
      </c>
      <c r="O98" s="139" t="s">
        <v>147</v>
      </c>
      <c r="P98" s="139" t="s">
        <v>147</v>
      </c>
      <c r="Q98" s="139" t="s">
        <v>147</v>
      </c>
      <c r="R98" s="139" t="s">
        <v>150</v>
      </c>
      <c r="S98" s="139"/>
      <c r="T98" s="139"/>
      <c r="U98" s="139" t="s">
        <v>45</v>
      </c>
      <c r="V98" s="139" t="s">
        <v>45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Y98" s="137"/>
      <c r="BI98" s="34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</row>
    <row r="99" spans="1:141" s="36" customFormat="1" ht="48.75" customHeight="1">
      <c r="A99" s="32">
        <f>IF(LEFT(B99,1)="I",1,0)</f>
        <v>0</v>
      </c>
      <c r="B99" s="434" t="str">
        <f>IF(H$8=1,R99,IF(N$8=1,U99,IF(M$8=1,IF(F$10="бел. рублей",IF(D$17="Неустойка",O99,Q99),IF(D$17="Неустойка",N99,P99)))))</f>
        <v xml:space="preserve">-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99" s="434"/>
      <c r="D99" s="434"/>
      <c r="E99" s="434"/>
      <c r="F99" s="434"/>
      <c r="G99" s="434"/>
      <c r="H99" s="434"/>
      <c r="I99" s="434"/>
      <c r="J99" s="434"/>
      <c r="K99" s="434"/>
      <c r="L99" s="434"/>
      <c r="M99" s="137"/>
      <c r="N99" s="148" t="s">
        <v>157</v>
      </c>
      <c r="O99" s="148" t="s">
        <v>157</v>
      </c>
      <c r="P99" s="148" t="s">
        <v>185</v>
      </c>
      <c r="Q99" s="148" t="s">
        <v>185</v>
      </c>
      <c r="R99" s="138" t="s">
        <v>36</v>
      </c>
      <c r="S99" s="138"/>
      <c r="T99" s="138"/>
      <c r="U99" s="138" t="s">
        <v>36</v>
      </c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Y99" s="137"/>
      <c r="BI99" s="34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</row>
    <row r="100" spans="1:141" s="36" customFormat="1" ht="35.25" customHeight="1">
      <c r="A100" s="32">
        <f>IF(LEFT(B100,1)="I",1,0)</f>
        <v>0</v>
      </c>
      <c r="B100" s="434" t="str">
        <f>IF(H$8=1,R100,IF(N$8=1,U100,IF(M$8=1,IF(F$10="бел. рублей",IF(D$17="Неустойка",O100,Q100),IF(D$17="Неустойка",N100,P100)))))</f>
        <v xml:space="preserve">- В случае неисполнения обязательств по уплате процентов по кредиту, Кредитополучатель уплачивает Банку пеню в размере 0,2% от суммы просроченной задолженности по процентам за  каждый день просрочки. </v>
      </c>
      <c r="C100" s="434"/>
      <c r="D100" s="434"/>
      <c r="E100" s="434"/>
      <c r="F100" s="434"/>
      <c r="G100" s="434"/>
      <c r="H100" s="434"/>
      <c r="I100" s="434"/>
      <c r="J100" s="434"/>
      <c r="K100" s="434"/>
      <c r="L100" s="434"/>
      <c r="M100" s="137"/>
      <c r="N100" s="148" t="s">
        <v>185</v>
      </c>
      <c r="O100" s="148" t="s">
        <v>185</v>
      </c>
      <c r="P100" s="148" t="s">
        <v>159</v>
      </c>
      <c r="Q100" s="148" t="s">
        <v>159</v>
      </c>
      <c r="R100" s="138" t="s">
        <v>36</v>
      </c>
      <c r="S100" s="138"/>
      <c r="T100" s="138"/>
      <c r="U100" s="138" t="s">
        <v>36</v>
      </c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Y100" s="137"/>
      <c r="BI100" s="34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</row>
    <row r="101" spans="1:141" s="36" customFormat="1" ht="35.25" customHeight="1">
      <c r="A101" s="32"/>
      <c r="B101" s="394" t="s">
        <v>188</v>
      </c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137"/>
      <c r="N101" s="148"/>
      <c r="O101" s="148"/>
      <c r="P101" s="148"/>
      <c r="Q101" s="148"/>
      <c r="R101" s="138"/>
      <c r="S101" s="138"/>
      <c r="T101" s="138"/>
      <c r="U101" s="138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Y101" s="137"/>
      <c r="BI101" s="34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</row>
    <row r="102" spans="1:141" s="36" customFormat="1" ht="48" customHeight="1">
      <c r="A102" s="32">
        <f>IF(LEFT(B102,1)="I",1,0)</f>
        <v>0</v>
      </c>
      <c r="B102" s="434" t="s">
        <v>194</v>
      </c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137"/>
      <c r="N102" s="148" t="s">
        <v>159</v>
      </c>
      <c r="O102" s="148" t="s">
        <v>159</v>
      </c>
      <c r="P102" s="149" t="s">
        <v>36</v>
      </c>
      <c r="Q102" s="149" t="s">
        <v>36</v>
      </c>
      <c r="R102" s="138" t="s">
        <v>36</v>
      </c>
      <c r="S102" s="138"/>
      <c r="T102" s="138"/>
      <c r="U102" s="138" t="s">
        <v>36</v>
      </c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Y102" s="137"/>
      <c r="BI102" s="34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</row>
    <row r="103" spans="1:141" s="36" customFormat="1" ht="36" customHeight="1">
      <c r="A103" s="32"/>
      <c r="B103" s="394" t="s">
        <v>160</v>
      </c>
      <c r="C103" s="394"/>
      <c r="D103" s="394"/>
      <c r="E103" s="394"/>
      <c r="F103" s="394"/>
      <c r="G103" s="394"/>
      <c r="H103" s="394"/>
      <c r="I103" s="394"/>
      <c r="J103" s="394"/>
      <c r="K103" s="394"/>
      <c r="L103" s="394"/>
      <c r="M103" s="137"/>
      <c r="N103" s="148"/>
      <c r="O103" s="148"/>
      <c r="P103" s="149"/>
      <c r="Q103" s="149"/>
      <c r="R103" s="138"/>
      <c r="S103" s="138"/>
      <c r="T103" s="138"/>
      <c r="U103" s="138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Y103" s="137"/>
      <c r="BI103" s="34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</row>
    <row r="104" spans="1:141" s="36" customFormat="1" ht="30.75" customHeight="1">
      <c r="A104" s="32">
        <f t="shared" si="65"/>
        <v>0</v>
      </c>
      <c r="B104" s="393" t="s">
        <v>191</v>
      </c>
      <c r="C104" s="393"/>
      <c r="D104" s="393"/>
      <c r="E104" s="393"/>
      <c r="F104" s="393"/>
      <c r="G104" s="393"/>
      <c r="H104" s="393"/>
      <c r="I104" s="393"/>
      <c r="J104" s="393"/>
      <c r="K104" s="393"/>
      <c r="L104" s="393"/>
      <c r="M104" s="137"/>
      <c r="N104" s="139" t="s">
        <v>138</v>
      </c>
      <c r="O104" s="139" t="s">
        <v>138</v>
      </c>
      <c r="P104" s="139" t="s">
        <v>138</v>
      </c>
      <c r="Q104" s="139" t="s">
        <v>138</v>
      </c>
      <c r="R104" s="139" t="s">
        <v>58</v>
      </c>
      <c r="S104" s="139"/>
      <c r="T104" s="139"/>
      <c r="U104" s="139" t="s">
        <v>59</v>
      </c>
      <c r="V104" s="139" t="s">
        <v>59</v>
      </c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Y104" s="137"/>
      <c r="BI104" s="34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</row>
    <row r="105" spans="1:141" s="36" customFormat="1" ht="25.5" customHeight="1">
      <c r="A105" s="32">
        <f t="shared" si="65"/>
        <v>0</v>
      </c>
      <c r="B105" s="393" t="s">
        <v>161</v>
      </c>
      <c r="C105" s="393"/>
      <c r="D105" s="393"/>
      <c r="E105" s="393"/>
      <c r="F105" s="393"/>
      <c r="G105" s="393"/>
      <c r="H105" s="393"/>
      <c r="I105" s="393"/>
      <c r="J105" s="393"/>
      <c r="K105" s="393"/>
      <c r="L105" s="393"/>
      <c r="M105" s="137"/>
      <c r="N105" s="139" t="s">
        <v>148</v>
      </c>
      <c r="O105" s="139" t="s">
        <v>148</v>
      </c>
      <c r="P105" s="139" t="s">
        <v>148</v>
      </c>
      <c r="Q105" s="139" t="s">
        <v>148</v>
      </c>
      <c r="R105" s="139" t="s">
        <v>109</v>
      </c>
      <c r="S105" s="139"/>
      <c r="T105" s="139"/>
      <c r="U105" s="138" t="s">
        <v>61</v>
      </c>
      <c r="V105" s="138" t="s">
        <v>62</v>
      </c>
      <c r="W105" s="138"/>
      <c r="X105" s="138"/>
      <c r="Y105" s="138"/>
      <c r="Z105" s="138"/>
      <c r="AA105" s="138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Y105" s="137"/>
      <c r="BI105" s="34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</row>
    <row r="106" spans="1:141" s="36" customFormat="1" ht="18.75" customHeight="1">
      <c r="A106" s="32"/>
      <c r="B106" s="386"/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137"/>
      <c r="N106" s="137" t="s">
        <v>132</v>
      </c>
      <c r="O106" s="137" t="s">
        <v>132</v>
      </c>
      <c r="P106" s="137" t="s">
        <v>132</v>
      </c>
      <c r="Q106" s="137" t="s">
        <v>132</v>
      </c>
      <c r="R106" s="137" t="s">
        <v>132</v>
      </c>
      <c r="S106" s="141"/>
      <c r="T106" s="141"/>
      <c r="U106" s="139"/>
      <c r="V106" s="138" t="s">
        <v>61</v>
      </c>
      <c r="W106" s="138"/>
      <c r="X106" s="138"/>
      <c r="Y106" s="138"/>
      <c r="Z106" s="138"/>
      <c r="AA106" s="138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Y106" s="137"/>
      <c r="BI106" s="34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</row>
    <row r="107" spans="1:141" s="36" customFormat="1" ht="25.5" customHeight="1">
      <c r="A107" s="32">
        <f t="shared" si="65"/>
        <v>0</v>
      </c>
      <c r="B107" s="436" t="s">
        <v>162</v>
      </c>
      <c r="C107" s="437"/>
      <c r="D107" s="437"/>
      <c r="E107" s="437"/>
      <c r="F107" s="437"/>
      <c r="G107" s="437"/>
      <c r="H107" s="438"/>
      <c r="I107" s="390" t="s">
        <v>175</v>
      </c>
      <c r="J107" s="391"/>
      <c r="K107" s="391"/>
      <c r="L107" s="392"/>
      <c r="M107" s="137"/>
      <c r="N107" s="137" t="s">
        <v>133</v>
      </c>
      <c r="O107" s="137" t="s">
        <v>133</v>
      </c>
      <c r="P107" s="137" t="s">
        <v>133</v>
      </c>
      <c r="Q107" s="137" t="s">
        <v>133</v>
      </c>
      <c r="R107" s="150" t="s">
        <v>124</v>
      </c>
      <c r="S107" s="139"/>
      <c r="T107" s="139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Y107" s="137"/>
      <c r="BI107" s="50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</row>
    <row r="108" spans="1:141" s="36" customFormat="1" ht="36.75" customHeight="1">
      <c r="A108" s="32">
        <f t="shared" si="65"/>
        <v>0</v>
      </c>
      <c r="B108" s="387" t="s">
        <v>164</v>
      </c>
      <c r="C108" s="388"/>
      <c r="D108" s="388"/>
      <c r="E108" s="388"/>
      <c r="F108" s="388"/>
      <c r="G108" s="388"/>
      <c r="H108" s="389"/>
      <c r="I108" s="390" t="s">
        <v>216</v>
      </c>
      <c r="J108" s="391"/>
      <c r="K108" s="391"/>
      <c r="L108" s="392"/>
      <c r="M108" s="137"/>
      <c r="N108" s="137" t="s">
        <v>134</v>
      </c>
      <c r="O108" s="137" t="s">
        <v>134</v>
      </c>
      <c r="P108" s="137" t="s">
        <v>134</v>
      </c>
      <c r="Q108" s="145" t="s">
        <v>122</v>
      </c>
      <c r="R108" s="139" t="s">
        <v>111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Y108" s="137"/>
      <c r="BI108" s="34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</row>
    <row r="109" spans="1:141" s="36" customFormat="1" ht="51" customHeight="1">
      <c r="A109" s="32">
        <f t="shared" si="65"/>
        <v>0</v>
      </c>
      <c r="B109" s="387" t="s">
        <v>166</v>
      </c>
      <c r="C109" s="388"/>
      <c r="D109" s="388"/>
      <c r="E109" s="388"/>
      <c r="F109" s="388"/>
      <c r="G109" s="388"/>
      <c r="H109" s="389"/>
      <c r="I109" s="390" t="s">
        <v>217</v>
      </c>
      <c r="J109" s="391"/>
      <c r="K109" s="391"/>
      <c r="L109" s="392"/>
      <c r="M109" s="137"/>
      <c r="N109" s="139" t="s">
        <v>53</v>
      </c>
      <c r="O109" s="139" t="s">
        <v>53</v>
      </c>
      <c r="P109" s="139" t="s">
        <v>53</v>
      </c>
      <c r="Q109" s="139" t="s">
        <v>53</v>
      </c>
      <c r="R109" s="138" t="s">
        <v>48</v>
      </c>
      <c r="S109" s="138"/>
      <c r="T109" s="138"/>
      <c r="U109" s="139" t="s">
        <v>36</v>
      </c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Y109" s="137"/>
      <c r="BI109" s="34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</row>
    <row r="110" spans="1:141" s="36" customFormat="1" ht="49.5" customHeight="1">
      <c r="A110" s="32">
        <f t="shared" si="65"/>
        <v>0</v>
      </c>
      <c r="B110" s="387" t="s">
        <v>167</v>
      </c>
      <c r="C110" s="388"/>
      <c r="D110" s="388"/>
      <c r="E110" s="388"/>
      <c r="F110" s="388"/>
      <c r="G110" s="388"/>
      <c r="H110" s="389"/>
      <c r="I110" s="390" t="s">
        <v>217</v>
      </c>
      <c r="J110" s="391"/>
      <c r="K110" s="391"/>
      <c r="L110" s="392"/>
      <c r="M110" s="137"/>
      <c r="N110" s="139" t="s">
        <v>58</v>
      </c>
      <c r="O110" s="139" t="s">
        <v>58</v>
      </c>
      <c r="P110" s="139" t="s">
        <v>58</v>
      </c>
      <c r="Q110" s="139" t="s">
        <v>58</v>
      </c>
      <c r="R110" s="139" t="s">
        <v>99</v>
      </c>
      <c r="S110" s="139"/>
      <c r="T110" s="139"/>
      <c r="U110" s="139" t="s">
        <v>36</v>
      </c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Y110" s="137"/>
      <c r="BI110" s="50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</row>
    <row r="111" spans="1:141" s="36" customFormat="1" ht="15" customHeight="1">
      <c r="A111" s="32">
        <f t="shared" si="65"/>
        <v>0</v>
      </c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137"/>
      <c r="N111" s="139" t="s">
        <v>65</v>
      </c>
      <c r="O111" s="145" t="s">
        <v>125</v>
      </c>
      <c r="P111" s="139" t="s">
        <v>65</v>
      </c>
      <c r="Q111" s="145" t="s">
        <v>125</v>
      </c>
      <c r="R111" s="139" t="s">
        <v>66</v>
      </c>
      <c r="S111" s="139"/>
      <c r="T111" s="139"/>
      <c r="U111" s="137" t="s">
        <v>36</v>
      </c>
      <c r="V111" s="138" t="s">
        <v>48</v>
      </c>
      <c r="W111" s="138"/>
      <c r="X111" s="138"/>
      <c r="Y111" s="138"/>
      <c r="Z111" s="138"/>
      <c r="AA111" s="138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Y111" s="137"/>
      <c r="BI111" s="50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</row>
    <row r="112" spans="1:141" s="36" customFormat="1" ht="19.5" customHeight="1">
      <c r="A112" s="32">
        <f t="shared" si="65"/>
        <v>0</v>
      </c>
      <c r="B112" s="393" t="s">
        <v>169</v>
      </c>
      <c r="C112" s="393"/>
      <c r="D112" s="393"/>
      <c r="E112" s="393"/>
      <c r="F112" s="393"/>
      <c r="G112" s="393"/>
      <c r="H112" s="393"/>
      <c r="I112" s="393"/>
      <c r="J112" s="393"/>
      <c r="K112" s="393"/>
      <c r="L112" s="393"/>
      <c r="M112" s="137"/>
      <c r="N112" s="139" t="s">
        <v>67</v>
      </c>
      <c r="O112" s="139" t="s">
        <v>126</v>
      </c>
      <c r="P112" s="139" t="s">
        <v>67</v>
      </c>
      <c r="Q112" s="139" t="s">
        <v>126</v>
      </c>
      <c r="R112" s="139" t="s">
        <v>59</v>
      </c>
      <c r="S112" s="139"/>
      <c r="T112" s="139"/>
      <c r="U112" s="137" t="s">
        <v>36</v>
      </c>
      <c r="V112" s="139" t="s">
        <v>98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Y112" s="137"/>
      <c r="BI112" s="50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</row>
    <row r="113" spans="1:141" s="36" customFormat="1" ht="16.5" customHeight="1">
      <c r="A113" s="32">
        <f t="shared" si="65"/>
        <v>0</v>
      </c>
      <c r="B113" s="384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137"/>
      <c r="N113" s="139" t="s">
        <v>68</v>
      </c>
      <c r="O113" s="139" t="s">
        <v>127</v>
      </c>
      <c r="P113" s="139" t="s">
        <v>68</v>
      </c>
      <c r="Q113" s="139" t="s">
        <v>127</v>
      </c>
      <c r="R113" s="138" t="s">
        <v>61</v>
      </c>
      <c r="S113" s="138"/>
      <c r="T113" s="138"/>
      <c r="U113" s="137" t="s">
        <v>36</v>
      </c>
      <c r="V113" s="139" t="s">
        <v>54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Y113" s="137"/>
      <c r="BI113" s="34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</row>
    <row r="114" spans="1:141" s="36" customFormat="1" ht="25.5" customHeight="1">
      <c r="A114" s="32">
        <f t="shared" si="65"/>
        <v>0</v>
      </c>
      <c r="B114" s="390" t="s">
        <v>170</v>
      </c>
      <c r="C114" s="391"/>
      <c r="D114" s="391"/>
      <c r="E114" s="391"/>
      <c r="F114" s="391"/>
      <c r="G114" s="391"/>
      <c r="H114" s="392"/>
      <c r="I114" s="390" t="s">
        <v>174</v>
      </c>
      <c r="J114" s="391"/>
      <c r="K114" s="391"/>
      <c r="L114" s="392"/>
      <c r="M114" s="137"/>
      <c r="N114" s="139" t="s">
        <v>70</v>
      </c>
      <c r="O114" s="139" t="s">
        <v>71</v>
      </c>
      <c r="P114" s="139" t="s">
        <v>70</v>
      </c>
      <c r="Q114" s="139" t="s">
        <v>71</v>
      </c>
      <c r="R114" s="137" t="s">
        <v>36</v>
      </c>
      <c r="S114" s="137"/>
      <c r="T114" s="137"/>
      <c r="U114" s="137" t="s">
        <v>36</v>
      </c>
      <c r="V114" s="139" t="s">
        <v>73</v>
      </c>
      <c r="W114" s="139"/>
      <c r="X114" s="139"/>
      <c r="Y114" s="139"/>
      <c r="Z114" s="139"/>
      <c r="AA114" s="139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Y114" s="137"/>
      <c r="BI114" s="34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</row>
    <row r="115" spans="1:141" s="36" customFormat="1" ht="36.75" customHeight="1">
      <c r="A115" s="32"/>
      <c r="B115" s="390" t="s">
        <v>173</v>
      </c>
      <c r="C115" s="391"/>
      <c r="D115" s="391"/>
      <c r="E115" s="391"/>
      <c r="F115" s="391"/>
      <c r="G115" s="391"/>
      <c r="H115" s="392"/>
      <c r="I115" s="390" t="s">
        <v>208</v>
      </c>
      <c r="J115" s="391"/>
      <c r="K115" s="391"/>
      <c r="L115" s="392"/>
      <c r="M115" s="137"/>
      <c r="N115" s="139"/>
      <c r="O115" s="139"/>
      <c r="P115" s="139"/>
      <c r="Q115" s="139"/>
      <c r="R115" s="137"/>
      <c r="S115" s="137"/>
      <c r="T115" s="137"/>
      <c r="U115" s="137"/>
      <c r="V115" s="139"/>
      <c r="W115" s="139"/>
      <c r="X115" s="139"/>
      <c r="Y115" s="139"/>
      <c r="Z115" s="139"/>
      <c r="AA115" s="139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Y115" s="137"/>
      <c r="BI115" s="34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</row>
    <row r="116" spans="1:141" s="36" customFormat="1" ht="41.25" customHeight="1">
      <c r="A116" s="32"/>
      <c r="B116" s="390" t="s">
        <v>171</v>
      </c>
      <c r="C116" s="391"/>
      <c r="D116" s="391"/>
      <c r="E116" s="391"/>
      <c r="F116" s="391"/>
      <c r="G116" s="391"/>
      <c r="H116" s="392"/>
      <c r="I116" s="390" t="s">
        <v>205</v>
      </c>
      <c r="J116" s="391"/>
      <c r="K116" s="391"/>
      <c r="L116" s="392"/>
      <c r="M116" s="137"/>
      <c r="N116" s="139"/>
      <c r="O116" s="139"/>
      <c r="P116" s="139"/>
      <c r="Q116" s="139"/>
      <c r="R116" s="137"/>
      <c r="S116" s="137"/>
      <c r="T116" s="137"/>
      <c r="U116" s="137"/>
      <c r="V116" s="139"/>
      <c r="W116" s="139"/>
      <c r="X116" s="139"/>
      <c r="Y116" s="139"/>
      <c r="Z116" s="139"/>
      <c r="AA116" s="139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Y116" s="137"/>
      <c r="BI116" s="34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</row>
    <row r="117" spans="1:141" s="36" customFormat="1" ht="54" customHeight="1">
      <c r="A117" s="32"/>
      <c r="B117" s="387" t="s">
        <v>184</v>
      </c>
      <c r="C117" s="388"/>
      <c r="D117" s="388"/>
      <c r="E117" s="388"/>
      <c r="F117" s="388"/>
      <c r="G117" s="388"/>
      <c r="H117" s="389"/>
      <c r="I117" s="390" t="s">
        <v>206</v>
      </c>
      <c r="J117" s="391"/>
      <c r="K117" s="391"/>
      <c r="L117" s="392"/>
      <c r="M117" s="137"/>
      <c r="N117" s="139"/>
      <c r="O117" s="139"/>
      <c r="P117" s="139"/>
      <c r="Q117" s="139"/>
      <c r="R117" s="137"/>
      <c r="S117" s="137"/>
      <c r="T117" s="137"/>
      <c r="U117" s="137"/>
      <c r="V117" s="139"/>
      <c r="W117" s="139"/>
      <c r="X117" s="139"/>
      <c r="Y117" s="139"/>
      <c r="Z117" s="139"/>
      <c r="AA117" s="139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Y117" s="137"/>
      <c r="BI117" s="34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</row>
    <row r="118" spans="1:141" s="36" customFormat="1" ht="55.5" customHeight="1">
      <c r="A118" s="32">
        <f t="shared" si="65"/>
        <v>0</v>
      </c>
      <c r="B118" s="390" t="s">
        <v>172</v>
      </c>
      <c r="C118" s="391"/>
      <c r="D118" s="391"/>
      <c r="E118" s="391"/>
      <c r="F118" s="391"/>
      <c r="G118" s="391"/>
      <c r="H118" s="392"/>
      <c r="I118" s="390" t="s">
        <v>207</v>
      </c>
      <c r="J118" s="391"/>
      <c r="K118" s="391"/>
      <c r="L118" s="392"/>
      <c r="M118" s="137"/>
      <c r="N118" s="139" t="s">
        <v>72</v>
      </c>
      <c r="O118" s="139" t="s">
        <v>149</v>
      </c>
      <c r="P118" s="139" t="s">
        <v>72</v>
      </c>
      <c r="Q118" s="139" t="s">
        <v>149</v>
      </c>
      <c r="R118" s="139" t="s">
        <v>36</v>
      </c>
      <c r="S118" s="139"/>
      <c r="T118" s="139"/>
      <c r="U118" s="139" t="s">
        <v>36</v>
      </c>
      <c r="V118" s="139" t="s">
        <v>76</v>
      </c>
      <c r="W118" s="139"/>
      <c r="X118" s="139"/>
      <c r="Y118" s="139"/>
      <c r="Z118" s="139"/>
      <c r="AA118" s="139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Y118" s="137"/>
      <c r="BI118" s="50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</row>
    <row r="119" spans="1:141" s="36" customFormat="1" ht="72" customHeight="1">
      <c r="A119" s="32">
        <f t="shared" si="65"/>
        <v>0</v>
      </c>
      <c r="B119" s="400" t="s">
        <v>179</v>
      </c>
      <c r="C119" s="400"/>
      <c r="D119" s="400"/>
      <c r="E119" s="400"/>
      <c r="F119" s="400"/>
      <c r="G119" s="400"/>
      <c r="H119" s="400"/>
      <c r="I119" s="400"/>
      <c r="J119" s="400"/>
      <c r="K119" s="400"/>
      <c r="L119" s="400"/>
      <c r="M119" s="137"/>
      <c r="N119" s="139" t="s">
        <v>74</v>
      </c>
      <c r="O119" s="139" t="s">
        <v>75</v>
      </c>
      <c r="P119" s="139" t="s">
        <v>74</v>
      </c>
      <c r="Q119" s="139" t="s">
        <v>75</v>
      </c>
      <c r="R119" s="138" t="s">
        <v>36</v>
      </c>
      <c r="S119" s="138"/>
      <c r="T119" s="138"/>
      <c r="U119" s="138" t="s">
        <v>36</v>
      </c>
      <c r="V119" s="137" t="s">
        <v>36</v>
      </c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Y119" s="137"/>
      <c r="BI119" s="50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</row>
    <row r="120" spans="1:141" s="36" customFormat="1" ht="42.75" customHeight="1">
      <c r="A120" s="32">
        <f t="shared" si="65"/>
        <v>0</v>
      </c>
      <c r="B120" s="385" t="s">
        <v>180</v>
      </c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137"/>
      <c r="N120" s="138" t="s">
        <v>48</v>
      </c>
      <c r="O120" s="138" t="s">
        <v>48</v>
      </c>
      <c r="P120" s="138" t="s">
        <v>48</v>
      </c>
      <c r="Q120" s="138" t="s">
        <v>48</v>
      </c>
      <c r="R120" s="139"/>
      <c r="S120" s="138"/>
      <c r="T120" s="138"/>
      <c r="U120" s="139"/>
      <c r="V120" s="139" t="s">
        <v>98</v>
      </c>
      <c r="W120" s="137"/>
      <c r="X120" s="137"/>
      <c r="Y120" s="137"/>
      <c r="Z120" s="137"/>
      <c r="AA120" s="137"/>
      <c r="AB120" s="139" t="s">
        <v>98</v>
      </c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Y120" s="137"/>
      <c r="BI120" s="34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</row>
    <row r="121" spans="1:141">
      <c r="A121" s="2"/>
      <c r="B121" s="399"/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</row>
    <row r="122" spans="1:141" ht="16.5" thickBot="1">
      <c r="A122" s="2"/>
      <c r="B122" s="396">
        <f ca="1">IF(A122=0,TODAY(),A122)</f>
        <v>45294</v>
      </c>
      <c r="C122" s="397"/>
      <c r="D122" s="398"/>
      <c r="E122" s="398"/>
      <c r="F122" s="398"/>
      <c r="G122" s="385" t="str">
        <f>D7</f>
        <v xml:space="preserve">Головач И А </v>
      </c>
      <c r="H122" s="385"/>
      <c r="I122" s="123"/>
      <c r="J122" s="123"/>
      <c r="K122" s="123"/>
      <c r="L122" s="123"/>
    </row>
    <row r="123" spans="1:14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</row>
    <row r="124" spans="1:14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</row>
    <row r="125" spans="1:14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1"/>
      <c r="N125" s="21"/>
      <c r="O125" s="21"/>
      <c r="P125" s="21"/>
      <c r="Q125" s="21"/>
      <c r="R125" s="21"/>
      <c r="U125" s="21"/>
      <c r="V125" s="21"/>
      <c r="AB125" s="21"/>
      <c r="AC125" s="21"/>
      <c r="AD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</row>
    <row r="126" spans="1:14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1"/>
      <c r="N126" s="21"/>
      <c r="O126" s="21"/>
      <c r="P126" s="21"/>
      <c r="Q126" s="21"/>
      <c r="R126" s="21"/>
      <c r="U126" s="21"/>
      <c r="V126" s="21"/>
      <c r="AB126" s="21"/>
      <c r="AC126" s="21"/>
      <c r="AD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</row>
    <row r="127" spans="1:14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1"/>
      <c r="N127" s="21"/>
      <c r="O127" s="21"/>
      <c r="P127" s="21"/>
      <c r="Q127" s="21"/>
      <c r="R127" s="21"/>
      <c r="U127" s="21"/>
      <c r="V127" s="21"/>
      <c r="AB127" s="21"/>
      <c r="AC127" s="21"/>
      <c r="AD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</row>
    <row r="128" spans="1:14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1"/>
      <c r="N128" s="21"/>
      <c r="O128" s="21"/>
      <c r="P128" s="21"/>
      <c r="Q128" s="21"/>
      <c r="R128" s="21"/>
      <c r="U128" s="21"/>
      <c r="V128" s="21"/>
      <c r="AB128" s="21"/>
      <c r="AC128" s="21"/>
      <c r="AD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</row>
    <row r="129" spans="1:14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1"/>
      <c r="N129" s="21"/>
      <c r="O129" s="21"/>
      <c r="P129" s="21"/>
      <c r="Q129" s="21"/>
      <c r="R129" s="21"/>
      <c r="U129" s="21"/>
      <c r="V129" s="21"/>
      <c r="AB129" s="21"/>
      <c r="AC129" s="21"/>
      <c r="AD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</row>
    <row r="130" spans="1:14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1"/>
      <c r="N130" s="21"/>
      <c r="O130" s="21"/>
      <c r="P130" s="21"/>
      <c r="Q130" s="21"/>
      <c r="R130" s="21"/>
      <c r="U130" s="21"/>
      <c r="V130" s="21"/>
      <c r="AB130" s="21"/>
      <c r="AC130" s="21"/>
      <c r="AD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</row>
    <row r="131" spans="1:14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1"/>
      <c r="N131" s="21"/>
      <c r="O131" s="21"/>
      <c r="P131" s="21"/>
      <c r="Q131" s="21"/>
      <c r="R131" s="21"/>
      <c r="U131" s="21"/>
      <c r="V131" s="21"/>
      <c r="AB131" s="21"/>
      <c r="AC131" s="21"/>
      <c r="AD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</row>
    <row r="132" spans="1:14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1"/>
      <c r="N132" s="21"/>
      <c r="O132" s="21"/>
      <c r="P132" s="21"/>
      <c r="Q132" s="21"/>
      <c r="R132" s="21"/>
      <c r="U132" s="21"/>
      <c r="V132" s="21"/>
      <c r="AB132" s="21"/>
      <c r="AC132" s="21"/>
      <c r="AD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</row>
    <row r="133" spans="1:14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1"/>
      <c r="N133" s="21"/>
      <c r="O133" s="21"/>
      <c r="P133" s="21"/>
      <c r="Q133" s="21"/>
      <c r="R133" s="21"/>
      <c r="U133" s="21"/>
      <c r="V133" s="21"/>
      <c r="AB133" s="21"/>
      <c r="AC133" s="21"/>
      <c r="AD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</row>
    <row r="134" spans="1:14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1"/>
      <c r="N134" s="21"/>
      <c r="O134" s="21"/>
      <c r="P134" s="21"/>
      <c r="Q134" s="21"/>
      <c r="R134" s="21"/>
      <c r="U134" s="21"/>
      <c r="V134" s="21"/>
      <c r="AB134" s="21"/>
      <c r="AC134" s="21"/>
      <c r="AD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</row>
    <row r="135" spans="1:14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1"/>
      <c r="N135" s="21"/>
      <c r="O135" s="21"/>
      <c r="P135" s="21"/>
      <c r="Q135" s="21"/>
      <c r="R135" s="21"/>
      <c r="U135" s="21"/>
      <c r="V135" s="21"/>
      <c r="AB135" s="21"/>
      <c r="AC135" s="21"/>
      <c r="AD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</row>
    <row r="136" spans="1:14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1"/>
      <c r="N136" s="21"/>
      <c r="O136" s="21"/>
      <c r="P136" s="21"/>
      <c r="Q136" s="21"/>
      <c r="R136" s="21"/>
      <c r="U136" s="21"/>
      <c r="V136" s="21"/>
      <c r="AB136" s="21"/>
      <c r="AC136" s="21"/>
      <c r="AD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</row>
    <row r="137" spans="1:14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1"/>
      <c r="N137" s="21"/>
      <c r="O137" s="21"/>
      <c r="P137" s="21"/>
      <c r="Q137" s="21"/>
      <c r="R137" s="21"/>
      <c r="U137" s="21"/>
      <c r="V137" s="21"/>
      <c r="AB137" s="21"/>
      <c r="AC137" s="21"/>
      <c r="AD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</row>
    <row r="138" spans="1:14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1"/>
      <c r="N138" s="21"/>
      <c r="O138" s="21"/>
      <c r="P138" s="21"/>
      <c r="Q138" s="21"/>
      <c r="R138" s="21"/>
      <c r="U138" s="21"/>
      <c r="V138" s="21"/>
      <c r="AB138" s="21"/>
      <c r="AC138" s="21"/>
      <c r="AD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</row>
    <row r="139" spans="1:14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1"/>
      <c r="N139" s="21"/>
      <c r="O139" s="21"/>
      <c r="P139" s="21"/>
      <c r="Q139" s="21"/>
      <c r="R139" s="21"/>
      <c r="U139" s="21"/>
      <c r="V139" s="21"/>
      <c r="AB139" s="21"/>
      <c r="AC139" s="21"/>
      <c r="AD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</row>
    <row r="140" spans="1:14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1"/>
      <c r="N140" s="21"/>
      <c r="O140" s="21"/>
      <c r="P140" s="21"/>
      <c r="Q140" s="21"/>
      <c r="R140" s="21"/>
      <c r="U140" s="21"/>
      <c r="V140" s="21"/>
      <c r="AB140" s="21"/>
      <c r="AC140" s="21"/>
      <c r="AD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</row>
    <row r="141" spans="1: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1"/>
      <c r="N141" s="21"/>
      <c r="O141" s="21"/>
      <c r="P141" s="21"/>
      <c r="Q141" s="21"/>
      <c r="R141" s="21"/>
      <c r="U141" s="21"/>
      <c r="V141" s="21"/>
      <c r="AB141" s="21"/>
      <c r="AC141" s="21"/>
      <c r="AD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</row>
    <row r="142" spans="1:14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1"/>
      <c r="N142" s="21"/>
      <c r="O142" s="21"/>
      <c r="P142" s="21"/>
      <c r="Q142" s="21"/>
      <c r="R142" s="21"/>
      <c r="U142" s="21"/>
      <c r="V142" s="21"/>
      <c r="AB142" s="21"/>
      <c r="AC142" s="21"/>
      <c r="AD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</row>
    <row r="143" spans="1:141">
      <c r="A143" s="2"/>
      <c r="B143" s="2"/>
      <c r="C143" s="2"/>
      <c r="D143" s="2"/>
      <c r="E143" s="2"/>
      <c r="F143" s="2"/>
      <c r="G143" s="2"/>
      <c r="H143" s="2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U143" s="21"/>
      <c r="V143" s="21"/>
      <c r="AB143" s="21"/>
      <c r="AC143" s="21"/>
      <c r="AD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</row>
    <row r="144" spans="1:14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1"/>
      <c r="N144" s="21"/>
      <c r="O144" s="21"/>
      <c r="P144" s="21"/>
      <c r="Q144" s="21"/>
      <c r="R144" s="21"/>
      <c r="U144" s="21"/>
      <c r="V144" s="21"/>
      <c r="AB144" s="21"/>
      <c r="AC144" s="21"/>
      <c r="AD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</row>
    <row r="145" spans="1:14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1"/>
      <c r="N145" s="21"/>
      <c r="O145" s="21"/>
      <c r="P145" s="21"/>
      <c r="Q145" s="21"/>
      <c r="R145" s="21"/>
      <c r="U145" s="21"/>
      <c r="V145" s="21"/>
      <c r="AB145" s="21"/>
      <c r="AC145" s="21"/>
      <c r="AD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</row>
    <row r="146" spans="1:14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1"/>
      <c r="N146" s="21"/>
      <c r="O146" s="21"/>
      <c r="P146" s="21"/>
      <c r="Q146" s="21"/>
      <c r="R146" s="21"/>
      <c r="U146" s="21"/>
      <c r="V146" s="21"/>
      <c r="AB146" s="21"/>
      <c r="AC146" s="21"/>
      <c r="AD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</row>
    <row r="147" spans="1:14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1"/>
      <c r="N147" s="21"/>
      <c r="O147" s="21"/>
      <c r="P147" s="21"/>
      <c r="Q147" s="21"/>
      <c r="R147" s="21"/>
      <c r="U147" s="21"/>
      <c r="V147" s="21"/>
      <c r="AB147" s="21"/>
      <c r="AC147" s="21"/>
      <c r="AD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</row>
  </sheetData>
  <sheetProtection password="C7A8" sheet="1"/>
  <mergeCells count="206">
    <mergeCell ref="N1:Q1"/>
    <mergeCell ref="B7:C7"/>
    <mergeCell ref="D7:F7"/>
    <mergeCell ref="M11:P11"/>
    <mergeCell ref="B10:C10"/>
    <mergeCell ref="D10:E10"/>
    <mergeCell ref="F1:H4"/>
    <mergeCell ref="B5:I5"/>
    <mergeCell ref="D11:E11"/>
    <mergeCell ref="B11:C11"/>
    <mergeCell ref="M12:P12"/>
    <mergeCell ref="B12:C12"/>
    <mergeCell ref="D12:E12"/>
    <mergeCell ref="D19:F19"/>
    <mergeCell ref="B16:C16"/>
    <mergeCell ref="D16:E16"/>
    <mergeCell ref="B18:C18"/>
    <mergeCell ref="D18:F18"/>
    <mergeCell ref="B8:C8"/>
    <mergeCell ref="D8:F8"/>
    <mergeCell ref="B14:C14"/>
    <mergeCell ref="D14:E14"/>
    <mergeCell ref="D13:F13"/>
    <mergeCell ref="B13:C13"/>
    <mergeCell ref="D29:E29"/>
    <mergeCell ref="B30:C30"/>
    <mergeCell ref="D30:E30"/>
    <mergeCell ref="B26:C26"/>
    <mergeCell ref="D26:E26"/>
    <mergeCell ref="B29:C29"/>
    <mergeCell ref="I23:L23"/>
    <mergeCell ref="D15:E15"/>
    <mergeCell ref="B17:C17"/>
    <mergeCell ref="D17:F17"/>
    <mergeCell ref="B15:C15"/>
    <mergeCell ref="D20:F20"/>
    <mergeCell ref="D21:F21"/>
    <mergeCell ref="D22:E22"/>
    <mergeCell ref="D24:E24"/>
    <mergeCell ref="B27:C27"/>
    <mergeCell ref="D27:E27"/>
    <mergeCell ref="B28:C28"/>
    <mergeCell ref="D28:E28"/>
    <mergeCell ref="B25:C25"/>
    <mergeCell ref="D25:E25"/>
    <mergeCell ref="B23:C24"/>
    <mergeCell ref="D23:H23"/>
    <mergeCell ref="B32:C32"/>
    <mergeCell ref="D32:E32"/>
    <mergeCell ref="B35:C35"/>
    <mergeCell ref="D35:E35"/>
    <mergeCell ref="B39:C39"/>
    <mergeCell ref="D39:E39"/>
    <mergeCell ref="B31:C31"/>
    <mergeCell ref="D31:E31"/>
    <mergeCell ref="B34:C34"/>
    <mergeCell ref="D34:E34"/>
    <mergeCell ref="B33:C33"/>
    <mergeCell ref="D33:E33"/>
    <mergeCell ref="B36:C36"/>
    <mergeCell ref="D36:E36"/>
    <mergeCell ref="B37:C37"/>
    <mergeCell ref="D37:E37"/>
    <mergeCell ref="B38:C38"/>
    <mergeCell ref="D38:E38"/>
    <mergeCell ref="B57:C57"/>
    <mergeCell ref="D57:E57"/>
    <mergeCell ref="D50:E50"/>
    <mergeCell ref="B51:C51"/>
    <mergeCell ref="B54:C54"/>
    <mergeCell ref="D54:E54"/>
    <mergeCell ref="B56:C56"/>
    <mergeCell ref="D56:E56"/>
    <mergeCell ref="B55:C55"/>
    <mergeCell ref="D55:E55"/>
    <mergeCell ref="B50:C50"/>
    <mergeCell ref="B53:C53"/>
    <mergeCell ref="D53:E53"/>
    <mergeCell ref="D51:E51"/>
    <mergeCell ref="B49:C49"/>
    <mergeCell ref="D49:E49"/>
    <mergeCell ref="B45:C45"/>
    <mergeCell ref="D45:E45"/>
    <mergeCell ref="B47:C47"/>
    <mergeCell ref="B52:C52"/>
    <mergeCell ref="D52:E52"/>
    <mergeCell ref="D47:E47"/>
    <mergeCell ref="B48:C48"/>
    <mergeCell ref="B46:C46"/>
    <mergeCell ref="D48:E48"/>
    <mergeCell ref="D46:E46"/>
    <mergeCell ref="B40:C40"/>
    <mergeCell ref="B41:C41"/>
    <mergeCell ref="D41:E41"/>
    <mergeCell ref="B42:C42"/>
    <mergeCell ref="D42:E42"/>
    <mergeCell ref="D44:E44"/>
    <mergeCell ref="D43:E43"/>
    <mergeCell ref="B44:C44"/>
    <mergeCell ref="B43:C43"/>
    <mergeCell ref="D40:E40"/>
    <mergeCell ref="B58:C58"/>
    <mergeCell ref="D58:E58"/>
    <mergeCell ref="B60:C60"/>
    <mergeCell ref="D60:E60"/>
    <mergeCell ref="B59:C59"/>
    <mergeCell ref="D59:E59"/>
    <mergeCell ref="B61:C61"/>
    <mergeCell ref="D61:E61"/>
    <mergeCell ref="B66:C66"/>
    <mergeCell ref="D66:E66"/>
    <mergeCell ref="B63:C63"/>
    <mergeCell ref="D63:E63"/>
    <mergeCell ref="B64:C64"/>
    <mergeCell ref="D64:E64"/>
    <mergeCell ref="B62:C62"/>
    <mergeCell ref="D62:E62"/>
    <mergeCell ref="D75:E75"/>
    <mergeCell ref="B75:C75"/>
    <mergeCell ref="N95:O95"/>
    <mergeCell ref="B68:C68"/>
    <mergeCell ref="D68:E68"/>
    <mergeCell ref="B76:C76"/>
    <mergeCell ref="D76:E76"/>
    <mergeCell ref="B71:C71"/>
    <mergeCell ref="D71:E71"/>
    <mergeCell ref="B72:C72"/>
    <mergeCell ref="B74:C74"/>
    <mergeCell ref="D74:E74"/>
    <mergeCell ref="B77:C77"/>
    <mergeCell ref="D77:E77"/>
    <mergeCell ref="B78:C78"/>
    <mergeCell ref="D78:E78"/>
    <mergeCell ref="B85:C85"/>
    <mergeCell ref="B83:C83"/>
    <mergeCell ref="B89:H89"/>
    <mergeCell ref="B87:K87"/>
    <mergeCell ref="B84:C84"/>
    <mergeCell ref="B67:C67"/>
    <mergeCell ref="B65:C65"/>
    <mergeCell ref="D65:E65"/>
    <mergeCell ref="D67:E67"/>
    <mergeCell ref="B69:C69"/>
    <mergeCell ref="D69:E69"/>
    <mergeCell ref="B70:C70"/>
    <mergeCell ref="D70:E70"/>
    <mergeCell ref="D73:E73"/>
    <mergeCell ref="D72:E72"/>
    <mergeCell ref="B73:C73"/>
    <mergeCell ref="I143:R143"/>
    <mergeCell ref="D122:F122"/>
    <mergeCell ref="D79:E79"/>
    <mergeCell ref="D84:E84"/>
    <mergeCell ref="D85:E85"/>
    <mergeCell ref="P95:Q95"/>
    <mergeCell ref="B93:L93"/>
    <mergeCell ref="B110:H110"/>
    <mergeCell ref="B108:H108"/>
    <mergeCell ref="I108:L108"/>
    <mergeCell ref="B121:L121"/>
    <mergeCell ref="B80:C80"/>
    <mergeCell ref="D81:E81"/>
    <mergeCell ref="D80:E80"/>
    <mergeCell ref="B81:C81"/>
    <mergeCell ref="D86:E86"/>
    <mergeCell ref="B122:C122"/>
    <mergeCell ref="G122:H122"/>
    <mergeCell ref="B114:H114"/>
    <mergeCell ref="D83:E83"/>
    <mergeCell ref="B109:H109"/>
    <mergeCell ref="B115:H115"/>
    <mergeCell ref="B116:H116"/>
    <mergeCell ref="B92:L92"/>
    <mergeCell ref="B113:L113"/>
    <mergeCell ref="B102:L102"/>
    <mergeCell ref="B120:L120"/>
    <mergeCell ref="I110:L110"/>
    <mergeCell ref="B111:L111"/>
    <mergeCell ref="B112:L112"/>
    <mergeCell ref="I116:L116"/>
    <mergeCell ref="I115:L115"/>
    <mergeCell ref="B119:L119"/>
    <mergeCell ref="B117:H117"/>
    <mergeCell ref="I117:L117"/>
    <mergeCell ref="B118:H118"/>
    <mergeCell ref="B104:L104"/>
    <mergeCell ref="I118:L118"/>
    <mergeCell ref="B105:L105"/>
    <mergeCell ref="B106:L106"/>
    <mergeCell ref="I114:L114"/>
    <mergeCell ref="I109:L109"/>
    <mergeCell ref="B107:H107"/>
    <mergeCell ref="I107:L107"/>
    <mergeCell ref="B101:L101"/>
    <mergeCell ref="B103:L103"/>
    <mergeCell ref="B79:C79"/>
    <mergeCell ref="B94:L94"/>
    <mergeCell ref="B95:L95"/>
    <mergeCell ref="B100:L100"/>
    <mergeCell ref="B82:C82"/>
    <mergeCell ref="D82:E82"/>
    <mergeCell ref="B86:C86"/>
    <mergeCell ref="B96:L96"/>
    <mergeCell ref="B97:L97"/>
    <mergeCell ref="B98:L98"/>
    <mergeCell ref="B99:L99"/>
  </mergeCells>
  <phoneticPr fontId="22" type="noConversion"/>
  <conditionalFormatting sqref="A11 A14:A15">
    <cfRule type="cellIs" dxfId="695" priority="5" stopIfTrue="1" operator="greaterThan">
      <formula>61</formula>
    </cfRule>
    <cfRule type="expression" dxfId="694" priority="6" stopIfTrue="1">
      <formula>$A$24</formula>
    </cfRule>
  </conditionalFormatting>
  <conditionalFormatting sqref="B37:C37 B43:C43 B48:H85">
    <cfRule type="expression" dxfId="693" priority="38" stopIfTrue="1">
      <formula>$N37</formula>
    </cfRule>
  </conditionalFormatting>
  <conditionalFormatting sqref="B28:E28 G28:H28">
    <cfRule type="expression" dxfId="692" priority="33" stopIfTrue="1">
      <formula>$N$28</formula>
    </cfRule>
  </conditionalFormatting>
  <conditionalFormatting sqref="B25:H25">
    <cfRule type="expression" dxfId="691" priority="36" stopIfTrue="1">
      <formula>$N$25</formula>
    </cfRule>
  </conditionalFormatting>
  <conditionalFormatting sqref="B26:H26">
    <cfRule type="expression" dxfId="690" priority="35" stopIfTrue="1">
      <formula>$N$26</formula>
    </cfRule>
  </conditionalFormatting>
  <conditionalFormatting sqref="B27:H27 F28">
    <cfRule type="expression" dxfId="689" priority="34" stopIfTrue="1">
      <formula>$N$27</formula>
    </cfRule>
  </conditionalFormatting>
  <conditionalFormatting sqref="B29:H29">
    <cfRule type="expression" dxfId="688" priority="32" stopIfTrue="1">
      <formula>$N$29</formula>
    </cfRule>
  </conditionalFormatting>
  <conditionalFormatting sqref="B30:H30">
    <cfRule type="expression" dxfId="687" priority="31" stopIfTrue="1">
      <formula>$N$30</formula>
    </cfRule>
  </conditionalFormatting>
  <conditionalFormatting sqref="B31:H31">
    <cfRule type="expression" dxfId="686" priority="30" stopIfTrue="1">
      <formula>$N$31</formula>
    </cfRule>
  </conditionalFormatting>
  <conditionalFormatting sqref="B32:H32">
    <cfRule type="expression" dxfId="685" priority="29" stopIfTrue="1">
      <formula>$N$32</formula>
    </cfRule>
  </conditionalFormatting>
  <conditionalFormatting sqref="B33:H33">
    <cfRule type="expression" dxfId="684" priority="28" stopIfTrue="1">
      <formula>$N$33</formula>
    </cfRule>
  </conditionalFormatting>
  <conditionalFormatting sqref="B34:H34">
    <cfRule type="expression" dxfId="683" priority="27" stopIfTrue="1">
      <formula>$N$34</formula>
    </cfRule>
  </conditionalFormatting>
  <conditionalFormatting sqref="B35:H35">
    <cfRule type="expression" dxfId="682" priority="26" stopIfTrue="1">
      <formula>$N$35</formula>
    </cfRule>
  </conditionalFormatting>
  <conditionalFormatting sqref="B36:H36">
    <cfRule type="expression" dxfId="681" priority="25" stopIfTrue="1">
      <formula>$N$36</formula>
    </cfRule>
  </conditionalFormatting>
  <conditionalFormatting sqref="B38:H38">
    <cfRule type="expression" dxfId="680" priority="23" stopIfTrue="1">
      <formula>$N$38</formula>
    </cfRule>
  </conditionalFormatting>
  <conditionalFormatting sqref="B39:H39">
    <cfRule type="expression" dxfId="679" priority="22" stopIfTrue="1">
      <formula>$N$39</formula>
    </cfRule>
  </conditionalFormatting>
  <conditionalFormatting sqref="B40:H40">
    <cfRule type="expression" dxfId="678" priority="21" stopIfTrue="1">
      <formula>$N$40</formula>
    </cfRule>
  </conditionalFormatting>
  <conditionalFormatting sqref="B41:H41">
    <cfRule type="expression" dxfId="677" priority="20" stopIfTrue="1">
      <formula>$N$41</formula>
    </cfRule>
  </conditionalFormatting>
  <conditionalFormatting sqref="B42:H42">
    <cfRule type="expression" dxfId="676" priority="19" stopIfTrue="1">
      <formula>$N$42</formula>
    </cfRule>
  </conditionalFormatting>
  <conditionalFormatting sqref="B44:H44">
    <cfRule type="expression" dxfId="675" priority="14" stopIfTrue="1">
      <formula>$N$44</formula>
    </cfRule>
  </conditionalFormatting>
  <conditionalFormatting sqref="B45:H45">
    <cfRule type="expression" dxfId="674" priority="13" stopIfTrue="1">
      <formula>$N$45</formula>
    </cfRule>
  </conditionalFormatting>
  <conditionalFormatting sqref="B46:H46">
    <cfRule type="expression" dxfId="673" priority="12" stopIfTrue="1">
      <formula>$N$46</formula>
    </cfRule>
  </conditionalFormatting>
  <conditionalFormatting sqref="B47:H47">
    <cfRule type="expression" dxfId="672" priority="11" stopIfTrue="1">
      <formula>$N$47</formula>
    </cfRule>
  </conditionalFormatting>
  <conditionalFormatting sqref="D10:E10">
    <cfRule type="cellIs" dxfId="671" priority="1" stopIfTrue="1" operator="greaterThan">
      <formula>8000</formula>
    </cfRule>
    <cfRule type="cellIs" dxfId="670" priority="2" operator="greaterThan">
      <formula>8000</formula>
    </cfRule>
    <cfRule type="cellIs" dxfId="669" priority="10" stopIfTrue="1" operator="lessThan">
      <formula>300</formula>
    </cfRule>
  </conditionalFormatting>
  <conditionalFormatting sqref="D10:E11">
    <cfRule type="expression" dxfId="668" priority="9" stopIfTrue="1">
      <formula>$M$5</formula>
    </cfRule>
  </conditionalFormatting>
  <conditionalFormatting sqref="D12:E12">
    <cfRule type="expression" dxfId="667" priority="7" stopIfTrue="1">
      <formula>$A$24</formula>
    </cfRule>
  </conditionalFormatting>
  <conditionalFormatting sqref="D37:H37">
    <cfRule type="expression" dxfId="666" priority="24" stopIfTrue="1">
      <formula>$N$37</formula>
    </cfRule>
  </conditionalFormatting>
  <conditionalFormatting sqref="D43:H43">
    <cfRule type="expression" dxfId="665" priority="15" stopIfTrue="1">
      <formula>$N$43</formula>
    </cfRule>
  </conditionalFormatting>
  <conditionalFormatting sqref="F10">
    <cfRule type="expression" dxfId="664" priority="18" stopIfTrue="1">
      <formula>$M$5</formula>
    </cfRule>
  </conditionalFormatting>
  <conditionalFormatting sqref="G10:L10">
    <cfRule type="expression" dxfId="663" priority="16" stopIfTrue="1">
      <formula>$A$1</formula>
    </cfRule>
  </conditionalFormatting>
  <conditionalFormatting sqref="I24:K24">
    <cfRule type="expression" dxfId="662" priority="77" stopIfTrue="1">
      <formula>$D$15</formula>
    </cfRule>
  </conditionalFormatting>
  <conditionalFormatting sqref="I23:L23 L24">
    <cfRule type="expression" dxfId="661" priority="78" stopIfTrue="1">
      <formula>$D$15</formula>
    </cfRule>
  </conditionalFormatting>
  <conditionalFormatting sqref="I25:L85">
    <cfRule type="expression" dxfId="660" priority="43" stopIfTrue="1">
      <formula>$AY25</formula>
    </cfRule>
  </conditionalFormatting>
  <conditionalFormatting sqref="I143:P143">
    <cfRule type="expression" dxfId="659" priority="41" stopIfTrue="1">
      <formula>H143</formula>
    </cfRule>
  </conditionalFormatting>
  <conditionalFormatting sqref="Q143">
    <cfRule type="expression" dxfId="658" priority="42" stopIfTrue="1">
      <formula>O143</formula>
    </cfRule>
  </conditionalFormatting>
  <conditionalFormatting sqref="R143">
    <cfRule type="expression" dxfId="657" priority="37" stopIfTrue="1">
      <formula>O143</formula>
    </cfRule>
  </conditionalFormatting>
  <dataValidations count="2">
    <dataValidation type="list" allowBlank="1" showInputMessage="1" showErrorMessage="1" sqref="D14:E14" xr:uid="{00000000-0002-0000-0200-000000000000}">
      <formula1>$BA$26:$BA$29</formula1>
    </dataValidation>
    <dataValidation type="list" allowBlank="1" showInputMessage="1" showErrorMessage="1" sqref="D15:E15" xr:uid="{00000000-0002-0000-0200-000001000000}">
      <formula1>$BB$27:$BB$29</formula1>
    </dataValidation>
  </dataValidations>
  <pageMargins left="0.86614173228346458" right="0.35433070866141736" top="0.39370078740157483" bottom="0.31496062992125984" header="0.51181102362204722" footer="0.31496062992125984"/>
  <pageSetup scale="65" pageOrder="overThenDown" orientation="portrait" r:id="rId1"/>
  <headerFooter alignWithMargins="0"/>
  <rowBreaks count="1" manualBreakCount="1">
    <brk id="85" min="1" max="11" man="1"/>
  </rowBreaks>
  <colBreaks count="2" manualBreakCount="2">
    <brk id="1" max="1048575" man="1"/>
    <brk id="8" min="4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EK176"/>
  <sheetViews>
    <sheetView zoomScale="90" zoomScaleNormal="90" workbookViewId="0">
      <selection activeCell="F10" sqref="F10"/>
    </sheetView>
  </sheetViews>
  <sheetFormatPr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16.42578125" style="21" customWidth="1"/>
    <col min="9" max="10" width="16.5703125" style="21" customWidth="1"/>
    <col min="11" max="11" width="16.5703125" style="21" hidden="1" customWidth="1"/>
    <col min="12" max="12" width="15.7109375" style="21" customWidth="1"/>
    <col min="13" max="56" width="15.7109375" style="2" hidden="1" customWidth="1"/>
    <col min="57" max="57" width="15.7109375" style="21" customWidth="1"/>
    <col min="58" max="71" width="9.140625" style="21"/>
    <col min="72" max="141" width="9.140625" style="20"/>
    <col min="142" max="16384" width="9.140625" style="21"/>
  </cols>
  <sheetData>
    <row r="1" spans="1:30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127">
        <f>IF(H8=1,1,IF(M8=1,2,IF(N8=1,1,0)))</f>
        <v>2</v>
      </c>
      <c r="N1" s="337" t="s">
        <v>0</v>
      </c>
      <c r="O1" s="337"/>
      <c r="P1" s="337"/>
      <c r="Q1" s="337"/>
    </row>
    <row r="2" spans="1:30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129"/>
    </row>
    <row r="3" spans="1:30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129"/>
    </row>
    <row r="4" spans="1:30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129"/>
    </row>
    <row r="5" spans="1:30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2">
        <f>IF(M1=0,1,0)</f>
        <v>0</v>
      </c>
    </row>
    <row r="6" spans="1:30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2" t="s">
        <v>5</v>
      </c>
      <c r="N7" s="2" t="s">
        <v>6</v>
      </c>
    </row>
    <row r="8" spans="1:3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2">
        <v>1</v>
      </c>
      <c r="N8" s="2">
        <v>0</v>
      </c>
      <c r="O8" s="2">
        <v>0</v>
      </c>
    </row>
    <row r="9" spans="1:30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130"/>
      <c r="AD9" s="2">
        <v>0</v>
      </c>
    </row>
    <row r="10" spans="1:30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32">
        <v>7000</v>
      </c>
      <c r="E10" s="433"/>
      <c r="F10" s="11" t="s">
        <v>189</v>
      </c>
      <c r="G10" s="12" t="s">
        <v>7</v>
      </c>
      <c r="H10" s="13">
        <f ca="1">F22+G22+A92+D10</f>
        <v>11238.418456111111</v>
      </c>
      <c r="I10" s="40"/>
      <c r="J10" s="40"/>
      <c r="K10" s="40"/>
      <c r="L10" s="40"/>
      <c r="T10" s="2">
        <f>IF(D14=12,IF(D15&lt;=6,0,1),0)</f>
        <v>0</v>
      </c>
      <c r="AD10" s="2">
        <v>6</v>
      </c>
    </row>
    <row r="11" spans="1:30" ht="14.25">
      <c r="A11" s="7"/>
      <c r="B11" s="408" t="s">
        <v>8</v>
      </c>
      <c r="C11" s="409"/>
      <c r="D11" s="413">
        <v>29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337" t="s">
        <v>9</v>
      </c>
      <c r="N11" s="337"/>
      <c r="O11" s="337"/>
      <c r="P11" s="337"/>
      <c r="Q11" s="131">
        <f ca="1">R11-Q12-1</f>
        <v>27</v>
      </c>
      <c r="R11" s="2">
        <f ca="1">IF(DAY(D16)=31,31,30)</f>
        <v>30</v>
      </c>
      <c r="AC11" s="2">
        <v>12</v>
      </c>
      <c r="AD11" s="2">
        <v>12</v>
      </c>
    </row>
    <row r="12" spans="1:30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337" t="s">
        <v>11</v>
      </c>
      <c r="N12" s="337"/>
      <c r="O12" s="337"/>
      <c r="P12" s="337"/>
      <c r="Q12" s="131">
        <f ca="1">DATE(YEAR(0),MONTH(0),DAY(D16)-1)</f>
        <v>2</v>
      </c>
      <c r="AC12" s="2">
        <v>24</v>
      </c>
      <c r="AD12" s="2">
        <v>6</v>
      </c>
    </row>
    <row r="13" spans="1:30" ht="29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128"/>
      <c r="N13" s="128"/>
      <c r="O13" s="128"/>
      <c r="P13" s="128"/>
      <c r="Q13" s="131"/>
      <c r="AC13" s="2">
        <v>36</v>
      </c>
    </row>
    <row r="14" spans="1:30" ht="15" customHeight="1">
      <c r="A14" s="17">
        <f ca="1">IF(DAY(D16)&lt;=21,D14,D14+1)</f>
        <v>48</v>
      </c>
      <c r="B14" s="408" t="s">
        <v>13</v>
      </c>
      <c r="C14" s="409"/>
      <c r="D14" s="413">
        <v>48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2">
        <f ca="1">IF(M1=1,IF(F10="USD",0,A14),IF(M1=2,A14," "))</f>
        <v>48</v>
      </c>
      <c r="AC14" s="2">
        <v>48</v>
      </c>
    </row>
    <row r="15" spans="1:30" ht="15" customHeight="1">
      <c r="A15" s="82"/>
      <c r="B15" s="309" t="s">
        <v>139</v>
      </c>
      <c r="C15" s="310"/>
      <c r="D15" s="355">
        <v>12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</row>
    <row r="16" spans="1:30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132">
        <f ca="1">A14-D15</f>
        <v>36</v>
      </c>
    </row>
    <row r="17" spans="1:141">
      <c r="A17" s="4">
        <f ca="1">IF(A14&gt;61,1,0)</f>
        <v>0</v>
      </c>
      <c r="B17" s="420" t="s">
        <v>16</v>
      </c>
      <c r="C17" s="421"/>
      <c r="D17" s="410" t="s">
        <v>79</v>
      </c>
      <c r="E17" s="411"/>
      <c r="F17" s="412"/>
      <c r="G17" s="10"/>
      <c r="H17" s="18"/>
      <c r="I17" s="18"/>
      <c r="J17" s="18"/>
      <c r="K17" s="18"/>
      <c r="L17" s="18"/>
    </row>
    <row r="18" spans="1:141" ht="13.5" thickBot="1">
      <c r="A18" s="4"/>
      <c r="B18" s="343" t="s">
        <v>214</v>
      </c>
      <c r="C18" s="344"/>
      <c r="D18" s="376" t="s">
        <v>215</v>
      </c>
      <c r="E18" s="377"/>
      <c r="F18" s="378"/>
      <c r="G18" s="4"/>
      <c r="H18" s="4"/>
      <c r="I18" s="4"/>
      <c r="J18" s="4"/>
      <c r="K18" s="4"/>
      <c r="L18" s="4"/>
    </row>
    <row r="19" spans="1:141">
      <c r="A19" s="4"/>
      <c r="B19" s="4"/>
      <c r="C19" s="4"/>
      <c r="D19" s="297" t="s">
        <v>79</v>
      </c>
      <c r="E19" s="297"/>
      <c r="F19" s="297"/>
      <c r="G19" s="4"/>
      <c r="H19" s="4"/>
      <c r="I19" s="4"/>
      <c r="J19" s="4"/>
      <c r="K19" s="4"/>
      <c r="L19" s="4"/>
    </row>
    <row r="20" spans="1:14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</row>
    <row r="21" spans="1:14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155">
        <f ca="1">SUM(L25:L72)</f>
        <v>14237.511375664135</v>
      </c>
    </row>
    <row r="22" spans="1:141">
      <c r="A22" s="4"/>
      <c r="B22" s="4"/>
      <c r="C22" s="4"/>
      <c r="D22" s="404">
        <f ca="1">SUM(D25:E85)</f>
        <v>13999.999999999995</v>
      </c>
      <c r="E22" s="272"/>
      <c r="F22" s="22">
        <f ca="1">SUM(F25:F86)/2</f>
        <v>4238.4184561111115</v>
      </c>
      <c r="G22" s="22">
        <v>0</v>
      </c>
      <c r="H22" s="22">
        <f ca="1">SUM(H25:H72)</f>
        <v>11238.418456111112</v>
      </c>
      <c r="I22" s="22"/>
      <c r="J22" s="22"/>
      <c r="K22" s="22"/>
      <c r="L22" s="22"/>
    </row>
    <row r="23" spans="1:141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133" t="s">
        <v>26</v>
      </c>
      <c r="O24" s="133" t="s">
        <v>27</v>
      </c>
      <c r="P24" s="133" t="s">
        <v>28</v>
      </c>
      <c r="Q24" s="133" t="s">
        <v>29</v>
      </c>
      <c r="R24" s="133" t="s">
        <v>30</v>
      </c>
      <c r="S24" s="133">
        <v>2</v>
      </c>
      <c r="T24" s="133"/>
      <c r="U24" s="133" t="s">
        <v>31</v>
      </c>
      <c r="V24" s="133" t="s">
        <v>32</v>
      </c>
      <c r="W24" s="133" t="s">
        <v>142</v>
      </c>
      <c r="X24" s="133" t="s">
        <v>142</v>
      </c>
      <c r="Y24" s="133"/>
      <c r="Z24" s="133"/>
      <c r="AA24" s="133"/>
      <c r="AB24" s="133" t="s">
        <v>33</v>
      </c>
      <c r="AC24" s="133" t="s">
        <v>28</v>
      </c>
      <c r="AD24" s="133" t="s">
        <v>29</v>
      </c>
      <c r="AE24" s="133" t="s">
        <v>143</v>
      </c>
      <c r="AF24" s="133" t="s">
        <v>143</v>
      </c>
      <c r="AG24" s="133"/>
      <c r="AH24" s="133"/>
      <c r="AI24" s="133" t="s">
        <v>30</v>
      </c>
      <c r="AJ24" s="133" t="s">
        <v>31</v>
      </c>
      <c r="AK24" s="133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269">
        <f ca="1">IF(N25=0,0,IF(F10="USD",ROUND(D10/M14,0),IF(F10="бел. рублей",IF(AX25&lt;=5,AU25,AU25)," ")))</f>
        <v>145.83000000000001</v>
      </c>
      <c r="E25" s="269"/>
      <c r="F25" s="87">
        <f ca="1">IF(M1=1,P25,IF(M1=2,Q25," "))</f>
        <v>152.25</v>
      </c>
      <c r="G25" s="87">
        <v>0</v>
      </c>
      <c r="H25" s="87">
        <f ca="1">SUM(D25:G25)+A87</f>
        <v>298.08000000000004</v>
      </c>
      <c r="I25" s="87">
        <f ca="1">T25</f>
        <v>145.83000000000001</v>
      </c>
      <c r="J25" s="87">
        <f t="shared" ref="J25:J56" ca="1" si="0">AA25</f>
        <v>152.25</v>
      </c>
      <c r="K25" s="87">
        <v>0</v>
      </c>
      <c r="L25" s="87">
        <f ca="1">SUM(I25:K25)+A87</f>
        <v>298.08000000000004</v>
      </c>
      <c r="M25" s="2">
        <v>1</v>
      </c>
      <c r="N25" s="2">
        <f ca="1">IF(M1=1,IF(M14&gt;0,1,0),IF(M1=2,IF(M14&gt;0,1,0),0))</f>
        <v>1</v>
      </c>
      <c r="O25" s="2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134">
        <f ca="1">U25</f>
        <v>152.25</v>
      </c>
      <c r="Q25" s="134">
        <f ca="1">V25</f>
        <v>152.25</v>
      </c>
      <c r="R25" s="134">
        <f>D10</f>
        <v>7000</v>
      </c>
      <c r="S25" s="134">
        <f ca="1">AU25</f>
        <v>145.83000000000001</v>
      </c>
      <c r="T25" s="134">
        <f ca="1">AU25</f>
        <v>145.83000000000001</v>
      </c>
      <c r="U25" s="134">
        <f ca="1">R25*Q11*D11/36000</f>
        <v>152.25</v>
      </c>
      <c r="V25" s="134">
        <f ca="1">R25*Q11*D11/36000</f>
        <v>152.25</v>
      </c>
      <c r="W25" s="134">
        <f ca="1">IF(D10*Q11*D11/36000&lt;&gt;0,IF(VALUE(RIGHT(ROUND(D10*Q11*D11/36000,0)))&lt;=5,ROUND(D10*Q11*D11/36000,0)-VALUE(RIGHT(ROUND(D10*Q11*D11/36000,0))),ROUND(D10*Q11*D11/36000,0)+10-VALUE(RIGHT(ROUND(D10*Q11*D11/36000,0)))),0)</f>
        <v>150</v>
      </c>
      <c r="X25" s="134">
        <f ca="1">IF(D10*Q11*D11/36000&lt;&gt;0,IF(VALUE(RIGHT(ROUND(D10*Q11*D11/36000,0)))&lt;=5,ROUND(D10*Q11*D11/36000,0)-VALUE(RIGHT(ROUND(D10*Q11*D11/36000,0))),ROUND(D10*Q11*D11/36000,0)+10-VALUE(RIGHT(ROUND(D10*Q11*D11/36000,0)))),0)</f>
        <v>150</v>
      </c>
      <c r="Y25" s="134">
        <f t="shared" ref="Y25:Y56" si="2">IF(M25&lt;=(D$15+1),D$10,Y24-I24)</f>
        <v>7000</v>
      </c>
      <c r="Z25" s="134">
        <f ca="1">Y25*Q11*D11/36000</f>
        <v>152.25</v>
      </c>
      <c r="AA25" s="134">
        <f ca="1">Z25</f>
        <v>152.25</v>
      </c>
      <c r="AB25" s="134">
        <f ca="1">R25*Q11</f>
        <v>189000</v>
      </c>
      <c r="AC25" s="134">
        <f t="shared" ref="AC25:AC56" ca="1" si="3">IF(AJ25&lt;&gt;0,IF(VALUE(RIGHT(ROUND(AJ25,0)))&lt;=5,ROUND(AJ25,0)-VALUE(RIGHT(ROUND(AJ25,0))),ROUND(AJ25,0)+10-VALUE(RIGHT(ROUND(AJ25,0)))),0)</f>
        <v>0</v>
      </c>
      <c r="AD25" s="134">
        <f t="shared" ref="AD25:AD56" ca="1" si="4">IF(AK25&lt;&gt;0,IF(VALUE(RIGHT(ROUND(AK25,0)))&lt;=5,ROUND(AK25,0)-VALUE(RIGHT(ROUND(AK25,0))),ROUND(AK25,0)+10-VALUE(RIGHT(ROUND(AK25,0)))),0)</f>
        <v>0</v>
      </c>
      <c r="AE25" s="134">
        <f ca="1">AI25*Q11*G12/36000</f>
        <v>0</v>
      </c>
      <c r="AF25" s="134">
        <f t="shared" ref="AF25:AF56" ca="1" si="5">IF(AE25&lt;&gt;0,IF(VALUE(RIGHT(ROUND(AE25,0)))&lt;=5,ROUND(AE25,0)-VALUE(RIGHT(ROUND(AE25,0))),ROUND(AE25,0)+10-VALUE(RIGHT(ROUND(AE25,0)))),0)</f>
        <v>0</v>
      </c>
      <c r="AG25" s="134">
        <f ca="1">Y25*Q11*G12/36000</f>
        <v>0</v>
      </c>
      <c r="AH25" s="134">
        <f t="shared" ref="AH25:AH56" ca="1" si="6">IF(AG25&lt;&gt;0,IF(VALUE(RIGHT(ROUND(AG25,0)))&lt;=5,ROUND(AG25,0)-VALUE(RIGHT(ROUND(AG25,0))),ROUND(AG25,0)+10-VALUE(RIGHT(ROUND(AG25,0)))),0)</f>
        <v>0</v>
      </c>
      <c r="AI25" s="134">
        <f t="shared" ref="AI25:AI56" si="7">R25</f>
        <v>7000</v>
      </c>
      <c r="AJ25" s="134">
        <f ca="1">AI25*Q11*G12/36000</f>
        <v>0</v>
      </c>
      <c r="AK25" s="134">
        <f ca="1">AI25*Q11*G12/36000</f>
        <v>0</v>
      </c>
      <c r="AL25" s="132">
        <f ca="1">IF(N25=0,0,MONTH(D16)+1)</f>
        <v>2</v>
      </c>
      <c r="AM25" s="132">
        <f t="shared" ref="AM25:AM56" ca="1" si="8">IF(AL25=13,1,AL25)</f>
        <v>2</v>
      </c>
      <c r="AN25" s="2">
        <f ca="1">IF(N25=0,0,YEAR(D16))</f>
        <v>2024</v>
      </c>
      <c r="AO25" s="2">
        <f t="shared" ref="AO25:AO56" ca="1" si="9">IF(AM25=1,AN25+1,AN25)</f>
        <v>2024</v>
      </c>
      <c r="AP25" s="2">
        <f t="shared" ref="AP25:AP56" ca="1" si="10">IF((AN25/2012)=1,1,IF((AN25/2016)=1,1,IF((AN25/2020)=1,1,IF((AN25/2024)=1,1,IF((AN25/2028)=1,1,IF((AN25/2032)=1,1,0))))))</f>
        <v>1</v>
      </c>
      <c r="AQ25" s="2">
        <f t="shared" ref="AQ25:AQ56" ca="1" si="11">IF(AM25=2,IF(AP25=1,29,28),30)</f>
        <v>29</v>
      </c>
      <c r="AR25" s="2">
        <f t="shared" ref="AR25:AR56" si="12">IF(C$24=30,AQ25,20)</f>
        <v>20</v>
      </c>
      <c r="AS25" s="2"/>
      <c r="AT25" s="2"/>
      <c r="AU25" s="2">
        <f ca="1">ROUND(IF(N25=0,0,IF(F10="USD",ROUND(D10/M14,2),IF(F10="бел. рублей",D10/M14," "))),2)</f>
        <v>145.83000000000001</v>
      </c>
      <c r="AV25" s="132" t="str">
        <f ca="1">RIGHT(AU25)</f>
        <v>3</v>
      </c>
      <c r="AW25" s="2">
        <f ca="1">VALUE(AV25)</f>
        <v>3</v>
      </c>
      <c r="AX25" s="2">
        <f ca="1">10-AW25</f>
        <v>7</v>
      </c>
      <c r="AY25" s="2">
        <f t="shared" ref="AY25:AY56" ca="1" si="13">IF(D$15=0,0,IF(N25=1,1,0))</f>
        <v>1</v>
      </c>
      <c r="AZ25" s="2"/>
      <c r="BA25" s="2"/>
      <c r="BB25" s="2"/>
      <c r="BC25" s="2"/>
      <c r="BD25" s="2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4">A25+1</f>
        <v>2</v>
      </c>
      <c r="B26" s="268">
        <f t="shared" ref="B26:B57" ca="1" si="15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269">
        <f ca="1">IF(N26=0,IF(N25=1,D25," "),IF(N26=0,0,IF(N27=1,D25,IF(N27=0,D10-D25*(M14-1)," "))))</f>
        <v>145.83000000000001</v>
      </c>
      <c r="E26" s="269"/>
      <c r="F26" s="87">
        <f ca="1">IF(N26=0,IF(N25=1,F25," "),IF(M1=1,P26,IF(M1=2,Q26," ")))</f>
        <v>167.99192499999998</v>
      </c>
      <c r="G26" s="87">
        <v>0</v>
      </c>
      <c r="H26" s="87">
        <f t="shared" ref="H26:H57" ca="1" si="16">IF(SUM(D26:G26)=0," ",SUM(D26:G26))</f>
        <v>313.82192499999996</v>
      </c>
      <c r="I26" s="87">
        <f t="shared" ref="I26:I57" ca="1" si="17">IF(N26=1,IF(N27=1,IF(M26&lt;=D$15,T26,AV$26),D$10-AV$26*M$16+AV$26),0)</f>
        <v>148.93617021276594</v>
      </c>
      <c r="J26" s="87">
        <f t="shared" ca="1" si="0"/>
        <v>169.16666666666666</v>
      </c>
      <c r="K26" s="87">
        <v>0</v>
      </c>
      <c r="L26" s="87">
        <f t="shared" ref="L26:L57" ca="1" si="18">IF(SUM(I26:K26)=0," ",SUM(I26:K26))</f>
        <v>318.10283687943263</v>
      </c>
      <c r="M26" s="2">
        <f t="shared" ref="M26:M48" si="19">M25+1</f>
        <v>2</v>
      </c>
      <c r="N26" s="2">
        <f ca="1">IF(M1=1,IF(M14&gt;1,1,0),IF(M1=2,IF(M14&gt;1,1,0),0))</f>
        <v>1</v>
      </c>
      <c r="O26" s="2">
        <f t="shared" ca="1" si="1"/>
        <v>20</v>
      </c>
      <c r="P26" s="134">
        <f t="shared" ref="P26:P85" ca="1" si="20">U26</f>
        <v>167.99192499999998</v>
      </c>
      <c r="Q26" s="134">
        <f t="shared" ref="Q26:Q85" ca="1" si="21">V26</f>
        <v>167.99192499999998</v>
      </c>
      <c r="R26" s="134">
        <f t="shared" ref="R26:R57" ca="1" si="22">IF(N26=0,0,R25-D25)</f>
        <v>6854.17</v>
      </c>
      <c r="S26" s="134">
        <f t="shared" ref="S26:S57" si="23">IF(M26&lt;=D$15,D$10/(D$14-M25),D26)</f>
        <v>148.93617021276594</v>
      </c>
      <c r="T26" s="134">
        <f>S26</f>
        <v>148.93617021276594</v>
      </c>
      <c r="U26" s="134">
        <f ca="1">IF(N27=1,R25*D11*20/36000+R26*D11*10/36000,IF(N27=0,IF(N26=0,0,R26*D11*Q12/36000+R25*D11*20/36000+R26*D11*10/36000)))</f>
        <v>167.99192499999998</v>
      </c>
      <c r="V26" s="134">
        <f ca="1">IF(N27=1,R25*D11*20/36000+R26*D11*10/36000,IF(N27=0,IF(N26=0,0,R26*D11*Q12/36000+R25*D11*20/36000+R26*D11*10/36000)))</f>
        <v>167.99192499999998</v>
      </c>
      <c r="W26" s="134">
        <f t="shared" ref="W26:W57" ca="1" si="24">IF(N27=1,$D$10*$D$11*20/36000+$D$10*$D$11*10/36000,IF(N27=0,IF(N26=0,0,$D$10*$D$11*$Q$12/36000+$D$10*$D$11*20/36000+$D$10*$D$11*10/36000)))</f>
        <v>169.16666666666666</v>
      </c>
      <c r="X26" s="134">
        <f t="shared" ref="X26:X57" ca="1" si="25">IF(W26&lt;&gt;0,IF(VALUE(RIGHT(ROUND(W26,0)))&lt;=5,ROUND(W26,0)-VALUE(RIGHT(ROUND(W26,0))),ROUND(W26,0)+10-VALUE(RIGHT(ROUND(W26,0)))),0)</f>
        <v>170</v>
      </c>
      <c r="Y26" s="134">
        <f t="shared" si="2"/>
        <v>7000</v>
      </c>
      <c r="Z26" s="134">
        <f ca="1">IF(N27=1,Y25*D$11*20/36000+Y26*D$11*10/36000,IF(N27=0,IF(N26=0,0,Y26*D$11*Q$12/36000+Y25*D$11*20/36000+Y26*D$11*10/36000)))</f>
        <v>169.16666666666666</v>
      </c>
      <c r="AA26" s="134">
        <f t="shared" ref="AA26:AA85" ca="1" si="26">Z26</f>
        <v>169.16666666666666</v>
      </c>
      <c r="AB26" s="134">
        <f ca="1">IF(R27=0,R26*Q12,(R25*20+R26*10))</f>
        <v>208541.7</v>
      </c>
      <c r="AC26" s="134">
        <f t="shared" ca="1" si="3"/>
        <v>0</v>
      </c>
      <c r="AD26" s="134">
        <f t="shared" ca="1" si="4"/>
        <v>0</v>
      </c>
      <c r="AE26" s="134">
        <f t="shared" ref="AE26:AE57" ca="1" si="27">IF(N27=1,D$10*G$12*20/36000+D$10*G$12*10/36000,IF(N27=0,IF(N26=0,0,D$10*G$12*Q$12/36000+D$10*G$12*20/36000+D$10*G$12*10/36000)))</f>
        <v>0</v>
      </c>
      <c r="AF26" s="134">
        <f t="shared" ca="1" si="5"/>
        <v>0</v>
      </c>
      <c r="AG26" s="134">
        <f t="shared" ref="AG26:AG57" ca="1" si="28">IF(N27=1,Y25*G$12*20/36000+Y26*G$12*10/36000,IF(N27=0,IF(N26=0,0,Y26*G$12*Q$12/36000+Y25*G$12*20/36000+Y26*G$12*10/36000)))</f>
        <v>0</v>
      </c>
      <c r="AH26" s="134">
        <f t="shared" ca="1" si="6"/>
        <v>0</v>
      </c>
      <c r="AI26" s="134">
        <f t="shared" ca="1" si="7"/>
        <v>6854.17</v>
      </c>
      <c r="AJ26" s="134">
        <f ca="1">IF(N27=1,AI25*G12*20/36000+AI26*G12*10/36000,IF(N27=0,IF(N26=0,0,AI26*G12*Q12/36000+AI25*G12*20/36000+AI26*G12*10/36000)))</f>
        <v>0</v>
      </c>
      <c r="AK26" s="134">
        <f ca="1">IF(N27=1,AI25*G12*20/36000+AI26*G12*10/36000,IF(N27=0,IF(N26=0,0,AI26*G12*Q12/36000+AI25*G12*20/36000+AI26*G12*10/36000)))</f>
        <v>0</v>
      </c>
      <c r="AL26" s="132">
        <f t="shared" ref="AL26:AL57" ca="1" si="29">IF(N26=0,0,MONTH(B25)+1)</f>
        <v>3</v>
      </c>
      <c r="AM26" s="132">
        <f t="shared" ca="1" si="8"/>
        <v>3</v>
      </c>
      <c r="AN26" s="2">
        <f t="shared" ref="AN26:AN57" ca="1" si="30">IF(N26=0,0,YEAR(B25))</f>
        <v>2024</v>
      </c>
      <c r="AO26" s="2">
        <f t="shared" ca="1" si="9"/>
        <v>2024</v>
      </c>
      <c r="AP26" s="2">
        <f t="shared" ca="1" si="10"/>
        <v>1</v>
      </c>
      <c r="AQ26" s="2">
        <f t="shared" ca="1" si="11"/>
        <v>30</v>
      </c>
      <c r="AR26" s="2">
        <f t="shared" si="12"/>
        <v>20</v>
      </c>
      <c r="AS26" s="2">
        <f t="shared" ref="AS26:AS57" ca="1" si="31">AQ25</f>
        <v>29</v>
      </c>
      <c r="AT26" s="2"/>
      <c r="AU26" s="2">
        <f ca="1">D$10/(A$14-D$15)</f>
        <v>194.44444444444446</v>
      </c>
      <c r="AV26" s="134">
        <f ca="1">ROUNDUP(AU26,2)</f>
        <v>194.45</v>
      </c>
      <c r="AW26" s="2"/>
      <c r="AX26" s="2"/>
      <c r="AY26" s="2">
        <f t="shared" ca="1" si="13"/>
        <v>1</v>
      </c>
      <c r="AZ26" s="2"/>
      <c r="BA26" s="2"/>
      <c r="BB26" s="2"/>
      <c r="BC26" s="2"/>
      <c r="BD26" s="2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4"/>
        <v>3</v>
      </c>
      <c r="B27" s="268">
        <f t="shared" ca="1" si="15"/>
        <v>45402</v>
      </c>
      <c r="C27" s="401"/>
      <c r="D27" s="269">
        <f ca="1">IF(N27=0,IF(N26=1,D25+D26," "),IF(N27=0,0,IF(N28=1,D25,IF(N28=0,D10-D25*(M14-1)," "))))</f>
        <v>145.83000000000001</v>
      </c>
      <c r="E27" s="269"/>
      <c r="F27" s="87">
        <f ca="1">IF(N27=0,IF(N26=1,F25+F26," "),IF(M1=1,P27,IF(M1=2,Q27," ")))</f>
        <v>164.46769999999998</v>
      </c>
      <c r="G27" s="87">
        <v>0</v>
      </c>
      <c r="H27" s="87">
        <f t="shared" ca="1" si="16"/>
        <v>310.29769999999996</v>
      </c>
      <c r="I27" s="87">
        <f t="shared" ca="1" si="17"/>
        <v>152.17391304347825</v>
      </c>
      <c r="J27" s="87">
        <f t="shared" ca="1" si="0"/>
        <v>169.16666666666666</v>
      </c>
      <c r="K27" s="87">
        <v>0</v>
      </c>
      <c r="L27" s="87">
        <f t="shared" ca="1" si="18"/>
        <v>321.34057971014488</v>
      </c>
      <c r="M27" s="2">
        <f t="shared" si="19"/>
        <v>3</v>
      </c>
      <c r="N27" s="2">
        <f ca="1">IF(M1=1,IF(M14&gt;2,1,0),IF(M1=2,IF(M14&gt;2,1,0),0))</f>
        <v>1</v>
      </c>
      <c r="O27" s="2">
        <f t="shared" ca="1" si="1"/>
        <v>20</v>
      </c>
      <c r="P27" s="134">
        <f t="shared" ca="1" si="20"/>
        <v>164.46769999999998</v>
      </c>
      <c r="Q27" s="134">
        <f t="shared" ca="1" si="21"/>
        <v>164.46769999999998</v>
      </c>
      <c r="R27" s="134">
        <f t="shared" ca="1" si="22"/>
        <v>6708.34</v>
      </c>
      <c r="S27" s="134">
        <f t="shared" si="23"/>
        <v>152.17391304347825</v>
      </c>
      <c r="T27" s="134">
        <f t="shared" ref="T27:T85" si="32">S27</f>
        <v>152.17391304347825</v>
      </c>
      <c r="U27" s="134">
        <f ca="1">IF(N28=1,R26*D11*20/36000+R27*D11*10/36000,IF(N28=0,IF(N27=0,0,R27*D11*Q12/36000+R26*D11*20/36000+R27*D11*10/36000)))</f>
        <v>164.46769999999998</v>
      </c>
      <c r="V27" s="134">
        <f ca="1">IF(N28=1,R26*D11*20/36000+R27*D11*10/36000,IF(N28=0,IF(N27=0,0,R27*D11*Q12/36000+R26*D11*20/36000+R27*D11*10/36000)))</f>
        <v>164.46769999999998</v>
      </c>
      <c r="W27" s="134">
        <f t="shared" ca="1" si="24"/>
        <v>169.16666666666666</v>
      </c>
      <c r="X27" s="134">
        <f t="shared" ca="1" si="25"/>
        <v>170</v>
      </c>
      <c r="Y27" s="134">
        <f t="shared" si="2"/>
        <v>7000</v>
      </c>
      <c r="Z27" s="134">
        <f ca="1">IF(N28=1,Y26*D$11*20/36000+Y27*D$11*10/36000,IF(N28=0,IF(N27=0,0,Y27*D$11*Q$12/36000+Y26*D$11*20/36000+Y27*D$11*10/36000)))</f>
        <v>169.16666666666666</v>
      </c>
      <c r="AA27" s="134">
        <f t="shared" ca="1" si="26"/>
        <v>169.16666666666666</v>
      </c>
      <c r="AB27" s="134">
        <f ca="1">IF(R28=0,R27*Q12,(R26*20+R27*10))</f>
        <v>204166.8</v>
      </c>
      <c r="AC27" s="134">
        <f t="shared" ca="1" si="3"/>
        <v>0</v>
      </c>
      <c r="AD27" s="134">
        <f t="shared" ca="1" si="4"/>
        <v>0</v>
      </c>
      <c r="AE27" s="134">
        <f t="shared" ca="1" si="27"/>
        <v>0</v>
      </c>
      <c r="AF27" s="134">
        <f t="shared" ca="1" si="5"/>
        <v>0</v>
      </c>
      <c r="AG27" s="134">
        <f t="shared" ca="1" si="28"/>
        <v>0</v>
      </c>
      <c r="AH27" s="134">
        <f t="shared" ca="1" si="6"/>
        <v>0</v>
      </c>
      <c r="AI27" s="134">
        <f t="shared" ca="1" si="7"/>
        <v>6708.34</v>
      </c>
      <c r="AJ27" s="134">
        <f ca="1">IF(N28=1,AI26*G12*20/36000+AI27*G12*10/36000,IF(N28=0,IF(N27=0,0,AI27*G12*Q12/36000+AI26*G12*20/36000+AI27*G12*10/36000)))</f>
        <v>0</v>
      </c>
      <c r="AK27" s="134">
        <f ca="1">IF(N28=1,AI26*G12*20/36000+AI27*G12*10/36000,IF(N28=0,IF(N27=0,0,AI27*G12*Q12/36000+AI26*G12*20/36000+AI27*G12*10/36000)))</f>
        <v>0</v>
      </c>
      <c r="AL27" s="132">
        <f t="shared" ca="1" si="29"/>
        <v>4</v>
      </c>
      <c r="AM27" s="132">
        <f t="shared" ca="1" si="8"/>
        <v>4</v>
      </c>
      <c r="AN27" s="2">
        <f t="shared" ca="1" si="30"/>
        <v>2024</v>
      </c>
      <c r="AO27" s="2">
        <f t="shared" ca="1" si="9"/>
        <v>2024</v>
      </c>
      <c r="AP27" s="2">
        <f t="shared" ca="1" si="10"/>
        <v>1</v>
      </c>
      <c r="AQ27" s="2">
        <f t="shared" ca="1" si="11"/>
        <v>30</v>
      </c>
      <c r="AR27" s="2">
        <f t="shared" si="12"/>
        <v>20</v>
      </c>
      <c r="AS27" s="2">
        <f t="shared" ca="1" si="31"/>
        <v>30</v>
      </c>
      <c r="AT27" s="2"/>
      <c r="AU27" s="2"/>
      <c r="AV27" s="2"/>
      <c r="AW27" s="2"/>
      <c r="AX27" s="2"/>
      <c r="AY27" s="2">
        <f t="shared" ca="1" si="13"/>
        <v>1</v>
      </c>
      <c r="AZ27" s="2"/>
      <c r="BA27" s="2"/>
      <c r="BB27" s="2"/>
      <c r="BC27" s="2"/>
      <c r="BD27" s="2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4"/>
        <v>4</v>
      </c>
      <c r="B28" s="268">
        <f ca="1">IF(N28=0,IF(N27=1,"ИТОГО"," "),IF(A$14=D$14+1,IF(M28=A$14,IF(MONTH(B27)=2,IF(DAY(D$16)&gt;29,DATE(YEAR(B27),MONTH(B27),AS28),DATE(YEAR(B27),MONTH(B27),O28)),DATE(YEAR(B27),MONTH(B27),O28)),DATE(YEAR(B27),MONTH(B27)+1,O28)),DATE(YEAR(B27),MONTH(B27)+1,O28)))</f>
        <v>45432</v>
      </c>
      <c r="C28" s="401"/>
      <c r="D28" s="269">
        <f ca="1">IF(N28=0,IF(N27=1,D25+D26+D27," "),IF(N28=0,0,IF(N29=1,D25,IF(N29=0,D10-D25*(M14-1)," "))))</f>
        <v>145.83000000000001</v>
      </c>
      <c r="E28" s="269"/>
      <c r="F28" s="87">
        <f ca="1">IF(N28=0,IF(N27=1,F25+F26+F27," "),IF(M1=1,P28,IF(M1=2,Q28," ")))</f>
        <v>160.94347500000001</v>
      </c>
      <c r="G28" s="87">
        <v>0</v>
      </c>
      <c r="H28" s="87">
        <f t="shared" ca="1" si="16"/>
        <v>306.77347500000002</v>
      </c>
      <c r="I28" s="87">
        <f t="shared" ca="1" si="17"/>
        <v>155.55555555555554</v>
      </c>
      <c r="J28" s="87">
        <f t="shared" ca="1" si="0"/>
        <v>169.16666666666666</v>
      </c>
      <c r="K28" s="87">
        <v>0</v>
      </c>
      <c r="L28" s="87">
        <f t="shared" ca="1" si="18"/>
        <v>324.72222222222217</v>
      </c>
      <c r="M28" s="2">
        <f t="shared" si="19"/>
        <v>4</v>
      </c>
      <c r="N28" s="2">
        <f ca="1">IF(M1=1,IF(M14&gt;3,1,0),IF(M1=2,IF(M14&gt;3,1,0),0))</f>
        <v>1</v>
      </c>
      <c r="O28" s="2">
        <f t="shared" ca="1" si="1"/>
        <v>20</v>
      </c>
      <c r="P28" s="134">
        <f t="shared" ca="1" si="20"/>
        <v>160.94347500000001</v>
      </c>
      <c r="Q28" s="134">
        <f t="shared" ca="1" si="21"/>
        <v>160.94347500000001</v>
      </c>
      <c r="R28" s="134">
        <f t="shared" ca="1" si="22"/>
        <v>6562.51</v>
      </c>
      <c r="S28" s="134">
        <f t="shared" si="23"/>
        <v>155.55555555555554</v>
      </c>
      <c r="T28" s="134">
        <f t="shared" si="32"/>
        <v>155.55555555555554</v>
      </c>
      <c r="U28" s="134">
        <f ca="1">IF(N29=1,R27*D11*20/36000+R28*D11*10/36000,IF(N29=0,IF(N28=0,0,R28*D11*Q12/36000+R27*D11*20/36000+R28*D11*10/36000)))</f>
        <v>160.94347500000001</v>
      </c>
      <c r="V28" s="134">
        <f ca="1">IF(N29=1,R27*D11*20/36000+R28*D11*10/36000,IF(N29=0,IF(N28=0,0,R28*D11*Q12/36000+R27*D11*20/36000+R28*D11*10/36000)))</f>
        <v>160.94347500000001</v>
      </c>
      <c r="W28" s="134">
        <f t="shared" ca="1" si="24"/>
        <v>169.16666666666666</v>
      </c>
      <c r="X28" s="134">
        <f t="shared" ca="1" si="25"/>
        <v>170</v>
      </c>
      <c r="Y28" s="134">
        <f t="shared" si="2"/>
        <v>7000</v>
      </c>
      <c r="Z28" s="134">
        <f ca="1">IF(N29=1,Y27*D$11*20/36000+Y28*D$11*10/36000,IF(N29=0,IF(N28=0,0,Y28*D$11*Q$12/36000+Y27*D$11*20/36000+Y28*D$11*10/36000)))</f>
        <v>169.16666666666666</v>
      </c>
      <c r="AA28" s="134">
        <f t="shared" ca="1" si="26"/>
        <v>169.16666666666666</v>
      </c>
      <c r="AB28" s="134">
        <f ca="1">IF(R29=0,R28*Q12,(R27*20+R28*10))</f>
        <v>199791.9</v>
      </c>
      <c r="AC28" s="134">
        <f t="shared" ca="1" si="3"/>
        <v>0</v>
      </c>
      <c r="AD28" s="134">
        <f t="shared" ca="1" si="4"/>
        <v>0</v>
      </c>
      <c r="AE28" s="134">
        <f t="shared" ca="1" si="27"/>
        <v>0</v>
      </c>
      <c r="AF28" s="134">
        <f t="shared" ca="1" si="5"/>
        <v>0</v>
      </c>
      <c r="AG28" s="134">
        <f t="shared" ca="1" si="28"/>
        <v>0</v>
      </c>
      <c r="AH28" s="134">
        <f t="shared" ca="1" si="6"/>
        <v>0</v>
      </c>
      <c r="AI28" s="134">
        <f t="shared" ca="1" si="7"/>
        <v>6562.51</v>
      </c>
      <c r="AJ28" s="134">
        <f ca="1">IF(N29=1,AI27*G12*20/36000+AI28*G12*10/36000,IF(N29=0,IF(N28=0,0,AI28*G12*Q12/36000+AI27*G12*20/36000+AI28*G12*10/36000)))</f>
        <v>0</v>
      </c>
      <c r="AK28" s="134">
        <f ca="1">IF(N29=1,AI27*G12*20/36000+AI28*G12*10/36000,IF(N29=0,IF(N28=0,0,AI28*G12*Q12/36000+AI27*G12*20/36000+AI28*G12*10/36000)))</f>
        <v>0</v>
      </c>
      <c r="AL28" s="132">
        <f t="shared" ca="1" si="29"/>
        <v>5</v>
      </c>
      <c r="AM28" s="132">
        <f t="shared" ca="1" si="8"/>
        <v>5</v>
      </c>
      <c r="AN28" s="2">
        <f t="shared" ca="1" si="30"/>
        <v>2024</v>
      </c>
      <c r="AO28" s="2">
        <f t="shared" ca="1" si="9"/>
        <v>2024</v>
      </c>
      <c r="AP28" s="2">
        <f t="shared" ca="1" si="10"/>
        <v>1</v>
      </c>
      <c r="AQ28" s="2">
        <f t="shared" ca="1" si="11"/>
        <v>30</v>
      </c>
      <c r="AR28" s="2">
        <f t="shared" si="12"/>
        <v>20</v>
      </c>
      <c r="AS28" s="2">
        <f t="shared" ca="1" si="31"/>
        <v>30</v>
      </c>
      <c r="AT28" s="2"/>
      <c r="AU28" s="2"/>
      <c r="AV28" s="2"/>
      <c r="AW28" s="2"/>
      <c r="AX28" s="2"/>
      <c r="AY28" s="2">
        <f t="shared" ca="1" si="13"/>
        <v>1</v>
      </c>
      <c r="AZ28" s="2"/>
      <c r="BA28" s="2"/>
      <c r="BB28" s="2"/>
      <c r="BC28" s="2"/>
      <c r="BD28" s="2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4"/>
        <v>5</v>
      </c>
      <c r="B29" s="268">
        <f t="shared" ca="1" si="15"/>
        <v>45463</v>
      </c>
      <c r="C29" s="401"/>
      <c r="D29" s="269">
        <f ca="1">IF(N29=0,IF(N28=1,D25+D26+D27+D28," "),IF(N29=0,0,IF(N30=1,D25,IF(N30=0,D10-D25*(M14-1)," "))))</f>
        <v>145.83000000000001</v>
      </c>
      <c r="E29" s="269"/>
      <c r="F29" s="87">
        <f ca="1">IF(N29=0,IF(N28=1,F25+F26+F27+F28," "),IF(M1=1,P29,IF(M1=2,Q29," ")))</f>
        <v>157.41925000000001</v>
      </c>
      <c r="G29" s="87">
        <v>0</v>
      </c>
      <c r="H29" s="87">
        <f t="shared" ca="1" si="16"/>
        <v>303.24925000000002</v>
      </c>
      <c r="I29" s="87">
        <f t="shared" ca="1" si="17"/>
        <v>159.09090909090909</v>
      </c>
      <c r="J29" s="87">
        <f t="shared" ca="1" si="0"/>
        <v>169.16666666666666</v>
      </c>
      <c r="K29" s="87">
        <v>0</v>
      </c>
      <c r="L29" s="87">
        <f t="shared" ca="1" si="18"/>
        <v>328.25757575757575</v>
      </c>
      <c r="M29" s="2">
        <f t="shared" si="19"/>
        <v>5</v>
      </c>
      <c r="N29" s="2">
        <f ca="1">IF(M1=1,IF(M14&gt;4,1,0),IF(M1=2,IF(M14&gt;4,1,0),0))</f>
        <v>1</v>
      </c>
      <c r="O29" s="2">
        <f t="shared" ca="1" si="1"/>
        <v>20</v>
      </c>
      <c r="P29" s="134">
        <f t="shared" ca="1" si="20"/>
        <v>157.41925000000001</v>
      </c>
      <c r="Q29" s="134">
        <f t="shared" ca="1" si="21"/>
        <v>157.41925000000001</v>
      </c>
      <c r="R29" s="134">
        <f t="shared" ca="1" si="22"/>
        <v>6416.68</v>
      </c>
      <c r="S29" s="134">
        <f t="shared" si="23"/>
        <v>159.09090909090909</v>
      </c>
      <c r="T29" s="134">
        <f t="shared" si="32"/>
        <v>159.09090909090909</v>
      </c>
      <c r="U29" s="134">
        <f ca="1">IF(N30=1,R28*D11*20/36000+R29*D11*10/36000,IF(N30=0,IF(N29=0,0,R29*D11*Q12/36000+R28*D11*20/36000+R29*D11*10/36000)))</f>
        <v>157.41925000000001</v>
      </c>
      <c r="V29" s="134">
        <f ca="1">IF(N30=1,R28*D11*20/36000+R29*D11*10/36000,IF(N30=0,IF(N29=0,0,R29*D11*Q12/36000+R28*D11*20/36000+R29*D11*10/36000)))</f>
        <v>157.41925000000001</v>
      </c>
      <c r="W29" s="134">
        <f t="shared" ca="1" si="24"/>
        <v>169.16666666666666</v>
      </c>
      <c r="X29" s="134">
        <f t="shared" ca="1" si="25"/>
        <v>170</v>
      </c>
      <c r="Y29" s="134">
        <f t="shared" si="2"/>
        <v>7000</v>
      </c>
      <c r="Z29" s="134">
        <f ca="1">IF(N30=1,Y28*D$11*20/36000+Y29*D$11*10/36000,IF(N30=0,IF(N29=0,0,Y29*D$11*Q$12/36000+Y28*D$11*20/36000+Y29*D$11*10/36000)))</f>
        <v>169.16666666666666</v>
      </c>
      <c r="AA29" s="134">
        <f t="shared" ca="1" si="26"/>
        <v>169.16666666666666</v>
      </c>
      <c r="AB29" s="134">
        <f ca="1">IF(R30=0,R29*Q12,(R28*20+R29*10))</f>
        <v>195417</v>
      </c>
      <c r="AC29" s="134">
        <f t="shared" ca="1" si="3"/>
        <v>0</v>
      </c>
      <c r="AD29" s="134">
        <f t="shared" ca="1" si="4"/>
        <v>0</v>
      </c>
      <c r="AE29" s="134">
        <f t="shared" ca="1" si="27"/>
        <v>0</v>
      </c>
      <c r="AF29" s="134">
        <f t="shared" ca="1" si="5"/>
        <v>0</v>
      </c>
      <c r="AG29" s="134">
        <f t="shared" ca="1" si="28"/>
        <v>0</v>
      </c>
      <c r="AH29" s="134">
        <f t="shared" ca="1" si="6"/>
        <v>0</v>
      </c>
      <c r="AI29" s="134">
        <f t="shared" ca="1" si="7"/>
        <v>6416.68</v>
      </c>
      <c r="AJ29" s="134">
        <f ca="1">IF(N30=1,AI28*G12*20/36000+AI29*G12*10/36000,IF(N30=0,IF(N29=0,0,AI29*G12*Q12/36000+AI28*G12*20/36000+AI29*G12*10/36000)))</f>
        <v>0</v>
      </c>
      <c r="AK29" s="134">
        <f ca="1">IF(N30=1,AI28*G12*20/36000+AI29*G12*10/36000,IF(N30=0,IF(N29=0,0,AI29*G12*Q12/36000+AI28*G12*20/36000+AI29*G12*10/36000)))</f>
        <v>0</v>
      </c>
      <c r="AL29" s="132">
        <f t="shared" ca="1" si="29"/>
        <v>6</v>
      </c>
      <c r="AM29" s="132">
        <f t="shared" ca="1" si="8"/>
        <v>6</v>
      </c>
      <c r="AN29" s="2">
        <f t="shared" ca="1" si="30"/>
        <v>2024</v>
      </c>
      <c r="AO29" s="2">
        <f t="shared" ca="1" si="9"/>
        <v>2024</v>
      </c>
      <c r="AP29" s="2">
        <f t="shared" ca="1" si="10"/>
        <v>1</v>
      </c>
      <c r="AQ29" s="2">
        <f t="shared" ca="1" si="11"/>
        <v>30</v>
      </c>
      <c r="AR29" s="2">
        <f t="shared" si="12"/>
        <v>20</v>
      </c>
      <c r="AS29" s="2">
        <f t="shared" ca="1" si="31"/>
        <v>30</v>
      </c>
      <c r="AT29" s="2"/>
      <c r="AU29" s="2"/>
      <c r="AV29" s="2"/>
      <c r="AW29" s="2"/>
      <c r="AX29" s="2"/>
      <c r="AY29" s="2">
        <f t="shared" ca="1" si="13"/>
        <v>1</v>
      </c>
      <c r="AZ29" s="2"/>
      <c r="BA29" s="2"/>
      <c r="BB29" s="2"/>
      <c r="BC29" s="2"/>
      <c r="BD29" s="2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4"/>
        <v>6</v>
      </c>
      <c r="B30" s="268">
        <f t="shared" ca="1" si="15"/>
        <v>45493</v>
      </c>
      <c r="C30" s="401"/>
      <c r="D30" s="269">
        <f ca="1">IF(N30=0,IF(N29=1,D25+D26+D27+D28+D29," "),IF(N30=0,0,IF(N31=1,D25,IF(N31=0,D10-D25*(M14-1)," "))))</f>
        <v>145.83000000000001</v>
      </c>
      <c r="E30" s="269"/>
      <c r="F30" s="87">
        <f ca="1">IF(N30=0,IF(N29=1,F25+F26+F27+F28+F29," "),IF(M1=1,P30,IF(M1=2,Q30," ")))</f>
        <v>153.895025</v>
      </c>
      <c r="G30" s="87">
        <v>0</v>
      </c>
      <c r="H30" s="87">
        <f t="shared" ca="1" si="16"/>
        <v>299.72502500000002</v>
      </c>
      <c r="I30" s="87">
        <f t="shared" ca="1" si="17"/>
        <v>162.7906976744186</v>
      </c>
      <c r="J30" s="87">
        <f t="shared" ca="1" si="0"/>
        <v>169.16666666666666</v>
      </c>
      <c r="K30" s="87">
        <v>0</v>
      </c>
      <c r="L30" s="87">
        <f t="shared" ca="1" si="18"/>
        <v>331.95736434108528</v>
      </c>
      <c r="M30" s="2">
        <f t="shared" si="19"/>
        <v>6</v>
      </c>
      <c r="N30" s="2">
        <f ca="1">IF(M1=1,IF(M14&gt;5,1,0),IF(M1=2,IF(M14&gt;5,1,0),0))</f>
        <v>1</v>
      </c>
      <c r="O30" s="2">
        <f t="shared" ca="1" si="1"/>
        <v>20</v>
      </c>
      <c r="P30" s="134">
        <f t="shared" ca="1" si="20"/>
        <v>153.895025</v>
      </c>
      <c r="Q30" s="134">
        <f t="shared" ca="1" si="21"/>
        <v>153.895025</v>
      </c>
      <c r="R30" s="134">
        <f t="shared" ca="1" si="22"/>
        <v>6270.85</v>
      </c>
      <c r="S30" s="134">
        <f t="shared" si="23"/>
        <v>162.7906976744186</v>
      </c>
      <c r="T30" s="134">
        <f t="shared" si="32"/>
        <v>162.7906976744186</v>
      </c>
      <c r="U30" s="134">
        <f ca="1">IF(N31=1,R29*D11*20/36000+R30*D11*10/36000,IF(N31=0,IF(N30=0,0,R30*D11*Q12/36000+R29*D11*20/36000+R30*D11*10/36000)))</f>
        <v>153.895025</v>
      </c>
      <c r="V30" s="134">
        <f ca="1">IF(N31=1,R29*D11*20/36000+R30*D11*10/36000,IF(N31=0,IF(N30=0,0,R30*D11*Q12/36000+R29*D11*20/36000+R30*D11*10/36000)))</f>
        <v>153.895025</v>
      </c>
      <c r="W30" s="134">
        <f t="shared" ca="1" si="24"/>
        <v>169.16666666666666</v>
      </c>
      <c r="X30" s="134">
        <f t="shared" ca="1" si="25"/>
        <v>170</v>
      </c>
      <c r="Y30" s="134">
        <f t="shared" si="2"/>
        <v>7000</v>
      </c>
      <c r="Z30" s="134">
        <f ca="1">IF(N31=1,Y29*D$11*20/36000+Y30*D$11*10/36000,IF(N31=0,IF(N30=0,0,Y30*D$11*Q$12/36000+Y29*D$11*20/36000+Y30*D$11*10/36000)))</f>
        <v>169.16666666666666</v>
      </c>
      <c r="AA30" s="134">
        <f t="shared" ca="1" si="26"/>
        <v>169.16666666666666</v>
      </c>
      <c r="AB30" s="134">
        <f ca="1">IF(R31=0,R30*Q12,(R29*20+R30*10))</f>
        <v>191042.1</v>
      </c>
      <c r="AC30" s="134">
        <f t="shared" ca="1" si="3"/>
        <v>0</v>
      </c>
      <c r="AD30" s="134">
        <f t="shared" ca="1" si="4"/>
        <v>0</v>
      </c>
      <c r="AE30" s="134">
        <f t="shared" ca="1" si="27"/>
        <v>0</v>
      </c>
      <c r="AF30" s="134">
        <f t="shared" ca="1" si="5"/>
        <v>0</v>
      </c>
      <c r="AG30" s="134">
        <f t="shared" ca="1" si="28"/>
        <v>0</v>
      </c>
      <c r="AH30" s="134">
        <f t="shared" ca="1" si="6"/>
        <v>0</v>
      </c>
      <c r="AI30" s="134">
        <f t="shared" ca="1" si="7"/>
        <v>6270.85</v>
      </c>
      <c r="AJ30" s="134">
        <f ca="1">IF(N31=1,AI29*G12*20/36000+AI30*G12*10/36000,IF(N31=0,IF(N30=0,0,AI30*G12*Q12/36000+AI29*G12*20/36000+AI30*G12*10/36000)))</f>
        <v>0</v>
      </c>
      <c r="AK30" s="134">
        <f ca="1">IF(N31=1,AI29*G12*20/36000+AI30*G12*10/36000,IF(N31=0,IF(N30=0,0,AI30*G12*Q12/36000+AI29*G12*20/36000+AI30*G12*10/36000)))</f>
        <v>0</v>
      </c>
      <c r="AL30" s="132">
        <f t="shared" ca="1" si="29"/>
        <v>7</v>
      </c>
      <c r="AM30" s="132">
        <f t="shared" ca="1" si="8"/>
        <v>7</v>
      </c>
      <c r="AN30" s="2">
        <f t="shared" ca="1" si="30"/>
        <v>2024</v>
      </c>
      <c r="AO30" s="2">
        <f t="shared" ca="1" si="9"/>
        <v>2024</v>
      </c>
      <c r="AP30" s="2">
        <f t="shared" ca="1" si="10"/>
        <v>1</v>
      </c>
      <c r="AQ30" s="2">
        <f t="shared" ca="1" si="11"/>
        <v>30</v>
      </c>
      <c r="AR30" s="2">
        <f t="shared" si="12"/>
        <v>20</v>
      </c>
      <c r="AS30" s="2">
        <f t="shared" ca="1" si="31"/>
        <v>30</v>
      </c>
      <c r="AT30" s="2"/>
      <c r="AU30" s="2"/>
      <c r="AV30" s="2"/>
      <c r="AW30" s="2"/>
      <c r="AX30" s="2"/>
      <c r="AY30" s="2">
        <f t="shared" ca="1" si="13"/>
        <v>1</v>
      </c>
      <c r="AZ30" s="2"/>
      <c r="BA30" s="2"/>
      <c r="BB30" s="2"/>
      <c r="BC30" s="2"/>
      <c r="BD30" s="2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4"/>
        <v>7</v>
      </c>
      <c r="B31" s="268">
        <f t="shared" ca="1" si="15"/>
        <v>45524</v>
      </c>
      <c r="C31" s="401"/>
      <c r="D31" s="269">
        <f ca="1">IF(N31=0,IF(N30=1,D25+D26+D27+D28+D29+D30," "),IF(N31=0," ",IF(N32=1,D25,IF(N32=0,D10-D25*(M14-1)," "))))</f>
        <v>145.83000000000001</v>
      </c>
      <c r="E31" s="269"/>
      <c r="F31" s="87">
        <f ca="1">IF(N31=0,IF(N30=1,F25+F26+F27+F28+F29+F30," "),IF(M1=1,P31,IF(M1=2,Q31," ")))</f>
        <v>150.37080000000003</v>
      </c>
      <c r="G31" s="87">
        <v>0</v>
      </c>
      <c r="H31" s="87">
        <f t="shared" ca="1" si="16"/>
        <v>296.20080000000007</v>
      </c>
      <c r="I31" s="87">
        <f t="shared" ca="1" si="17"/>
        <v>166.66666666666666</v>
      </c>
      <c r="J31" s="87">
        <f t="shared" ca="1" si="0"/>
        <v>169.16666666666666</v>
      </c>
      <c r="K31" s="87">
        <v>0</v>
      </c>
      <c r="L31" s="87">
        <f t="shared" ca="1" si="18"/>
        <v>335.83333333333331</v>
      </c>
      <c r="M31" s="2">
        <f t="shared" si="19"/>
        <v>7</v>
      </c>
      <c r="N31" s="2">
        <f ca="1">IF(M1=1,IF(M14&gt;6,1,0),IF(M1=2,IF(M14&gt;6,1,0),0))</f>
        <v>1</v>
      </c>
      <c r="O31" s="2">
        <f t="shared" ca="1" si="1"/>
        <v>20</v>
      </c>
      <c r="P31" s="134">
        <f t="shared" ca="1" si="20"/>
        <v>150.37080000000003</v>
      </c>
      <c r="Q31" s="134">
        <f t="shared" ca="1" si="21"/>
        <v>150.37080000000003</v>
      </c>
      <c r="R31" s="134">
        <f t="shared" ca="1" si="22"/>
        <v>6125.02</v>
      </c>
      <c r="S31" s="134">
        <f t="shared" si="23"/>
        <v>166.66666666666666</v>
      </c>
      <c r="T31" s="134">
        <f t="shared" si="32"/>
        <v>166.66666666666666</v>
      </c>
      <c r="U31" s="134">
        <f ca="1">IF(N32=1,R30*D$11*20/36000+R31*D$11*10/36000,IF(N32=0,IF(N31=0,0,IF(D$16&gt;20,R30*D$11*20/36000+R31*D$11*(Q$12-20)/36000,R31*D$11*Q$12/36000))))</f>
        <v>150.37080000000003</v>
      </c>
      <c r="V31" s="134">
        <f ca="1">IF(N32=1,R30*D$11*20/36000+R31*D$11*10/36000,IF(N32=0,IF(N31=0,0,IF(D$16&gt;20,R30*D$11*20/36000+R31*D$11*(Q$12-20)/36000,R31*D$11*Q$12/36000))))</f>
        <v>150.37080000000003</v>
      </c>
      <c r="W31" s="134">
        <f t="shared" ca="1" si="24"/>
        <v>169.16666666666666</v>
      </c>
      <c r="X31" s="134">
        <f t="shared" ca="1" si="25"/>
        <v>170</v>
      </c>
      <c r="Y31" s="134">
        <f t="shared" si="2"/>
        <v>7000</v>
      </c>
      <c r="Z31" s="134">
        <f ca="1">IF(N32=1,Y30*D$11*20/36000+Y31*D$11*10/36000,IF(N32=0,IF(N31=0,0,IF(D$16&gt;20,Y30*D$11*20/36000+Y31*D$11*(Q$12-20)/36000,Y31*D$11*Q$12/36000))))</f>
        <v>169.16666666666666</v>
      </c>
      <c r="AA31" s="134">
        <f t="shared" ca="1" si="26"/>
        <v>169.16666666666666</v>
      </c>
      <c r="AB31" s="134">
        <f ca="1">IF(R32=0,R31*Q12,(R30*20+R31*10))</f>
        <v>186667.2</v>
      </c>
      <c r="AC31" s="134">
        <f t="shared" ca="1" si="3"/>
        <v>0</v>
      </c>
      <c r="AD31" s="134">
        <f t="shared" ca="1" si="4"/>
        <v>0</v>
      </c>
      <c r="AE31" s="134">
        <f t="shared" ca="1" si="27"/>
        <v>0</v>
      </c>
      <c r="AF31" s="134">
        <f t="shared" ca="1" si="5"/>
        <v>0</v>
      </c>
      <c r="AG31" s="134">
        <f t="shared" ca="1" si="28"/>
        <v>0</v>
      </c>
      <c r="AH31" s="134">
        <f t="shared" ca="1" si="6"/>
        <v>0</v>
      </c>
      <c r="AI31" s="134">
        <f t="shared" ca="1" si="7"/>
        <v>6125.02</v>
      </c>
      <c r="AJ31" s="134">
        <f ca="1">IF(N32=1,AI30*G$12*20/36000+AI31*G$12*10/36000,IF(N32=0,IF(N31=0,0,AI31*G$12*Q$12/36000)))</f>
        <v>0</v>
      </c>
      <c r="AK31" s="134">
        <f ca="1">IF(N32=1,AI30*G$12*20/36000+AI31*G$12*10/36000,IF(N32=0,IF(N31=0,0,AI31*G$12*Q$12/36000)))</f>
        <v>0</v>
      </c>
      <c r="AL31" s="132">
        <f t="shared" ca="1" si="29"/>
        <v>8</v>
      </c>
      <c r="AM31" s="132">
        <f t="shared" ca="1" si="8"/>
        <v>8</v>
      </c>
      <c r="AN31" s="2">
        <f t="shared" ca="1" si="30"/>
        <v>2024</v>
      </c>
      <c r="AO31" s="2">
        <f t="shared" ca="1" si="9"/>
        <v>2024</v>
      </c>
      <c r="AP31" s="2">
        <f t="shared" ca="1" si="10"/>
        <v>1</v>
      </c>
      <c r="AQ31" s="2">
        <f t="shared" ca="1" si="11"/>
        <v>30</v>
      </c>
      <c r="AR31" s="2">
        <f t="shared" si="12"/>
        <v>20</v>
      </c>
      <c r="AS31" s="2">
        <f t="shared" ca="1" si="31"/>
        <v>30</v>
      </c>
      <c r="AT31" s="2"/>
      <c r="AU31" s="2"/>
      <c r="AV31" s="2"/>
      <c r="AW31" s="2"/>
      <c r="AX31" s="2"/>
      <c r="AY31" s="2">
        <f t="shared" ca="1" si="13"/>
        <v>1</v>
      </c>
      <c r="AZ31" s="2"/>
      <c r="BA31" s="2"/>
      <c r="BB31" s="2"/>
      <c r="BC31" s="2"/>
      <c r="BD31" s="2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4"/>
        <v>8</v>
      </c>
      <c r="B32" s="268">
        <f t="shared" ca="1" si="15"/>
        <v>45555</v>
      </c>
      <c r="C32" s="401"/>
      <c r="D32" s="269">
        <f ca="1">IF(N32=0,IF(N31=1,D25+D26+D27+D28+D29+D30+D31," "),IF(N32=0," ",IF(N33=1,D25,IF(N33=0,D10-D25*(M14-1)," "))))</f>
        <v>145.83000000000001</v>
      </c>
      <c r="E32" s="269"/>
      <c r="F32" s="87">
        <f ca="1">IF(N32=0,IF(N31=1,F25+F26+F27+F28+F29+F30+F31," "),IF(M1=1,P32,IF(M1=2,Q32," ")))</f>
        <v>146.84657500000003</v>
      </c>
      <c r="G32" s="87">
        <v>0</v>
      </c>
      <c r="H32" s="87">
        <f t="shared" ca="1" si="16"/>
        <v>292.67657500000007</v>
      </c>
      <c r="I32" s="87">
        <f t="shared" ca="1" si="17"/>
        <v>170.73170731707316</v>
      </c>
      <c r="J32" s="87">
        <f t="shared" ca="1" si="0"/>
        <v>169.16666666666666</v>
      </c>
      <c r="K32" s="87">
        <v>0</v>
      </c>
      <c r="L32" s="87">
        <f t="shared" ca="1" si="18"/>
        <v>339.89837398373982</v>
      </c>
      <c r="M32" s="2">
        <f t="shared" si="19"/>
        <v>8</v>
      </c>
      <c r="N32" s="2">
        <f ca="1">IF(M1=1,IF(M14&gt;7,1,0),IF(M1=2,IF(M14&gt;7,1,0),0))</f>
        <v>1</v>
      </c>
      <c r="O32" s="2">
        <f t="shared" ca="1" si="1"/>
        <v>20</v>
      </c>
      <c r="P32" s="134">
        <f t="shared" ca="1" si="20"/>
        <v>146.84657500000003</v>
      </c>
      <c r="Q32" s="134">
        <f t="shared" ca="1" si="21"/>
        <v>146.84657500000003</v>
      </c>
      <c r="R32" s="134">
        <f t="shared" ca="1" si="22"/>
        <v>5979.1900000000005</v>
      </c>
      <c r="S32" s="134">
        <f t="shared" si="23"/>
        <v>170.73170731707316</v>
      </c>
      <c r="T32" s="134">
        <f t="shared" si="32"/>
        <v>170.73170731707316</v>
      </c>
      <c r="U32" s="134">
        <f t="shared" ref="U32:U85" ca="1" si="33">IF(N33=1,R31*D$11*20/36000+R32*D$11*10/36000,IF(N33=0,IF(N32=0,0,IF(D$16&gt;20,R31*D$11*20/36000+R32*D$11*(Q$12-20)/36000,R32*D$11*Q$12/36000))))</f>
        <v>146.84657500000003</v>
      </c>
      <c r="V32" s="134">
        <f t="shared" ref="V32:V85" ca="1" si="34">IF(N33=1,R31*D$11*20/36000+R32*D$11*10/36000,IF(N33=0,IF(N32=0,0,IF(D$16&gt;20,R31*D$11*20/36000+R32*D$11*(Q$12-20)/36000,R32*D$11*Q$12/36000))))</f>
        <v>146.84657500000003</v>
      </c>
      <c r="W32" s="134">
        <f t="shared" ca="1" si="24"/>
        <v>169.16666666666666</v>
      </c>
      <c r="X32" s="134">
        <f t="shared" ca="1" si="25"/>
        <v>170</v>
      </c>
      <c r="Y32" s="134">
        <f t="shared" si="2"/>
        <v>7000</v>
      </c>
      <c r="Z32" s="134">
        <f t="shared" ref="Z32:Z85" ca="1" si="35">IF(N33=1,Y31*D$11*20/36000+Y32*D$11*10/36000,IF(N33=0,IF(N32=0,0,IF(D$16&gt;20,Y31*D$11*20/36000+Y32*D$11*(Q$12-20)/36000,Y32*D$11*Q$12/36000))))</f>
        <v>169.16666666666666</v>
      </c>
      <c r="AA32" s="134">
        <f t="shared" ca="1" si="26"/>
        <v>169.16666666666666</v>
      </c>
      <c r="AB32" s="134">
        <f ca="1">IF(R33=0,R32*Q12,(R31*20+R32*10))</f>
        <v>182292.30000000002</v>
      </c>
      <c r="AC32" s="134">
        <f t="shared" ca="1" si="3"/>
        <v>0</v>
      </c>
      <c r="AD32" s="134">
        <f t="shared" ca="1" si="4"/>
        <v>0</v>
      </c>
      <c r="AE32" s="134">
        <f t="shared" ca="1" si="27"/>
        <v>0</v>
      </c>
      <c r="AF32" s="134">
        <f t="shared" ca="1" si="5"/>
        <v>0</v>
      </c>
      <c r="AG32" s="134">
        <f t="shared" ca="1" si="28"/>
        <v>0</v>
      </c>
      <c r="AH32" s="134">
        <f t="shared" ca="1" si="6"/>
        <v>0</v>
      </c>
      <c r="AI32" s="134">
        <f t="shared" ca="1" si="7"/>
        <v>5979.1900000000005</v>
      </c>
      <c r="AJ32" s="134">
        <f ca="1">IF(N33=1,AI31*G12*20/36000+AI32*G12*10/36000,IF(N33=0,IF(N32=0,0,AI32*G12*Q12/36000+AI31*G12*20/36000+AI32*G12*10/36000)))</f>
        <v>0</v>
      </c>
      <c r="AK32" s="134">
        <f ca="1">IF(N33=1,AI31*G12*20/36000+AI32*G12*10/36000,IF(N33=0,IF(N32=0,0,AI32*G12*Q12/36000+AI31*G12*20/36000+AI32*G12*10/36000)))</f>
        <v>0</v>
      </c>
      <c r="AL32" s="132">
        <f t="shared" ca="1" si="29"/>
        <v>9</v>
      </c>
      <c r="AM32" s="132">
        <f t="shared" ca="1" si="8"/>
        <v>9</v>
      </c>
      <c r="AN32" s="2">
        <f t="shared" ca="1" si="30"/>
        <v>2024</v>
      </c>
      <c r="AO32" s="2">
        <f t="shared" ca="1" si="9"/>
        <v>2024</v>
      </c>
      <c r="AP32" s="2">
        <f t="shared" ca="1" si="10"/>
        <v>1</v>
      </c>
      <c r="AQ32" s="2">
        <f t="shared" ca="1" si="11"/>
        <v>30</v>
      </c>
      <c r="AR32" s="2">
        <f t="shared" si="12"/>
        <v>20</v>
      </c>
      <c r="AS32" s="2">
        <f t="shared" ca="1" si="31"/>
        <v>30</v>
      </c>
      <c r="AT32" s="2"/>
      <c r="AU32" s="2"/>
      <c r="AV32" s="2"/>
      <c r="AW32" s="2"/>
      <c r="AX32" s="2"/>
      <c r="AY32" s="2">
        <f t="shared" ca="1" si="13"/>
        <v>1</v>
      </c>
      <c r="AZ32" s="2"/>
      <c r="BA32" s="2"/>
      <c r="BB32" s="2"/>
      <c r="BC32" s="2"/>
      <c r="BD32" s="2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4"/>
        <v>9</v>
      </c>
      <c r="B33" s="268">
        <f t="shared" ca="1" si="15"/>
        <v>45585</v>
      </c>
      <c r="C33" s="401"/>
      <c r="D33" s="269">
        <f ca="1">IF(N33=0,IF(N32=1,D25+D26+D27+D28+D29+D30+D31+D32," "),IF(N33=0," ",IF(N34=1,D25,IF(N34=0,D10-D25*(M14-1)," "))))</f>
        <v>145.83000000000001</v>
      </c>
      <c r="E33" s="269"/>
      <c r="F33" s="87">
        <f ca="1">IF(N33=0,IF(N32=1,F25+F26+F27+F28+F29+F30+F31+F32," "),IF(M1=1,P33,IF(M1=2,Q33," ")))</f>
        <v>143.32235</v>
      </c>
      <c r="G33" s="87">
        <v>0</v>
      </c>
      <c r="H33" s="87">
        <f t="shared" ca="1" si="16"/>
        <v>289.15235000000001</v>
      </c>
      <c r="I33" s="87">
        <f t="shared" ca="1" si="17"/>
        <v>175</v>
      </c>
      <c r="J33" s="87">
        <f t="shared" ca="1" si="0"/>
        <v>169.16666666666666</v>
      </c>
      <c r="K33" s="87">
        <v>0</v>
      </c>
      <c r="L33" s="87">
        <f t="shared" ca="1" si="18"/>
        <v>344.16666666666663</v>
      </c>
      <c r="M33" s="2">
        <f t="shared" si="19"/>
        <v>9</v>
      </c>
      <c r="N33" s="2">
        <f ca="1">IF(M1=1,IF(M14&gt;8,1,0),IF(M1=2,IF(M14&gt;8,1,0),0))</f>
        <v>1</v>
      </c>
      <c r="O33" s="2">
        <f t="shared" ca="1" si="1"/>
        <v>20</v>
      </c>
      <c r="P33" s="134">
        <f t="shared" ca="1" si="20"/>
        <v>143.32235</v>
      </c>
      <c r="Q33" s="134">
        <f t="shared" ca="1" si="21"/>
        <v>143.32235</v>
      </c>
      <c r="R33" s="134">
        <f t="shared" ca="1" si="22"/>
        <v>5833.3600000000006</v>
      </c>
      <c r="S33" s="134">
        <f t="shared" si="23"/>
        <v>175</v>
      </c>
      <c r="T33" s="134">
        <f t="shared" si="32"/>
        <v>175</v>
      </c>
      <c r="U33" s="134">
        <f t="shared" ca="1" si="33"/>
        <v>143.32235</v>
      </c>
      <c r="V33" s="134">
        <f t="shared" ca="1" si="34"/>
        <v>143.32235</v>
      </c>
      <c r="W33" s="134">
        <f t="shared" ca="1" si="24"/>
        <v>169.16666666666666</v>
      </c>
      <c r="X33" s="134">
        <f t="shared" ca="1" si="25"/>
        <v>170</v>
      </c>
      <c r="Y33" s="134">
        <f t="shared" si="2"/>
        <v>7000</v>
      </c>
      <c r="Z33" s="134">
        <f t="shared" ca="1" si="35"/>
        <v>169.16666666666666</v>
      </c>
      <c r="AA33" s="134">
        <f t="shared" ca="1" si="26"/>
        <v>169.16666666666666</v>
      </c>
      <c r="AB33" s="134">
        <f ca="1">IF(R34=0,R33*Q12,(R32*20+R33*10))</f>
        <v>177917.40000000002</v>
      </c>
      <c r="AC33" s="134">
        <f t="shared" ca="1" si="3"/>
        <v>0</v>
      </c>
      <c r="AD33" s="134">
        <f t="shared" ca="1" si="4"/>
        <v>0</v>
      </c>
      <c r="AE33" s="134">
        <f t="shared" ca="1" si="27"/>
        <v>0</v>
      </c>
      <c r="AF33" s="134">
        <f t="shared" ca="1" si="5"/>
        <v>0</v>
      </c>
      <c r="AG33" s="134">
        <f t="shared" ca="1" si="28"/>
        <v>0</v>
      </c>
      <c r="AH33" s="134">
        <f t="shared" ca="1" si="6"/>
        <v>0</v>
      </c>
      <c r="AI33" s="134">
        <f t="shared" ca="1" si="7"/>
        <v>5833.3600000000006</v>
      </c>
      <c r="AJ33" s="134">
        <f ca="1">IF(N34=1,AI32*G12*20/36000+AI33*G12*10/36000,IF(N34=0,IF(N33=0,0,AI33*G12*Q12/36000+AI32*G12*20/36000+AI33*G12*10/36000)))</f>
        <v>0</v>
      </c>
      <c r="AK33" s="134">
        <f ca="1">IF(N34=1,AI32*G12*20/36000+AI33*G12*10/36000,IF(N34=0,IF(N33=0,0,AI33*G12*Q12/36000+AI32*G12*20/36000+AI33*G12*10/36000)))</f>
        <v>0</v>
      </c>
      <c r="AL33" s="132">
        <f t="shared" ca="1" si="29"/>
        <v>10</v>
      </c>
      <c r="AM33" s="132">
        <f t="shared" ca="1" si="8"/>
        <v>10</v>
      </c>
      <c r="AN33" s="2">
        <f t="shared" ca="1" si="30"/>
        <v>2024</v>
      </c>
      <c r="AO33" s="2">
        <f t="shared" ca="1" si="9"/>
        <v>2024</v>
      </c>
      <c r="AP33" s="2">
        <f t="shared" ca="1" si="10"/>
        <v>1</v>
      </c>
      <c r="AQ33" s="2">
        <f t="shared" ca="1" si="11"/>
        <v>30</v>
      </c>
      <c r="AR33" s="2">
        <f t="shared" si="12"/>
        <v>20</v>
      </c>
      <c r="AS33" s="2">
        <f t="shared" ca="1" si="31"/>
        <v>30</v>
      </c>
      <c r="AT33" s="2"/>
      <c r="AU33" s="2"/>
      <c r="AV33" s="2"/>
      <c r="AW33" s="2"/>
      <c r="AX33" s="2"/>
      <c r="AY33" s="2">
        <f t="shared" ca="1" si="13"/>
        <v>1</v>
      </c>
      <c r="AZ33" s="2"/>
      <c r="BA33" s="2"/>
      <c r="BB33" s="2"/>
      <c r="BC33" s="2"/>
      <c r="BD33" s="2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4"/>
        <v>10</v>
      </c>
      <c r="B34" s="268">
        <f t="shared" ca="1" si="15"/>
        <v>45616</v>
      </c>
      <c r="C34" s="401"/>
      <c r="D34" s="269">
        <f ca="1">IF(N34=0,IF(N33=1,D25+D26+D27+D28+D29+D30+D31+D32+D33," "),IF(N34=0," ",IF(N35=1,D25,IF(N35=0,D10-D25*(M14-1)," "))))</f>
        <v>145.83000000000001</v>
      </c>
      <c r="E34" s="269"/>
      <c r="F34" s="87">
        <f ca="1">IF(N34=0,IF(N33=1,F25+F26+F27+F28+F29+F30+F31+F32+F33," "),IF(M1=1,P34,IF(M1=2,Q34," ")))</f>
        <v>139.798125</v>
      </c>
      <c r="G34" s="87">
        <v>0</v>
      </c>
      <c r="H34" s="87">
        <f t="shared" ca="1" si="16"/>
        <v>285.62812500000001</v>
      </c>
      <c r="I34" s="87">
        <f t="shared" ca="1" si="17"/>
        <v>179.48717948717947</v>
      </c>
      <c r="J34" s="87">
        <f t="shared" ca="1" si="0"/>
        <v>169.16666666666666</v>
      </c>
      <c r="K34" s="87">
        <v>0</v>
      </c>
      <c r="L34" s="87">
        <f t="shared" ca="1" si="18"/>
        <v>348.65384615384613</v>
      </c>
      <c r="M34" s="2">
        <f t="shared" si="19"/>
        <v>10</v>
      </c>
      <c r="N34" s="2">
        <f ca="1">IF(M1=1,IF(M14&gt;9,1,0),IF(M1=2,IF(M14&gt;9,1,0),0))</f>
        <v>1</v>
      </c>
      <c r="O34" s="2">
        <f t="shared" ca="1" si="1"/>
        <v>20</v>
      </c>
      <c r="P34" s="134">
        <f t="shared" ca="1" si="20"/>
        <v>139.798125</v>
      </c>
      <c r="Q34" s="134">
        <f t="shared" ca="1" si="21"/>
        <v>139.798125</v>
      </c>
      <c r="R34" s="134">
        <f t="shared" ca="1" si="22"/>
        <v>5687.5300000000007</v>
      </c>
      <c r="S34" s="134">
        <f t="shared" si="23"/>
        <v>179.48717948717947</v>
      </c>
      <c r="T34" s="134">
        <f t="shared" si="32"/>
        <v>179.48717948717947</v>
      </c>
      <c r="U34" s="134">
        <f t="shared" ca="1" si="33"/>
        <v>139.798125</v>
      </c>
      <c r="V34" s="134">
        <f t="shared" ca="1" si="34"/>
        <v>139.798125</v>
      </c>
      <c r="W34" s="134">
        <f t="shared" ca="1" si="24"/>
        <v>169.16666666666666</v>
      </c>
      <c r="X34" s="134">
        <f t="shared" ca="1" si="25"/>
        <v>170</v>
      </c>
      <c r="Y34" s="134">
        <f t="shared" si="2"/>
        <v>7000</v>
      </c>
      <c r="Z34" s="134">
        <f t="shared" ca="1" si="35"/>
        <v>169.16666666666666</v>
      </c>
      <c r="AA34" s="134">
        <f t="shared" ca="1" si="26"/>
        <v>169.16666666666666</v>
      </c>
      <c r="AB34" s="134">
        <f ca="1">IF(R35=0,R34*Q12,(R33*20+R34*10))</f>
        <v>173542.5</v>
      </c>
      <c r="AC34" s="134">
        <f t="shared" ca="1" si="3"/>
        <v>0</v>
      </c>
      <c r="AD34" s="134">
        <f t="shared" ca="1" si="4"/>
        <v>0</v>
      </c>
      <c r="AE34" s="134">
        <f t="shared" ca="1" si="27"/>
        <v>0</v>
      </c>
      <c r="AF34" s="134">
        <f t="shared" ca="1" si="5"/>
        <v>0</v>
      </c>
      <c r="AG34" s="134">
        <f t="shared" ca="1" si="28"/>
        <v>0</v>
      </c>
      <c r="AH34" s="134">
        <f t="shared" ca="1" si="6"/>
        <v>0</v>
      </c>
      <c r="AI34" s="134">
        <f t="shared" ca="1" si="7"/>
        <v>5687.5300000000007</v>
      </c>
      <c r="AJ34" s="134">
        <f ca="1">IF(N35=1,AI33*G12*20/36000+AI34*G12*10/36000,IF(N35=0,IF(N34=0,0,AI34*G12*Q12/36000+29*G12*20/36000+AI34*G12*10/36000)))</f>
        <v>0</v>
      </c>
      <c r="AK34" s="134">
        <f ca="1">IF(N35=1,AI33*G12*20/36000+AI34*G12*10/36000,IF(N35=0,IF(N34=0,0,AI34*G12*Q12/36000+29*G12*20/36000+AI34*G12*10/36000)))</f>
        <v>0</v>
      </c>
      <c r="AL34" s="132">
        <f t="shared" ca="1" si="29"/>
        <v>11</v>
      </c>
      <c r="AM34" s="132">
        <f t="shared" ca="1" si="8"/>
        <v>11</v>
      </c>
      <c r="AN34" s="2">
        <f t="shared" ca="1" si="30"/>
        <v>2024</v>
      </c>
      <c r="AO34" s="2">
        <f t="shared" ca="1" si="9"/>
        <v>2024</v>
      </c>
      <c r="AP34" s="2">
        <f t="shared" ca="1" si="10"/>
        <v>1</v>
      </c>
      <c r="AQ34" s="2">
        <f t="shared" ca="1" si="11"/>
        <v>30</v>
      </c>
      <c r="AR34" s="2">
        <f t="shared" si="12"/>
        <v>20</v>
      </c>
      <c r="AS34" s="2">
        <f t="shared" ca="1" si="31"/>
        <v>30</v>
      </c>
      <c r="AT34" s="2"/>
      <c r="AU34" s="2"/>
      <c r="AV34" s="2"/>
      <c r="AW34" s="2"/>
      <c r="AX34" s="2"/>
      <c r="AY34" s="2">
        <f t="shared" ca="1" si="13"/>
        <v>1</v>
      </c>
      <c r="AZ34" s="2"/>
      <c r="BA34" s="2"/>
      <c r="BB34" s="2"/>
      <c r="BC34" s="2"/>
      <c r="BD34" s="2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4"/>
        <v>11</v>
      </c>
      <c r="B35" s="268">
        <f t="shared" ca="1" si="15"/>
        <v>45646</v>
      </c>
      <c r="C35" s="401"/>
      <c r="D35" s="269">
        <f ca="1">IF(N35=0,IF(N34=1,D25+D26+D27+D28+D29+D30+D31+D32+D33+D34," "),IF(N35=0," ",IF(N36=1,D25,IF(N36=0,D10-D25*(M14-1)," "))))</f>
        <v>145.83000000000001</v>
      </c>
      <c r="E35" s="269"/>
      <c r="F35" s="87">
        <f ca="1">IF(N35=0,IF(N34=1,F25+F26+F27+F28+F29+F30+F31+F32+F33+F34," "),IF(M1=1,P35,IF(M1=2,Q35," ")))</f>
        <v>136.27390000000003</v>
      </c>
      <c r="G35" s="87">
        <v>0</v>
      </c>
      <c r="H35" s="87">
        <f t="shared" ca="1" si="16"/>
        <v>282.10390000000007</v>
      </c>
      <c r="I35" s="87">
        <f t="shared" ca="1" si="17"/>
        <v>184.21052631578948</v>
      </c>
      <c r="J35" s="87">
        <f t="shared" ca="1" si="0"/>
        <v>169.16666666666666</v>
      </c>
      <c r="K35" s="87">
        <v>0</v>
      </c>
      <c r="L35" s="87">
        <f t="shared" ca="1" si="18"/>
        <v>353.37719298245611</v>
      </c>
      <c r="M35" s="2">
        <f t="shared" si="19"/>
        <v>11</v>
      </c>
      <c r="N35" s="2">
        <f ca="1">IF(M1=1,IF(M14&gt;10,1,0),IF(M1=2,IF(M14&gt;10,1,0),0))</f>
        <v>1</v>
      </c>
      <c r="O35" s="2">
        <f t="shared" ca="1" si="1"/>
        <v>20</v>
      </c>
      <c r="P35" s="134">
        <f t="shared" ca="1" si="20"/>
        <v>136.27390000000003</v>
      </c>
      <c r="Q35" s="134">
        <f t="shared" ca="1" si="21"/>
        <v>136.27390000000003</v>
      </c>
      <c r="R35" s="134">
        <f t="shared" ca="1" si="22"/>
        <v>5541.7000000000007</v>
      </c>
      <c r="S35" s="134">
        <f t="shared" si="23"/>
        <v>184.21052631578948</v>
      </c>
      <c r="T35" s="134">
        <f t="shared" si="32"/>
        <v>184.21052631578948</v>
      </c>
      <c r="U35" s="134">
        <f t="shared" ca="1" si="33"/>
        <v>136.27390000000003</v>
      </c>
      <c r="V35" s="134">
        <f t="shared" ca="1" si="34"/>
        <v>136.27390000000003</v>
      </c>
      <c r="W35" s="134">
        <f t="shared" ca="1" si="24"/>
        <v>169.16666666666666</v>
      </c>
      <c r="X35" s="134">
        <f t="shared" ca="1" si="25"/>
        <v>170</v>
      </c>
      <c r="Y35" s="134">
        <f t="shared" si="2"/>
        <v>7000</v>
      </c>
      <c r="Z35" s="134">
        <f t="shared" ca="1" si="35"/>
        <v>169.16666666666666</v>
      </c>
      <c r="AA35" s="134">
        <f t="shared" ca="1" si="26"/>
        <v>169.16666666666666</v>
      </c>
      <c r="AB35" s="134">
        <f ca="1">IF(R36=0,R35*Q12,(R34*20+R35*10))</f>
        <v>169167.6</v>
      </c>
      <c r="AC35" s="134">
        <f t="shared" ca="1" si="3"/>
        <v>0</v>
      </c>
      <c r="AD35" s="134">
        <f t="shared" ca="1" si="4"/>
        <v>0</v>
      </c>
      <c r="AE35" s="134">
        <f t="shared" ca="1" si="27"/>
        <v>0</v>
      </c>
      <c r="AF35" s="134">
        <f t="shared" ca="1" si="5"/>
        <v>0</v>
      </c>
      <c r="AG35" s="134">
        <f t="shared" ca="1" si="28"/>
        <v>0</v>
      </c>
      <c r="AH35" s="134">
        <f t="shared" ca="1" si="6"/>
        <v>0</v>
      </c>
      <c r="AI35" s="134">
        <f t="shared" ca="1" si="7"/>
        <v>5541.7000000000007</v>
      </c>
      <c r="AJ35" s="134">
        <f ca="1">IF(N36=1,AI34*G12*20/36000+AI35*G12*10/36000,IF(N36=0,IF(N35=0,0,AI35*G12*Q12/36000+AI34*G12*20/36000+AI35*G12*10/36000)))</f>
        <v>0</v>
      </c>
      <c r="AK35" s="134">
        <f ca="1">IF(N36=1,AI34*G12*20/36000+AI35*G12*10/36000,IF(N36=0,IF(N35=0,0,AI35*G12*Q12/36000+AI34*G12*20/36000+AI35*G12*10/36000)))</f>
        <v>0</v>
      </c>
      <c r="AL35" s="132">
        <f t="shared" ca="1" si="29"/>
        <v>12</v>
      </c>
      <c r="AM35" s="132">
        <f t="shared" ca="1" si="8"/>
        <v>12</v>
      </c>
      <c r="AN35" s="2">
        <f t="shared" ca="1" si="30"/>
        <v>2024</v>
      </c>
      <c r="AO35" s="2">
        <f t="shared" ca="1" si="9"/>
        <v>2024</v>
      </c>
      <c r="AP35" s="2">
        <f t="shared" ca="1" si="10"/>
        <v>1</v>
      </c>
      <c r="AQ35" s="2">
        <f t="shared" ca="1" si="11"/>
        <v>30</v>
      </c>
      <c r="AR35" s="2">
        <f t="shared" si="12"/>
        <v>20</v>
      </c>
      <c r="AS35" s="2">
        <f t="shared" ca="1" si="31"/>
        <v>30</v>
      </c>
      <c r="AT35" s="2"/>
      <c r="AU35" s="2"/>
      <c r="AV35" s="2"/>
      <c r="AW35" s="2"/>
      <c r="AX35" s="2"/>
      <c r="AY35" s="2">
        <f t="shared" ca="1" si="13"/>
        <v>1</v>
      </c>
      <c r="AZ35" s="2"/>
      <c r="BA35" s="2"/>
      <c r="BB35" s="2"/>
      <c r="BC35" s="2"/>
      <c r="BD35" s="2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4"/>
        <v>12</v>
      </c>
      <c r="B36" s="268">
        <f t="shared" ca="1" si="15"/>
        <v>45677</v>
      </c>
      <c r="C36" s="401"/>
      <c r="D36" s="269">
        <f ca="1">IF(N36=0,IF(N35=1,D25+D26+D27+D28+D29+D30+D31+D32+D33+D34+D35," "),IF(N36=0," ",IF(N37=1,D25,IF(N37=0,D10-D25*(M14-1)," "))))</f>
        <v>145.83000000000001</v>
      </c>
      <c r="E36" s="269"/>
      <c r="F36" s="87">
        <f ca="1">IF(N36=0,IF(N35=1,F25+F26+F27+F28+F29+F30+F31+F32+F33+F34+F35," "),IF(M1=1,P36,IF(M1=2,Q36," ")))</f>
        <v>132.74967500000002</v>
      </c>
      <c r="G36" s="87">
        <v>0</v>
      </c>
      <c r="H36" s="87">
        <f t="shared" ca="1" si="16"/>
        <v>278.57967500000007</v>
      </c>
      <c r="I36" s="87">
        <f t="shared" ca="1" si="17"/>
        <v>189.18918918918919</v>
      </c>
      <c r="J36" s="87">
        <f t="shared" ca="1" si="0"/>
        <v>169.16666666666666</v>
      </c>
      <c r="K36" s="87">
        <v>0</v>
      </c>
      <c r="L36" s="87">
        <f t="shared" ca="1" si="18"/>
        <v>358.35585585585585</v>
      </c>
      <c r="M36" s="2">
        <f t="shared" si="19"/>
        <v>12</v>
      </c>
      <c r="N36" s="2">
        <f ca="1">IF(M1=1,IF(M14&gt;11,1,0),IF(M1=2,IF(M14&gt;11,1,0),0))</f>
        <v>1</v>
      </c>
      <c r="O36" s="2">
        <f t="shared" ca="1" si="1"/>
        <v>20</v>
      </c>
      <c r="P36" s="134">
        <f t="shared" ca="1" si="20"/>
        <v>132.74967500000002</v>
      </c>
      <c r="Q36" s="134">
        <f t="shared" ca="1" si="21"/>
        <v>132.74967500000002</v>
      </c>
      <c r="R36" s="134">
        <f t="shared" ca="1" si="22"/>
        <v>5395.8700000000008</v>
      </c>
      <c r="S36" s="134">
        <f t="shared" si="23"/>
        <v>189.18918918918919</v>
      </c>
      <c r="T36" s="134">
        <f t="shared" si="32"/>
        <v>189.18918918918919</v>
      </c>
      <c r="U36" s="134">
        <f ca="1">IF(N37=1,R35*D11*20/36000+R36*D11*10/36000,IF(N37=0,IF(N36=0,0,R36*D11*Q12/36000+R35*D11*20/36000+R36*D11*10/36000)))</f>
        <v>132.74967500000002</v>
      </c>
      <c r="V36" s="134">
        <f ca="1">IF(N37=1,R35*D11*20/36000+R36*D11*10/36000,IF(N37=0,IF(N36=0,0,R36*D11*Q12/36000+R35*D11*20/36000+R36*D11*10/36000)))</f>
        <v>132.74967500000002</v>
      </c>
      <c r="W36" s="134">
        <f t="shared" ca="1" si="24"/>
        <v>169.16666666666666</v>
      </c>
      <c r="X36" s="134">
        <f t="shared" ca="1" si="25"/>
        <v>170</v>
      </c>
      <c r="Y36" s="134">
        <f t="shared" si="2"/>
        <v>7000</v>
      </c>
      <c r="Z36" s="134">
        <f t="shared" ca="1" si="35"/>
        <v>169.16666666666666</v>
      </c>
      <c r="AA36" s="134">
        <f t="shared" ca="1" si="26"/>
        <v>169.16666666666666</v>
      </c>
      <c r="AB36" s="134">
        <f ca="1">IF(R37=0,R36*Q12,(R35*20+R36*10))</f>
        <v>164792.70000000001</v>
      </c>
      <c r="AC36" s="134">
        <f t="shared" ca="1" si="3"/>
        <v>0</v>
      </c>
      <c r="AD36" s="134">
        <f t="shared" ca="1" si="4"/>
        <v>0</v>
      </c>
      <c r="AE36" s="134">
        <f t="shared" ca="1" si="27"/>
        <v>0</v>
      </c>
      <c r="AF36" s="134">
        <f t="shared" ca="1" si="5"/>
        <v>0</v>
      </c>
      <c r="AG36" s="134">
        <f t="shared" ca="1" si="28"/>
        <v>0</v>
      </c>
      <c r="AH36" s="134">
        <f t="shared" ca="1" si="6"/>
        <v>0</v>
      </c>
      <c r="AI36" s="134">
        <f t="shared" ca="1" si="7"/>
        <v>5395.8700000000008</v>
      </c>
      <c r="AJ36" s="134">
        <f ca="1">IF(N37=1,AI35*G12*20/36000+AI36*G12*10/36000,IF(N37=0,IF(N36=0,0,AI36*G12*Q12/36000+AI35*G12*20/36000+AI36*G12*10/36000)))</f>
        <v>0</v>
      </c>
      <c r="AK36" s="134">
        <f ca="1">IF(N37=1,AI35*G12*20/36000+AI36*G12*10/36000,IF(N37=0,IF(N36=0,0,AI36*G12*Q12/36000+AI35*G12*20/36000+AI36*G12*10/36000)))</f>
        <v>0</v>
      </c>
      <c r="AL36" s="132">
        <f t="shared" ca="1" si="29"/>
        <v>13</v>
      </c>
      <c r="AM36" s="132">
        <f t="shared" ca="1" si="8"/>
        <v>1</v>
      </c>
      <c r="AN36" s="2">
        <f t="shared" ca="1" si="30"/>
        <v>2024</v>
      </c>
      <c r="AO36" s="2">
        <f t="shared" ca="1" si="9"/>
        <v>2025</v>
      </c>
      <c r="AP36" s="2">
        <f t="shared" ca="1" si="10"/>
        <v>1</v>
      </c>
      <c r="AQ36" s="2">
        <f t="shared" ca="1" si="11"/>
        <v>30</v>
      </c>
      <c r="AR36" s="2">
        <f t="shared" si="12"/>
        <v>20</v>
      </c>
      <c r="AS36" s="2">
        <f t="shared" ca="1" si="31"/>
        <v>30</v>
      </c>
      <c r="AT36" s="2"/>
      <c r="AU36" s="2"/>
      <c r="AV36" s="2"/>
      <c r="AW36" s="2"/>
      <c r="AX36" s="2"/>
      <c r="AY36" s="2">
        <f t="shared" ca="1" si="13"/>
        <v>1</v>
      </c>
      <c r="AZ36" s="2"/>
      <c r="BA36" s="2"/>
      <c r="BB36" s="2"/>
      <c r="BC36" s="2"/>
      <c r="BD36" s="2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4"/>
        <v>13</v>
      </c>
      <c r="B37" s="268">
        <f t="shared" ca="1" si="15"/>
        <v>45708</v>
      </c>
      <c r="C37" s="401"/>
      <c r="D37" s="269">
        <f ca="1">IF(N37=0,IF(N36=1,D25+D26+D27+D28+D29+D30+D31+D32+D33+D34+D35+D36," "),IF(N37=0," ",IF(N38=1,D25,IF(N38=0,D10-D25*(M14-1)," "))))</f>
        <v>145.83000000000001</v>
      </c>
      <c r="E37" s="269"/>
      <c r="F37" s="87">
        <f ca="1">IF(N37=0,IF(N36=1,F25+F26+F27+F28+F29+F30+F31+F32+F33+F34+F35+F36," "),IF(M1=1,P37,IF(M1=2,Q37," ")))</f>
        <v>129.22545000000002</v>
      </c>
      <c r="G37" s="87">
        <v>0</v>
      </c>
      <c r="H37" s="87">
        <f t="shared" ca="1" si="16"/>
        <v>275.05545000000006</v>
      </c>
      <c r="I37" s="87">
        <f t="shared" ca="1" si="17"/>
        <v>194.45</v>
      </c>
      <c r="J37" s="87">
        <f t="shared" ca="1" si="0"/>
        <v>169.16666666666666</v>
      </c>
      <c r="K37" s="87">
        <v>0</v>
      </c>
      <c r="L37" s="87">
        <f t="shared" ca="1" si="18"/>
        <v>363.61666666666667</v>
      </c>
      <c r="M37" s="2">
        <f t="shared" si="19"/>
        <v>13</v>
      </c>
      <c r="N37" s="2">
        <f ca="1">IF(M1=1,IF(M14&gt;12,1,0),IF(M1=2,IF(M14&gt;12,1,0),0))</f>
        <v>1</v>
      </c>
      <c r="O37" s="2">
        <f t="shared" ca="1" si="1"/>
        <v>20</v>
      </c>
      <c r="P37" s="134">
        <f t="shared" ca="1" si="20"/>
        <v>129.22545000000002</v>
      </c>
      <c r="Q37" s="134">
        <f t="shared" ca="1" si="21"/>
        <v>129.22545000000002</v>
      </c>
      <c r="R37" s="134">
        <f t="shared" ca="1" si="22"/>
        <v>5250.0400000000009</v>
      </c>
      <c r="S37" s="134">
        <f t="shared" ca="1" si="23"/>
        <v>145.83000000000001</v>
      </c>
      <c r="T37" s="134">
        <f t="shared" ca="1" si="32"/>
        <v>145.83000000000001</v>
      </c>
      <c r="U37" s="134">
        <f ca="1">IF(N38=1,R36*D$11*20/36000+R37*D$11*10/36000,IF(N38=0,IF(N37=0,0,IF(D$16&gt;20,R36*D$11*20/36000+R37*D$11*(Q$12-20)/36000,R37*D$11*Q$12/36000))))</f>
        <v>129.22545000000002</v>
      </c>
      <c r="V37" s="134">
        <f t="shared" ca="1" si="34"/>
        <v>129.22545000000002</v>
      </c>
      <c r="W37" s="134">
        <f t="shared" ca="1" si="24"/>
        <v>169.16666666666666</v>
      </c>
      <c r="X37" s="134">
        <f t="shared" ca="1" si="25"/>
        <v>170</v>
      </c>
      <c r="Y37" s="134">
        <f t="shared" si="2"/>
        <v>7000</v>
      </c>
      <c r="Z37" s="134">
        <f t="shared" ca="1" si="35"/>
        <v>169.16666666666666</v>
      </c>
      <c r="AA37" s="134">
        <f t="shared" ca="1" si="26"/>
        <v>169.16666666666666</v>
      </c>
      <c r="AB37" s="134">
        <f ca="1">IF(R38=0,R37*Q12,(R36*20+R37*10))</f>
        <v>160417.80000000005</v>
      </c>
      <c r="AC37" s="134">
        <f t="shared" ca="1" si="3"/>
        <v>0</v>
      </c>
      <c r="AD37" s="134">
        <f t="shared" ca="1" si="4"/>
        <v>0</v>
      </c>
      <c r="AE37" s="134">
        <f t="shared" ca="1" si="27"/>
        <v>0</v>
      </c>
      <c r="AF37" s="134">
        <f t="shared" ca="1" si="5"/>
        <v>0</v>
      </c>
      <c r="AG37" s="134">
        <f t="shared" ca="1" si="28"/>
        <v>0</v>
      </c>
      <c r="AH37" s="134">
        <f t="shared" ca="1" si="6"/>
        <v>0</v>
      </c>
      <c r="AI37" s="134">
        <f t="shared" ca="1" si="7"/>
        <v>5250.0400000000009</v>
      </c>
      <c r="AJ37" s="134">
        <f ca="1">IF(N38=1,AI36*G12*20/36000+AI37*G12*10/36000,IF(N38=0,IF(N37=0,0,AI37*G12*Q12/36000)))</f>
        <v>0</v>
      </c>
      <c r="AK37" s="134">
        <f ca="1">IF(N38=1,AI36*G12*20/36000+AI37*G12*10/36000,IF(N38=0,IF(N37=0,0,AI37*G12*Q12/36000)))</f>
        <v>0</v>
      </c>
      <c r="AL37" s="132">
        <f t="shared" ca="1" si="29"/>
        <v>2</v>
      </c>
      <c r="AM37" s="132">
        <f t="shared" ca="1" si="8"/>
        <v>2</v>
      </c>
      <c r="AN37" s="2">
        <f t="shared" ca="1" si="30"/>
        <v>2025</v>
      </c>
      <c r="AO37" s="2">
        <f t="shared" ca="1" si="9"/>
        <v>2025</v>
      </c>
      <c r="AP37" s="2">
        <f t="shared" ca="1" si="10"/>
        <v>0</v>
      </c>
      <c r="AQ37" s="2">
        <f t="shared" ca="1" si="11"/>
        <v>28</v>
      </c>
      <c r="AR37" s="2">
        <f t="shared" si="12"/>
        <v>20</v>
      </c>
      <c r="AS37" s="2">
        <f t="shared" ca="1" si="31"/>
        <v>30</v>
      </c>
      <c r="AT37" s="2"/>
      <c r="AU37" s="2"/>
      <c r="AV37" s="2"/>
      <c r="AW37" s="2"/>
      <c r="AX37" s="2"/>
      <c r="AY37" s="2">
        <f t="shared" ca="1" si="13"/>
        <v>1</v>
      </c>
      <c r="AZ37" s="2"/>
      <c r="BA37" s="2"/>
      <c r="BB37" s="2"/>
      <c r="BC37" s="2"/>
      <c r="BD37" s="2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4"/>
        <v>14</v>
      </c>
      <c r="B38" s="268">
        <f t="shared" ca="1" si="15"/>
        <v>45736</v>
      </c>
      <c r="C38" s="401"/>
      <c r="D38" s="269">
        <f ca="1">IF(N38=0,IF(N37=1,D25+D26+D27+D28+D29+D30+D31+D32+D33+D34+D35+D36+D37," "),IF(N38=0," ",IF(N39=1,D25,IF(N39=0,D10-D25*(M14-1)," "))))</f>
        <v>145.83000000000001</v>
      </c>
      <c r="E38" s="269"/>
      <c r="F38" s="87">
        <f ca="1">IF(N38=0,IF(N37=1,F25+F26+F27+F28+F29+F30+F31+F32+F33+F34+F35+F36+F37," "),IF(M1=1,P38,IF(M1=2,Q38," ")))</f>
        <v>125.70122500000002</v>
      </c>
      <c r="G38" s="87">
        <v>0</v>
      </c>
      <c r="H38" s="87">
        <f t="shared" ca="1" si="16"/>
        <v>271.53122500000006</v>
      </c>
      <c r="I38" s="87">
        <f t="shared" ca="1" si="17"/>
        <v>194.45</v>
      </c>
      <c r="J38" s="87">
        <f t="shared" ca="1" si="0"/>
        <v>167.60026388888889</v>
      </c>
      <c r="K38" s="87">
        <v>0</v>
      </c>
      <c r="L38" s="87">
        <f t="shared" ca="1" si="18"/>
        <v>362.05026388888888</v>
      </c>
      <c r="M38" s="2">
        <f t="shared" si="19"/>
        <v>14</v>
      </c>
      <c r="N38" s="2">
        <f ca="1">IF(M1=1,IF(M14&gt;13,1,0),IF(M1=2,IF(M14&gt;13,1,0),0))</f>
        <v>1</v>
      </c>
      <c r="O38" s="2">
        <f t="shared" ca="1" si="1"/>
        <v>20</v>
      </c>
      <c r="P38" s="134">
        <f t="shared" ca="1" si="20"/>
        <v>125.70122500000002</v>
      </c>
      <c r="Q38" s="134">
        <f t="shared" ca="1" si="21"/>
        <v>125.70122500000002</v>
      </c>
      <c r="R38" s="134">
        <f t="shared" ca="1" si="22"/>
        <v>5104.2100000000009</v>
      </c>
      <c r="S38" s="134">
        <f t="shared" ca="1" si="23"/>
        <v>145.83000000000001</v>
      </c>
      <c r="T38" s="134">
        <f t="shared" ca="1" si="32"/>
        <v>145.83000000000001</v>
      </c>
      <c r="U38" s="134">
        <f t="shared" ca="1" si="33"/>
        <v>125.70122500000002</v>
      </c>
      <c r="V38" s="134">
        <f t="shared" ca="1" si="34"/>
        <v>125.70122500000002</v>
      </c>
      <c r="W38" s="134">
        <f t="shared" ca="1" si="24"/>
        <v>169.16666666666666</v>
      </c>
      <c r="X38" s="134">
        <f t="shared" ca="1" si="25"/>
        <v>170</v>
      </c>
      <c r="Y38" s="134">
        <f t="shared" ca="1" si="2"/>
        <v>6805.55</v>
      </c>
      <c r="Z38" s="134">
        <f t="shared" ca="1" si="35"/>
        <v>167.60026388888889</v>
      </c>
      <c r="AA38" s="134">
        <f t="shared" ca="1" si="26"/>
        <v>167.60026388888889</v>
      </c>
      <c r="AB38" s="134">
        <f ca="1">IF(R39=0,R38*Q12,(R37*20+R38*10))</f>
        <v>156042.90000000002</v>
      </c>
      <c r="AC38" s="134">
        <f t="shared" ca="1" si="3"/>
        <v>0</v>
      </c>
      <c r="AD38" s="134">
        <f t="shared" ca="1" si="4"/>
        <v>0</v>
      </c>
      <c r="AE38" s="134">
        <f t="shared" ca="1" si="27"/>
        <v>0</v>
      </c>
      <c r="AF38" s="134">
        <f t="shared" ca="1" si="5"/>
        <v>0</v>
      </c>
      <c r="AG38" s="134">
        <f t="shared" ca="1" si="28"/>
        <v>0</v>
      </c>
      <c r="AH38" s="134">
        <f t="shared" ca="1" si="6"/>
        <v>0</v>
      </c>
      <c r="AI38" s="134">
        <f t="shared" ca="1" si="7"/>
        <v>5104.2100000000009</v>
      </c>
      <c r="AJ38" s="134">
        <f ca="1">IF(N39=1,AI37*G12*20/36000+AI38*G12*10/36000,IF(N39=0,IF(N38=0,0,AI38*G12*Q12/36000+AI37*G12*20/36000+AI38*G12*10/36000)))</f>
        <v>0</v>
      </c>
      <c r="AK38" s="134">
        <f ca="1">IF(N39=1,AI37*G12*20/36000+AI38*G12*10/36000,IF(N39=0,IF(N38=0,0,AI38*G12*Q12/36000+AI37*G12*20/36000+AI38*G12*10/36000)))</f>
        <v>0</v>
      </c>
      <c r="AL38" s="132">
        <f t="shared" ca="1" si="29"/>
        <v>3</v>
      </c>
      <c r="AM38" s="132">
        <f t="shared" ca="1" si="8"/>
        <v>3</v>
      </c>
      <c r="AN38" s="2">
        <f t="shared" ca="1" si="30"/>
        <v>2025</v>
      </c>
      <c r="AO38" s="2">
        <f t="shared" ca="1" si="9"/>
        <v>2025</v>
      </c>
      <c r="AP38" s="2">
        <f t="shared" ca="1" si="10"/>
        <v>0</v>
      </c>
      <c r="AQ38" s="2">
        <f t="shared" ca="1" si="11"/>
        <v>30</v>
      </c>
      <c r="AR38" s="2">
        <f t="shared" si="12"/>
        <v>20</v>
      </c>
      <c r="AS38" s="2">
        <f t="shared" ca="1" si="31"/>
        <v>28</v>
      </c>
      <c r="AT38" s="2"/>
      <c r="AU38" s="2"/>
      <c r="AV38" s="2"/>
      <c r="AW38" s="2"/>
      <c r="AX38" s="2"/>
      <c r="AY38" s="2">
        <f t="shared" ca="1" si="13"/>
        <v>1</v>
      </c>
      <c r="AZ38" s="2"/>
      <c r="BA38" s="2"/>
      <c r="BB38" s="2"/>
      <c r="BC38" s="2"/>
      <c r="BD38" s="2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4"/>
        <v>15</v>
      </c>
      <c r="B39" s="268">
        <f t="shared" ca="1" si="15"/>
        <v>45767</v>
      </c>
      <c r="C39" s="401"/>
      <c r="D39" s="269">
        <f ca="1">IF(N39=0,IF(N38=1,D25+D26+D27+D28+D29+D30+D31+D32+D33+D34+D35+D36+D37+D38," "),IF(N39=0," ",IF(N40=1,D25,IF(N40=0,D10-D25*(M14-1)," "))))</f>
        <v>145.83000000000001</v>
      </c>
      <c r="E39" s="269"/>
      <c r="F39" s="87">
        <f ca="1">IF(N39=0,IF(N38=1,F25+F26+F27+F28+F29+F30+F31+F32+F33+F34+F35+F36+F37+F38," "),IF(M1=1,P39,IF(M1=2,Q39," ")))</f>
        <v>122.17700000000002</v>
      </c>
      <c r="G39" s="87">
        <v>0</v>
      </c>
      <c r="H39" s="87">
        <f t="shared" ca="1" si="16"/>
        <v>268.00700000000006</v>
      </c>
      <c r="I39" s="87">
        <f t="shared" ca="1" si="17"/>
        <v>194.45</v>
      </c>
      <c r="J39" s="87">
        <f t="shared" ca="1" si="0"/>
        <v>162.90105555555556</v>
      </c>
      <c r="K39" s="87">
        <v>0</v>
      </c>
      <c r="L39" s="87">
        <f t="shared" ca="1" si="18"/>
        <v>357.35105555555555</v>
      </c>
      <c r="M39" s="2">
        <f t="shared" si="19"/>
        <v>15</v>
      </c>
      <c r="N39" s="2">
        <f ca="1">IF(M1=1,IF(M14&gt;14,1,0),IF(M1=2,IF(M14&gt;14,1,0),0))</f>
        <v>1</v>
      </c>
      <c r="O39" s="2">
        <f t="shared" ca="1" si="1"/>
        <v>20</v>
      </c>
      <c r="P39" s="134">
        <f t="shared" ca="1" si="20"/>
        <v>122.17700000000002</v>
      </c>
      <c r="Q39" s="134">
        <f t="shared" ca="1" si="21"/>
        <v>122.17700000000002</v>
      </c>
      <c r="R39" s="134">
        <f t="shared" ca="1" si="22"/>
        <v>4958.380000000001</v>
      </c>
      <c r="S39" s="134">
        <f t="shared" ca="1" si="23"/>
        <v>145.83000000000001</v>
      </c>
      <c r="T39" s="134">
        <f t="shared" ca="1" si="32"/>
        <v>145.83000000000001</v>
      </c>
      <c r="U39" s="134">
        <f t="shared" ca="1" si="33"/>
        <v>122.17700000000002</v>
      </c>
      <c r="V39" s="134">
        <f t="shared" ca="1" si="34"/>
        <v>122.17700000000002</v>
      </c>
      <c r="W39" s="134">
        <f t="shared" ca="1" si="24"/>
        <v>169.16666666666666</v>
      </c>
      <c r="X39" s="134">
        <f t="shared" ca="1" si="25"/>
        <v>170</v>
      </c>
      <c r="Y39" s="134">
        <f t="shared" ca="1" si="2"/>
        <v>6611.1</v>
      </c>
      <c r="Z39" s="134">
        <f t="shared" ca="1" si="35"/>
        <v>162.90105555555556</v>
      </c>
      <c r="AA39" s="134">
        <f t="shared" ca="1" si="26"/>
        <v>162.90105555555556</v>
      </c>
      <c r="AB39" s="134">
        <f ca="1">IF(R40=0,R39*Q12,(R38*20+R39*10))</f>
        <v>151668.00000000003</v>
      </c>
      <c r="AC39" s="134">
        <f t="shared" ca="1" si="3"/>
        <v>0</v>
      </c>
      <c r="AD39" s="134">
        <f t="shared" ca="1" si="4"/>
        <v>0</v>
      </c>
      <c r="AE39" s="134">
        <f t="shared" ca="1" si="27"/>
        <v>0</v>
      </c>
      <c r="AF39" s="134">
        <f t="shared" ca="1" si="5"/>
        <v>0</v>
      </c>
      <c r="AG39" s="134">
        <f t="shared" ca="1" si="28"/>
        <v>0</v>
      </c>
      <c r="AH39" s="134">
        <f t="shared" ca="1" si="6"/>
        <v>0</v>
      </c>
      <c r="AI39" s="134">
        <f t="shared" ca="1" si="7"/>
        <v>4958.380000000001</v>
      </c>
      <c r="AJ39" s="134">
        <f ca="1">IF(N40=1,AI38*G12*20/36000+AI39*G12*10/36000,IF(N40=0,IF(N39=0,0,AI39*G12*Q12/36000+AI38*G12*20/36000+AI39*G12*10/36000)))</f>
        <v>0</v>
      </c>
      <c r="AK39" s="134">
        <f ca="1">IF(N40=1,AI38*G12*20/36000+AI39*G12*10/36000,IF(N40=0,IF(N39=0,0,AI39*G12*Q12/36000+AI38*G12*20/36000+AI39*G12*10/36000)))</f>
        <v>0</v>
      </c>
      <c r="AL39" s="132">
        <f t="shared" ca="1" si="29"/>
        <v>4</v>
      </c>
      <c r="AM39" s="132">
        <f t="shared" ca="1" si="8"/>
        <v>4</v>
      </c>
      <c r="AN39" s="2">
        <f t="shared" ca="1" si="30"/>
        <v>2025</v>
      </c>
      <c r="AO39" s="2">
        <f t="shared" ca="1" si="9"/>
        <v>2025</v>
      </c>
      <c r="AP39" s="2">
        <f t="shared" ca="1" si="10"/>
        <v>0</v>
      </c>
      <c r="AQ39" s="2">
        <f t="shared" ca="1" si="11"/>
        <v>30</v>
      </c>
      <c r="AR39" s="2">
        <f t="shared" si="12"/>
        <v>20</v>
      </c>
      <c r="AS39" s="2">
        <f t="shared" ca="1" si="31"/>
        <v>30</v>
      </c>
      <c r="AT39" s="2"/>
      <c r="AU39" s="2"/>
      <c r="AV39" s="2"/>
      <c r="AW39" s="2"/>
      <c r="AX39" s="2"/>
      <c r="AY39" s="2">
        <f t="shared" ca="1" si="13"/>
        <v>1</v>
      </c>
      <c r="AZ39" s="2"/>
      <c r="BA39" s="2"/>
      <c r="BB39" s="2"/>
      <c r="BC39" s="2"/>
      <c r="BD39" s="2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4"/>
        <v>16</v>
      </c>
      <c r="B40" s="268">
        <f t="shared" ca="1" si="15"/>
        <v>45797</v>
      </c>
      <c r="C40" s="401"/>
      <c r="D40" s="269">
        <f ca="1">IF(N40=0,IF(N39=1,D25+D26+D27+D28+D29+D30+D31+D32+D33+D34+D35+D36+D37+D38+D39," "),IF(N40=0," ",IF(N41=1,D25,IF(N41=0,D10-D25*(M14-1)," "))))</f>
        <v>145.83000000000001</v>
      </c>
      <c r="E40" s="269"/>
      <c r="F40" s="87">
        <f ca="1">IF(N40=0,IF(N39=1,F25+F26+F27+F28+F29+F30+F31+F32+F33+F34+F35+F36+F37+F38+F39," "),IF(M1=1,P40,IF(M1=2,Q40," ")))</f>
        <v>118.65277500000002</v>
      </c>
      <c r="G40" s="87">
        <v>0</v>
      </c>
      <c r="H40" s="87">
        <f t="shared" ca="1" si="16"/>
        <v>264.48277500000006</v>
      </c>
      <c r="I40" s="87">
        <f t="shared" ca="1" si="17"/>
        <v>194.45</v>
      </c>
      <c r="J40" s="87">
        <f t="shared" ca="1" si="0"/>
        <v>158.20184722222223</v>
      </c>
      <c r="K40" s="87">
        <v>0</v>
      </c>
      <c r="L40" s="87">
        <f t="shared" ca="1" si="18"/>
        <v>352.65184722222222</v>
      </c>
      <c r="M40" s="2">
        <f t="shared" si="19"/>
        <v>16</v>
      </c>
      <c r="N40" s="2">
        <f ca="1">IF(M1=1,IF(M14&gt;15,1,0),IF(M1=2,IF(M14&gt;15,1,0),0))</f>
        <v>1</v>
      </c>
      <c r="O40" s="2">
        <f t="shared" ca="1" si="1"/>
        <v>20</v>
      </c>
      <c r="P40" s="134">
        <f t="shared" ca="1" si="20"/>
        <v>118.65277500000002</v>
      </c>
      <c r="Q40" s="134">
        <f t="shared" ca="1" si="21"/>
        <v>118.65277500000002</v>
      </c>
      <c r="R40" s="134">
        <f t="shared" ca="1" si="22"/>
        <v>4812.5500000000011</v>
      </c>
      <c r="S40" s="134">
        <f t="shared" ca="1" si="23"/>
        <v>145.83000000000001</v>
      </c>
      <c r="T40" s="134">
        <f t="shared" ca="1" si="32"/>
        <v>145.83000000000001</v>
      </c>
      <c r="U40" s="134">
        <f t="shared" ca="1" si="33"/>
        <v>118.65277500000002</v>
      </c>
      <c r="V40" s="134">
        <f t="shared" ca="1" si="34"/>
        <v>118.65277500000002</v>
      </c>
      <c r="W40" s="134">
        <f t="shared" ca="1" si="24"/>
        <v>169.16666666666666</v>
      </c>
      <c r="X40" s="134">
        <f t="shared" ca="1" si="25"/>
        <v>170</v>
      </c>
      <c r="Y40" s="134">
        <f t="shared" ca="1" si="2"/>
        <v>6416.6500000000005</v>
      </c>
      <c r="Z40" s="134">
        <f t="shared" ca="1" si="35"/>
        <v>158.20184722222223</v>
      </c>
      <c r="AA40" s="134">
        <f t="shared" ca="1" si="26"/>
        <v>158.20184722222223</v>
      </c>
      <c r="AB40" s="134">
        <f ca="1">IF(R41=0,R40*Q12,(R39*20+R40*10))</f>
        <v>147293.10000000003</v>
      </c>
      <c r="AC40" s="134">
        <f t="shared" ca="1" si="3"/>
        <v>0</v>
      </c>
      <c r="AD40" s="134">
        <f t="shared" ca="1" si="4"/>
        <v>0</v>
      </c>
      <c r="AE40" s="134">
        <f t="shared" ca="1" si="27"/>
        <v>0</v>
      </c>
      <c r="AF40" s="134">
        <f t="shared" ca="1" si="5"/>
        <v>0</v>
      </c>
      <c r="AG40" s="134">
        <f t="shared" ca="1" si="28"/>
        <v>0</v>
      </c>
      <c r="AH40" s="134">
        <f t="shared" ca="1" si="6"/>
        <v>0</v>
      </c>
      <c r="AI40" s="134">
        <f t="shared" ca="1" si="7"/>
        <v>4812.5500000000011</v>
      </c>
      <c r="AJ40" s="134">
        <f ca="1">IF(N41=1,AI39*G12*20/36000+AI40*G12*10/36000,IF(N41=0,IF(N40=0,0,AI40*G12*Q12/36000+AI39*G12*20/36000+AI40*G12*10/36000)))</f>
        <v>0</v>
      </c>
      <c r="AK40" s="134">
        <f ca="1">IF(N41=1,AI39*G12*20/36000+AI40*G12*10/36000,IF(N41=0,IF(N40=0,0,AI40*G12*Q12/36000+AI39*G12*20/36000+AI40*G12*10/36000)))</f>
        <v>0</v>
      </c>
      <c r="AL40" s="132">
        <f t="shared" ca="1" si="29"/>
        <v>5</v>
      </c>
      <c r="AM40" s="132">
        <f t="shared" ca="1" si="8"/>
        <v>5</v>
      </c>
      <c r="AN40" s="2">
        <f t="shared" ca="1" si="30"/>
        <v>2025</v>
      </c>
      <c r="AO40" s="2">
        <f t="shared" ca="1" si="9"/>
        <v>2025</v>
      </c>
      <c r="AP40" s="2">
        <f t="shared" ca="1" si="10"/>
        <v>0</v>
      </c>
      <c r="AQ40" s="2">
        <f t="shared" ca="1" si="11"/>
        <v>30</v>
      </c>
      <c r="AR40" s="2">
        <f t="shared" si="12"/>
        <v>20</v>
      </c>
      <c r="AS40" s="2">
        <f t="shared" ca="1" si="31"/>
        <v>30</v>
      </c>
      <c r="AT40" s="2"/>
      <c r="AU40" s="2"/>
      <c r="AV40" s="2"/>
      <c r="AW40" s="2"/>
      <c r="AX40" s="2"/>
      <c r="AY40" s="2">
        <f t="shared" ca="1" si="13"/>
        <v>1</v>
      </c>
      <c r="AZ40" s="2"/>
      <c r="BA40" s="2"/>
      <c r="BB40" s="2"/>
      <c r="BC40" s="2"/>
      <c r="BD40" s="2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4"/>
        <v>17</v>
      </c>
      <c r="B41" s="268">
        <f t="shared" ca="1" si="15"/>
        <v>45828</v>
      </c>
      <c r="C41" s="401"/>
      <c r="D41" s="269">
        <f ca="1">IF(N41=0,IF(N40=1,D25+D26+D27+D28+D29+D30+D31+D32+D33+D34+D35+D36+D37+D38+D39+D40," "),IF(N41=0," ",IF(N42=1,D25,IF(N42=0,D10-D25*(M14-1)," "))))</f>
        <v>145.83000000000001</v>
      </c>
      <c r="E41" s="269"/>
      <c r="F41" s="87">
        <f ca="1">IF(N41=0,IF(N40=1,F25+F26+F27+F28+F29+F30+F31+F32+F33+F34+F36+F35+F37+F38+F39+F40," "),IF(M1=1,P41,IF(M1=2,Q41," ")))</f>
        <v>115.12855000000003</v>
      </c>
      <c r="G41" s="87">
        <v>0</v>
      </c>
      <c r="H41" s="87">
        <f t="shared" ca="1" si="16"/>
        <v>260.95855000000006</v>
      </c>
      <c r="I41" s="87">
        <f t="shared" ca="1" si="17"/>
        <v>194.45</v>
      </c>
      <c r="J41" s="87">
        <f t="shared" ca="1" si="0"/>
        <v>153.5026388888889</v>
      </c>
      <c r="K41" s="87">
        <v>0</v>
      </c>
      <c r="L41" s="87">
        <f t="shared" ca="1" si="18"/>
        <v>347.95263888888888</v>
      </c>
      <c r="M41" s="2">
        <f t="shared" si="19"/>
        <v>17</v>
      </c>
      <c r="N41" s="2">
        <f ca="1">IF(M1=1,IF(M14&gt;16,1,0),IF(M1=2,IF(M14&gt;16,1,0),0))</f>
        <v>1</v>
      </c>
      <c r="O41" s="2">
        <f t="shared" ca="1" si="1"/>
        <v>20</v>
      </c>
      <c r="P41" s="134">
        <f t="shared" ca="1" si="20"/>
        <v>115.12855000000003</v>
      </c>
      <c r="Q41" s="134">
        <f t="shared" ca="1" si="21"/>
        <v>115.12855000000003</v>
      </c>
      <c r="R41" s="134">
        <f t="shared" ca="1" si="22"/>
        <v>4666.7200000000012</v>
      </c>
      <c r="S41" s="134">
        <f t="shared" ca="1" si="23"/>
        <v>145.83000000000001</v>
      </c>
      <c r="T41" s="134">
        <f t="shared" ca="1" si="32"/>
        <v>145.83000000000001</v>
      </c>
      <c r="U41" s="134">
        <f t="shared" ca="1" si="33"/>
        <v>115.12855000000003</v>
      </c>
      <c r="V41" s="134">
        <f t="shared" ca="1" si="34"/>
        <v>115.12855000000003</v>
      </c>
      <c r="W41" s="134">
        <f t="shared" ca="1" si="24"/>
        <v>169.16666666666666</v>
      </c>
      <c r="X41" s="134">
        <f t="shared" ca="1" si="25"/>
        <v>170</v>
      </c>
      <c r="Y41" s="134">
        <f t="shared" ca="1" si="2"/>
        <v>6222.2000000000007</v>
      </c>
      <c r="Z41" s="134">
        <f t="shared" ca="1" si="35"/>
        <v>153.5026388888889</v>
      </c>
      <c r="AA41" s="134">
        <f t="shared" ca="1" si="26"/>
        <v>153.5026388888889</v>
      </c>
      <c r="AB41" s="134">
        <f ca="1">IF(R42=0,R41*Q12,(R40*20+R41*10))</f>
        <v>142918.20000000004</v>
      </c>
      <c r="AC41" s="134">
        <f t="shared" ca="1" si="3"/>
        <v>0</v>
      </c>
      <c r="AD41" s="134">
        <f t="shared" ca="1" si="4"/>
        <v>0</v>
      </c>
      <c r="AE41" s="134">
        <f t="shared" ca="1" si="27"/>
        <v>0</v>
      </c>
      <c r="AF41" s="134">
        <f t="shared" ca="1" si="5"/>
        <v>0</v>
      </c>
      <c r="AG41" s="134">
        <f t="shared" ca="1" si="28"/>
        <v>0</v>
      </c>
      <c r="AH41" s="134">
        <f t="shared" ca="1" si="6"/>
        <v>0</v>
      </c>
      <c r="AI41" s="134">
        <f t="shared" ca="1" si="7"/>
        <v>4666.7200000000012</v>
      </c>
      <c r="AJ41" s="134">
        <f ca="1">IF(N42=1,AI40*G12*20/36000+AI41*G12*10/36000,IF(N42=0,IF(N41=0,0,AI41*G12*Q12/36000+AI40*G12*20/36000+AI41*G12*10/36000)))</f>
        <v>0</v>
      </c>
      <c r="AK41" s="134">
        <f ca="1">IF(N42=1,AI40*G12*20/36000+AI41*G12*10/36000,IF(N42=0,IF(N41=0,0,AI41*G12*Q12/36000+AI40*G12*20/36000+AI41*G12*10/36000)))</f>
        <v>0</v>
      </c>
      <c r="AL41" s="132">
        <f t="shared" ca="1" si="29"/>
        <v>6</v>
      </c>
      <c r="AM41" s="132">
        <f t="shared" ca="1" si="8"/>
        <v>6</v>
      </c>
      <c r="AN41" s="2">
        <f t="shared" ca="1" si="30"/>
        <v>2025</v>
      </c>
      <c r="AO41" s="2">
        <f t="shared" ca="1" si="9"/>
        <v>2025</v>
      </c>
      <c r="AP41" s="2">
        <f t="shared" ca="1" si="10"/>
        <v>0</v>
      </c>
      <c r="AQ41" s="2">
        <f t="shared" ca="1" si="11"/>
        <v>30</v>
      </c>
      <c r="AR41" s="2">
        <f t="shared" si="12"/>
        <v>20</v>
      </c>
      <c r="AS41" s="2">
        <f t="shared" ca="1" si="31"/>
        <v>30</v>
      </c>
      <c r="AT41" s="2"/>
      <c r="AU41" s="2"/>
      <c r="AV41" s="2"/>
      <c r="AW41" s="2"/>
      <c r="AX41" s="2"/>
      <c r="AY41" s="2">
        <f t="shared" ca="1" si="13"/>
        <v>1</v>
      </c>
      <c r="AZ41" s="2"/>
      <c r="BA41" s="2"/>
      <c r="BB41" s="2"/>
      <c r="BC41" s="2"/>
      <c r="BD41" s="2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4"/>
        <v>18</v>
      </c>
      <c r="B42" s="268">
        <f t="shared" ca="1" si="15"/>
        <v>45858</v>
      </c>
      <c r="C42" s="401"/>
      <c r="D42" s="269">
        <f ca="1">IF(N42=0,IF(N41=1,D25+D26+D27+D28+D29+D30+D31+D32+D33+D34+D35+D36+D37+D38+D39+D40+D41," "),IF(N42=0," ",IF(N43=1,D25,IF(N43=0,D10-D25*(M14-1)," "))))</f>
        <v>145.83000000000001</v>
      </c>
      <c r="E42" s="269"/>
      <c r="F42" s="87">
        <f ca="1">IF(N42=0,IF(N41=1,F25+F26+F27+F28+F29+F30+F31+F32+F33+F34+F35+F36+F37+F38+F39+F40+F41," "),IF(M1=1,P42,IF(M1=2,Q42," ")))</f>
        <v>111.60432500000002</v>
      </c>
      <c r="G42" s="87">
        <v>0</v>
      </c>
      <c r="H42" s="87">
        <f t="shared" ca="1" si="16"/>
        <v>257.43432500000006</v>
      </c>
      <c r="I42" s="87">
        <f t="shared" ca="1" si="17"/>
        <v>194.45</v>
      </c>
      <c r="J42" s="87">
        <f t="shared" ca="1" si="0"/>
        <v>148.80343055555556</v>
      </c>
      <c r="K42" s="87">
        <v>0</v>
      </c>
      <c r="L42" s="87">
        <f t="shared" ca="1" si="18"/>
        <v>343.25343055555555</v>
      </c>
      <c r="M42" s="2">
        <f t="shared" si="19"/>
        <v>18</v>
      </c>
      <c r="N42" s="2">
        <f ca="1">IF(M1=1,IF(M14&gt;17,1,0),IF(M1=2,IF(M14&gt;17,1,0),0))</f>
        <v>1</v>
      </c>
      <c r="O42" s="2">
        <f t="shared" ca="1" si="1"/>
        <v>20</v>
      </c>
      <c r="P42" s="134">
        <f t="shared" ca="1" si="20"/>
        <v>111.60432500000002</v>
      </c>
      <c r="Q42" s="134">
        <f t="shared" ca="1" si="21"/>
        <v>111.60432500000002</v>
      </c>
      <c r="R42" s="134">
        <f t="shared" ca="1" si="22"/>
        <v>4520.8900000000012</v>
      </c>
      <c r="S42" s="134">
        <f t="shared" ca="1" si="23"/>
        <v>145.83000000000001</v>
      </c>
      <c r="T42" s="134">
        <f t="shared" ca="1" si="32"/>
        <v>145.83000000000001</v>
      </c>
      <c r="U42" s="134">
        <f t="shared" ca="1" si="33"/>
        <v>111.60432500000002</v>
      </c>
      <c r="V42" s="134">
        <f t="shared" ca="1" si="34"/>
        <v>111.60432500000002</v>
      </c>
      <c r="W42" s="134">
        <f t="shared" ca="1" si="24"/>
        <v>169.16666666666666</v>
      </c>
      <c r="X42" s="134">
        <f t="shared" ca="1" si="25"/>
        <v>170</v>
      </c>
      <c r="Y42" s="134">
        <f t="shared" ca="1" si="2"/>
        <v>6027.7500000000009</v>
      </c>
      <c r="Z42" s="134">
        <f t="shared" ca="1" si="35"/>
        <v>148.80343055555556</v>
      </c>
      <c r="AA42" s="134">
        <f t="shared" ca="1" si="26"/>
        <v>148.80343055555556</v>
      </c>
      <c r="AB42" s="134">
        <f ca="1">IF(R43=0,R42*Q12,(R41*20+R42*10))</f>
        <v>138543.30000000005</v>
      </c>
      <c r="AC42" s="134">
        <f t="shared" ca="1" si="3"/>
        <v>0</v>
      </c>
      <c r="AD42" s="134">
        <f t="shared" ca="1" si="4"/>
        <v>0</v>
      </c>
      <c r="AE42" s="134">
        <f t="shared" ca="1" si="27"/>
        <v>0</v>
      </c>
      <c r="AF42" s="134">
        <f t="shared" ca="1" si="5"/>
        <v>0</v>
      </c>
      <c r="AG42" s="134">
        <f t="shared" ca="1" si="28"/>
        <v>0</v>
      </c>
      <c r="AH42" s="134">
        <f t="shared" ca="1" si="6"/>
        <v>0</v>
      </c>
      <c r="AI42" s="134">
        <f t="shared" ca="1" si="7"/>
        <v>4520.8900000000012</v>
      </c>
      <c r="AJ42" s="134">
        <f ca="1">IF(N43=1,AI41*G12*20/36000+AI42*G12*10/36000,IF(N43=0,IF(N42=0,0,AI42*G12*Q12/36000+AI41*G12*20/36000+AI42*G12*10/36000)))</f>
        <v>0</v>
      </c>
      <c r="AK42" s="134">
        <f ca="1">IF(N43=1,AI41*G12*20/36000+AI42*G12*10/36000,IF(N43=0,IF(N42=0,0,AI42*G12*Q12/36000+AI41*G12*20/36000+AI42*G12*10/36000)))</f>
        <v>0</v>
      </c>
      <c r="AL42" s="132">
        <f t="shared" ca="1" si="29"/>
        <v>7</v>
      </c>
      <c r="AM42" s="132">
        <f t="shared" ca="1" si="8"/>
        <v>7</v>
      </c>
      <c r="AN42" s="2">
        <f t="shared" ca="1" si="30"/>
        <v>2025</v>
      </c>
      <c r="AO42" s="2">
        <f t="shared" ca="1" si="9"/>
        <v>2025</v>
      </c>
      <c r="AP42" s="2">
        <f t="shared" ca="1" si="10"/>
        <v>0</v>
      </c>
      <c r="AQ42" s="2">
        <f t="shared" ca="1" si="11"/>
        <v>30</v>
      </c>
      <c r="AR42" s="2">
        <f t="shared" si="12"/>
        <v>20</v>
      </c>
      <c r="AS42" s="2">
        <f t="shared" ca="1" si="31"/>
        <v>30</v>
      </c>
      <c r="AT42" s="2"/>
      <c r="AU42" s="2"/>
      <c r="AV42" s="2"/>
      <c r="AW42" s="2"/>
      <c r="AX42" s="2"/>
      <c r="AY42" s="2">
        <f t="shared" ca="1" si="13"/>
        <v>1</v>
      </c>
      <c r="AZ42" s="2"/>
      <c r="BA42" s="2"/>
      <c r="BB42" s="2"/>
      <c r="BC42" s="2"/>
      <c r="BD42" s="2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4"/>
        <v>19</v>
      </c>
      <c r="B43" s="268">
        <f t="shared" ca="1" si="15"/>
        <v>45889</v>
      </c>
      <c r="C43" s="401"/>
      <c r="D43" s="269">
        <f ca="1">IF(N43=0,IF(N42=1,D25+D26+D27+D28+D29+D30+D31+D32+D33+D34+D35+D36+D37+D38+D39+D40+D41+D42," "),IF(N43=0," ",IF(N44=1,D25,IF(N44=0,D10-D25*(M14-1)," "))))</f>
        <v>145.83000000000001</v>
      </c>
      <c r="E43" s="269"/>
      <c r="F43" s="87">
        <f ca="1">IF(N43=0,IF(N42=1,F25+F26+F27+F28+F29+F30+F31+F32+F33+F34+F35+F36+F37+F38+F39+F40+F41+F42," "),IF(M1=1,P43,IF(M1=2,Q43," ")))</f>
        <v>108.08010000000002</v>
      </c>
      <c r="G43" s="87">
        <v>0</v>
      </c>
      <c r="H43" s="87">
        <f t="shared" ca="1" si="16"/>
        <v>253.91010000000003</v>
      </c>
      <c r="I43" s="87">
        <f t="shared" ca="1" si="17"/>
        <v>194.45</v>
      </c>
      <c r="J43" s="87">
        <f t="shared" ca="1" si="0"/>
        <v>144.10422222222223</v>
      </c>
      <c r="K43" s="87">
        <v>0</v>
      </c>
      <c r="L43" s="87">
        <f t="shared" ca="1" si="18"/>
        <v>338.55422222222222</v>
      </c>
      <c r="M43" s="2">
        <f t="shared" si="19"/>
        <v>19</v>
      </c>
      <c r="N43" s="2">
        <f ca="1">IF(M1=1,IF(M14&gt;18,1,0),IF(M1=2,IF(M14&gt;18,1,0),0))</f>
        <v>1</v>
      </c>
      <c r="O43" s="2">
        <f t="shared" ca="1" si="1"/>
        <v>20</v>
      </c>
      <c r="P43" s="134">
        <f t="shared" ca="1" si="20"/>
        <v>108.08010000000002</v>
      </c>
      <c r="Q43" s="134">
        <f t="shared" ca="1" si="21"/>
        <v>108.08010000000002</v>
      </c>
      <c r="R43" s="134">
        <f t="shared" ca="1" si="22"/>
        <v>4375.0600000000013</v>
      </c>
      <c r="S43" s="134">
        <f t="shared" ca="1" si="23"/>
        <v>145.83000000000001</v>
      </c>
      <c r="T43" s="134">
        <f t="shared" ca="1" si="32"/>
        <v>145.83000000000001</v>
      </c>
      <c r="U43" s="134">
        <f t="shared" ca="1" si="33"/>
        <v>108.08010000000002</v>
      </c>
      <c r="V43" s="134">
        <f t="shared" ca="1" si="34"/>
        <v>108.08010000000002</v>
      </c>
      <c r="W43" s="134">
        <f t="shared" ca="1" si="24"/>
        <v>169.16666666666666</v>
      </c>
      <c r="X43" s="134">
        <f t="shared" ca="1" si="25"/>
        <v>170</v>
      </c>
      <c r="Y43" s="134">
        <f t="shared" ca="1" si="2"/>
        <v>5833.3000000000011</v>
      </c>
      <c r="Z43" s="134">
        <f t="shared" ca="1" si="35"/>
        <v>144.10422222222223</v>
      </c>
      <c r="AA43" s="134">
        <f t="shared" ca="1" si="26"/>
        <v>144.10422222222223</v>
      </c>
      <c r="AB43" s="134">
        <f ca="1">IF(R44=0,R43*Q12,(R42*20+R43*10))</f>
        <v>134168.40000000002</v>
      </c>
      <c r="AC43" s="134">
        <f t="shared" ca="1" si="3"/>
        <v>0</v>
      </c>
      <c r="AD43" s="134">
        <f t="shared" ca="1" si="4"/>
        <v>0</v>
      </c>
      <c r="AE43" s="134">
        <f t="shared" ca="1" si="27"/>
        <v>0</v>
      </c>
      <c r="AF43" s="134">
        <f t="shared" ca="1" si="5"/>
        <v>0</v>
      </c>
      <c r="AG43" s="134">
        <f t="shared" ca="1" si="28"/>
        <v>0</v>
      </c>
      <c r="AH43" s="134">
        <f t="shared" ca="1" si="6"/>
        <v>0</v>
      </c>
      <c r="AI43" s="134">
        <f t="shared" ca="1" si="7"/>
        <v>4375.0600000000013</v>
      </c>
      <c r="AJ43" s="134">
        <f ca="1">IF(N44=1,AI42*G$12*20/36000+AI43*G$12*10/36000,IF(N44=0,IF(N43=0,0,AI43*G$12*Q$12/36000)))</f>
        <v>0</v>
      </c>
      <c r="AK43" s="134">
        <f ca="1">IF(N44=1,AI42*G$12*20/36000+AI43*G$12*10/36000,IF(N44=0,IF(N43=0,0,AI43*G$12*Q$12/36000)))</f>
        <v>0</v>
      </c>
      <c r="AL43" s="132">
        <f t="shared" ca="1" si="29"/>
        <v>8</v>
      </c>
      <c r="AM43" s="132">
        <f t="shared" ca="1" si="8"/>
        <v>8</v>
      </c>
      <c r="AN43" s="2">
        <f t="shared" ca="1" si="30"/>
        <v>2025</v>
      </c>
      <c r="AO43" s="2">
        <f t="shared" ca="1" si="9"/>
        <v>2025</v>
      </c>
      <c r="AP43" s="2">
        <f t="shared" ca="1" si="10"/>
        <v>0</v>
      </c>
      <c r="AQ43" s="2">
        <f t="shared" ca="1" si="11"/>
        <v>30</v>
      </c>
      <c r="AR43" s="2">
        <f t="shared" si="12"/>
        <v>20</v>
      </c>
      <c r="AS43" s="2">
        <f t="shared" ca="1" si="31"/>
        <v>30</v>
      </c>
      <c r="AT43" s="2"/>
      <c r="AU43" s="2"/>
      <c r="AV43" s="2"/>
      <c r="AW43" s="2"/>
      <c r="AX43" s="2"/>
      <c r="AY43" s="2">
        <f t="shared" ca="1" si="13"/>
        <v>1</v>
      </c>
      <c r="AZ43" s="2"/>
      <c r="BA43" s="2"/>
      <c r="BB43" s="2"/>
      <c r="BC43" s="2"/>
      <c r="BD43" s="2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4"/>
        <v>20</v>
      </c>
      <c r="B44" s="268">
        <f t="shared" ca="1" si="15"/>
        <v>45920</v>
      </c>
      <c r="C44" s="401"/>
      <c r="D44" s="269">
        <f ca="1">IF(N44=0,IF(N43=1,D25+D26+D27+D28+D29+D30+D31+D32+D33+D34+D35+D36+D37+D38+D39+D40+D41+D42+D43," "),IF(N44=0," ",IF(N45=1,D25,IF(N45=0,D10-D25*(M14-1)," "))))</f>
        <v>145.83000000000001</v>
      </c>
      <c r="E44" s="269"/>
      <c r="F44" s="87">
        <f ca="1">IF(N44=0,IF(N43=1,F25+F26+F27+F28+F29+F30+F31+F32+F33+F34+F35+F36+F37+F38+F39+F40+F41+F42+F43," "),IF(M1=1,P44,IF(M1=2,Q44," ")))</f>
        <v>104.55587500000004</v>
      </c>
      <c r="G44" s="87">
        <v>0</v>
      </c>
      <c r="H44" s="87">
        <f t="shared" ca="1" si="16"/>
        <v>250.38587500000006</v>
      </c>
      <c r="I44" s="87">
        <f t="shared" ca="1" si="17"/>
        <v>194.45</v>
      </c>
      <c r="J44" s="87">
        <f t="shared" ca="1" si="0"/>
        <v>139.40501388888893</v>
      </c>
      <c r="K44" s="87">
        <v>0</v>
      </c>
      <c r="L44" s="87">
        <f t="shared" ca="1" si="18"/>
        <v>333.85501388888895</v>
      </c>
      <c r="M44" s="2">
        <f t="shared" si="19"/>
        <v>20</v>
      </c>
      <c r="N44" s="2">
        <f ca="1">IF(M1=1,IF(M14&gt;19,1,0),IF(M1=2,IF(M14&gt;19,1,0),0))</f>
        <v>1</v>
      </c>
      <c r="O44" s="2">
        <f t="shared" ca="1" si="1"/>
        <v>20</v>
      </c>
      <c r="P44" s="134">
        <f t="shared" ca="1" si="20"/>
        <v>104.55587500000004</v>
      </c>
      <c r="Q44" s="134">
        <f t="shared" ca="1" si="21"/>
        <v>104.55587500000004</v>
      </c>
      <c r="R44" s="134">
        <f t="shared" ca="1" si="22"/>
        <v>4229.2300000000014</v>
      </c>
      <c r="S44" s="134">
        <f t="shared" ca="1" si="23"/>
        <v>145.83000000000001</v>
      </c>
      <c r="T44" s="134">
        <f t="shared" ca="1" si="32"/>
        <v>145.83000000000001</v>
      </c>
      <c r="U44" s="134">
        <f t="shared" ca="1" si="33"/>
        <v>104.55587500000004</v>
      </c>
      <c r="V44" s="134">
        <f t="shared" ca="1" si="34"/>
        <v>104.55587500000004</v>
      </c>
      <c r="W44" s="134">
        <f t="shared" ca="1" si="24"/>
        <v>169.16666666666666</v>
      </c>
      <c r="X44" s="134">
        <f t="shared" ca="1" si="25"/>
        <v>170</v>
      </c>
      <c r="Y44" s="134">
        <f t="shared" ca="1" si="2"/>
        <v>5638.8500000000013</v>
      </c>
      <c r="Z44" s="134">
        <f t="shared" ca="1" si="35"/>
        <v>139.40501388888893</v>
      </c>
      <c r="AA44" s="134">
        <f t="shared" ca="1" si="26"/>
        <v>139.40501388888893</v>
      </c>
      <c r="AB44" s="134">
        <f ca="1">IF(R45=0,R44*Q12,(R43*20+R44*10))</f>
        <v>129793.50000000004</v>
      </c>
      <c r="AC44" s="134">
        <f t="shared" ca="1" si="3"/>
        <v>0</v>
      </c>
      <c r="AD44" s="134">
        <f t="shared" ca="1" si="4"/>
        <v>0</v>
      </c>
      <c r="AE44" s="134">
        <f t="shared" ca="1" si="27"/>
        <v>0</v>
      </c>
      <c r="AF44" s="134">
        <f t="shared" ca="1" si="5"/>
        <v>0</v>
      </c>
      <c r="AG44" s="134">
        <f t="shared" ca="1" si="28"/>
        <v>0</v>
      </c>
      <c r="AH44" s="134">
        <f t="shared" ca="1" si="6"/>
        <v>0</v>
      </c>
      <c r="AI44" s="134">
        <f t="shared" ca="1" si="7"/>
        <v>4229.2300000000014</v>
      </c>
      <c r="AJ44" s="134">
        <f ca="1">IF(N45=1,AI43*G12*20/36000+AI44*G12*10/36000,IF(N45=0,IF(N44=0,0,AI44*G12*Q12/36000+AI43*G12*20/36000+AI44*G12*10/36000)))</f>
        <v>0</v>
      </c>
      <c r="AK44" s="134">
        <f ca="1">IF(N45=1,AI43*G12*20/36000+AI44*G12*10/36000,IF(N45=0,IF(N44=0,0,AI44*G12*Q12/36000+AI43*G12*20/36000+AI44*G12*10/36000)))</f>
        <v>0</v>
      </c>
      <c r="AL44" s="132">
        <f t="shared" ca="1" si="29"/>
        <v>9</v>
      </c>
      <c r="AM44" s="132">
        <f t="shared" ca="1" si="8"/>
        <v>9</v>
      </c>
      <c r="AN44" s="2">
        <f t="shared" ca="1" si="30"/>
        <v>2025</v>
      </c>
      <c r="AO44" s="2">
        <f t="shared" ca="1" si="9"/>
        <v>2025</v>
      </c>
      <c r="AP44" s="2">
        <f t="shared" ca="1" si="10"/>
        <v>0</v>
      </c>
      <c r="AQ44" s="2">
        <f t="shared" ca="1" si="11"/>
        <v>30</v>
      </c>
      <c r="AR44" s="2">
        <f t="shared" si="12"/>
        <v>20</v>
      </c>
      <c r="AS44" s="2">
        <f t="shared" ca="1" si="31"/>
        <v>30</v>
      </c>
      <c r="AT44" s="2"/>
      <c r="AU44" s="2"/>
      <c r="AV44" s="2"/>
      <c r="AW44" s="2"/>
      <c r="AX44" s="2"/>
      <c r="AY44" s="2">
        <f t="shared" ca="1" si="13"/>
        <v>1</v>
      </c>
      <c r="AZ44" s="2"/>
      <c r="BA44" s="2"/>
      <c r="BB44" s="2"/>
      <c r="BC44" s="2"/>
      <c r="BD44" s="2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4"/>
        <v>21</v>
      </c>
      <c r="B45" s="268">
        <f t="shared" ca="1" si="15"/>
        <v>45950</v>
      </c>
      <c r="C45" s="401"/>
      <c r="D45" s="269">
        <f ca="1">IF(N45=0,IF(N44=1,D25+D26+D27+D28+D29+D30+D31+D32+D33+D34+D35+D36+D37+D38+D39+D40+D41+D42+D43+D44," "),IF(N45=0," ",IF(N46=1,D25,IF(N46=0,D10-D25*(M14-1)," "))))</f>
        <v>145.83000000000001</v>
      </c>
      <c r="E45" s="269"/>
      <c r="F45" s="87">
        <f ca="1">IF(N45=0,IF(N44=1,F25+F26+F27+F28+F29+F30+F31+F32+F33+F34+F35+F36+F37+F38+F39+F40+F41+F42+F43+F44," "),IF(M1=1,P45,IF(M1=2,Q45," ")))</f>
        <v>101.03165000000004</v>
      </c>
      <c r="G45" s="87">
        <v>0</v>
      </c>
      <c r="H45" s="87">
        <f t="shared" ca="1" si="16"/>
        <v>246.86165000000005</v>
      </c>
      <c r="I45" s="87">
        <f t="shared" ca="1" si="17"/>
        <v>194.45</v>
      </c>
      <c r="J45" s="87">
        <f t="shared" ca="1" si="0"/>
        <v>134.70580555555557</v>
      </c>
      <c r="K45" s="87">
        <v>0</v>
      </c>
      <c r="L45" s="87">
        <f t="shared" ca="1" si="18"/>
        <v>329.15580555555556</v>
      </c>
      <c r="M45" s="2">
        <f t="shared" si="19"/>
        <v>21</v>
      </c>
      <c r="N45" s="2">
        <f ca="1">IF(M1=1,IF(M14&gt;20,1,0),IF(M1=2,IF(M14&gt;20,1,0),0))</f>
        <v>1</v>
      </c>
      <c r="O45" s="2">
        <f t="shared" ca="1" si="1"/>
        <v>20</v>
      </c>
      <c r="P45" s="134">
        <f t="shared" ca="1" si="20"/>
        <v>101.03165000000004</v>
      </c>
      <c r="Q45" s="134">
        <f t="shared" ca="1" si="21"/>
        <v>101.03165000000004</v>
      </c>
      <c r="R45" s="134">
        <f t="shared" ca="1" si="22"/>
        <v>4083.4000000000015</v>
      </c>
      <c r="S45" s="134">
        <f t="shared" ca="1" si="23"/>
        <v>145.83000000000001</v>
      </c>
      <c r="T45" s="134">
        <f t="shared" ca="1" si="32"/>
        <v>145.83000000000001</v>
      </c>
      <c r="U45" s="134">
        <f t="shared" ca="1" si="33"/>
        <v>101.03165000000004</v>
      </c>
      <c r="V45" s="134">
        <f t="shared" ca="1" si="34"/>
        <v>101.03165000000004</v>
      </c>
      <c r="W45" s="134">
        <f t="shared" ca="1" si="24"/>
        <v>169.16666666666666</v>
      </c>
      <c r="X45" s="134">
        <f t="shared" ca="1" si="25"/>
        <v>170</v>
      </c>
      <c r="Y45" s="134">
        <f t="shared" ca="1" si="2"/>
        <v>5444.4000000000015</v>
      </c>
      <c r="Z45" s="134">
        <f t="shared" ca="1" si="35"/>
        <v>134.70580555555557</v>
      </c>
      <c r="AA45" s="134">
        <f t="shared" ca="1" si="26"/>
        <v>134.70580555555557</v>
      </c>
      <c r="AB45" s="134">
        <f ca="1">IF(R46=0,R45*Q12,(R44*20+R45*10))</f>
        <v>125418.60000000005</v>
      </c>
      <c r="AC45" s="134">
        <f t="shared" ca="1" si="3"/>
        <v>0</v>
      </c>
      <c r="AD45" s="134">
        <f t="shared" ca="1" si="4"/>
        <v>0</v>
      </c>
      <c r="AE45" s="134">
        <f t="shared" ca="1" si="27"/>
        <v>0</v>
      </c>
      <c r="AF45" s="134">
        <f t="shared" ca="1" si="5"/>
        <v>0</v>
      </c>
      <c r="AG45" s="134">
        <f t="shared" ca="1" si="28"/>
        <v>0</v>
      </c>
      <c r="AH45" s="134">
        <f t="shared" ca="1" si="6"/>
        <v>0</v>
      </c>
      <c r="AI45" s="134">
        <f t="shared" ca="1" si="7"/>
        <v>4083.4000000000015</v>
      </c>
      <c r="AJ45" s="134">
        <f ca="1">IF(N46=1,AI44*G12*20/36000+AI45*G12*10/36000,IF(N46=0,IF(N45=0,0,AI45*G12*Q12/36000+AI44*G12*20/36000+AI45*G12*10/36000)))</f>
        <v>0</v>
      </c>
      <c r="AK45" s="134">
        <f ca="1">IF(N46=1,AI44*G12*20/36000+AI45*G12*10/36000,IF(N46=0,IF(N45=0,0,AI45*G12*Q12/36000+AI44*G12*20/36000+AI45*G12*10/36000)))</f>
        <v>0</v>
      </c>
      <c r="AL45" s="132">
        <f t="shared" ca="1" si="29"/>
        <v>10</v>
      </c>
      <c r="AM45" s="132">
        <f t="shared" ca="1" si="8"/>
        <v>10</v>
      </c>
      <c r="AN45" s="2">
        <f t="shared" ca="1" si="30"/>
        <v>2025</v>
      </c>
      <c r="AO45" s="2">
        <f t="shared" ca="1" si="9"/>
        <v>2025</v>
      </c>
      <c r="AP45" s="2">
        <f t="shared" ca="1" si="10"/>
        <v>0</v>
      </c>
      <c r="AQ45" s="2">
        <f t="shared" ca="1" si="11"/>
        <v>30</v>
      </c>
      <c r="AR45" s="2">
        <f t="shared" si="12"/>
        <v>20</v>
      </c>
      <c r="AS45" s="2">
        <f t="shared" ca="1" si="31"/>
        <v>30</v>
      </c>
      <c r="AT45" s="2"/>
      <c r="AU45" s="2"/>
      <c r="AV45" s="2"/>
      <c r="AW45" s="2"/>
      <c r="AX45" s="2"/>
      <c r="AY45" s="2">
        <f t="shared" ca="1" si="13"/>
        <v>1</v>
      </c>
      <c r="AZ45" s="2"/>
      <c r="BA45" s="2"/>
      <c r="BB45" s="2"/>
      <c r="BC45" s="2"/>
      <c r="BD45" s="2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4"/>
        <v>22</v>
      </c>
      <c r="B46" s="268">
        <f t="shared" ca="1" si="15"/>
        <v>45981</v>
      </c>
      <c r="C46" s="401"/>
      <c r="D46" s="269">
        <f ca="1">IF(N46=0,IF(N45=1,D25+D26+D27+D28+D29+D30+D31+D32+D33+D34+D35+D36+D37+D38+D39+D40+D41+D42+D43+D44+D45," "),IF(N46=0," ",IF(N47=1,D25,IF(N47=0,D10-D25*(M14-1)," "))))</f>
        <v>145.83000000000001</v>
      </c>
      <c r="E46" s="269"/>
      <c r="F46" s="87">
        <f ca="1">IF(N46=0,IF(N45=1,F25+F26+F27+F28+F29+F30+F31+F32+F33+F34+F35+F36+F37+F38+F39+F40+F41+F42+F43+F44+F45," "),IF(M1=1,P46,IF(M1=2,Q46," ")))</f>
        <v>97.50742500000004</v>
      </c>
      <c r="G46" s="87">
        <v>0</v>
      </c>
      <c r="H46" s="87">
        <f t="shared" ca="1" si="16"/>
        <v>243.33742500000005</v>
      </c>
      <c r="I46" s="87">
        <f t="shared" ca="1" si="17"/>
        <v>194.45</v>
      </c>
      <c r="J46" s="87">
        <f t="shared" ca="1" si="0"/>
        <v>130.00659722222227</v>
      </c>
      <c r="K46" s="87">
        <v>0</v>
      </c>
      <c r="L46" s="87">
        <f t="shared" ca="1" si="18"/>
        <v>324.45659722222229</v>
      </c>
      <c r="M46" s="2">
        <f t="shared" si="19"/>
        <v>22</v>
      </c>
      <c r="N46" s="2">
        <f ca="1">IF(M1=1,IF(M14&gt;21,1,0),IF(M1=2,IF(M14&gt;21,1,0),0))</f>
        <v>1</v>
      </c>
      <c r="O46" s="2">
        <f t="shared" ca="1" si="1"/>
        <v>20</v>
      </c>
      <c r="P46" s="134">
        <f t="shared" ca="1" si="20"/>
        <v>97.50742500000004</v>
      </c>
      <c r="Q46" s="134">
        <f t="shared" ca="1" si="21"/>
        <v>97.50742500000004</v>
      </c>
      <c r="R46" s="134">
        <f t="shared" ca="1" si="22"/>
        <v>3937.5700000000015</v>
      </c>
      <c r="S46" s="134">
        <f t="shared" ca="1" si="23"/>
        <v>145.83000000000001</v>
      </c>
      <c r="T46" s="134">
        <f t="shared" ca="1" si="32"/>
        <v>145.83000000000001</v>
      </c>
      <c r="U46" s="134">
        <f t="shared" ca="1" si="33"/>
        <v>97.50742500000004</v>
      </c>
      <c r="V46" s="134">
        <f t="shared" ca="1" si="34"/>
        <v>97.50742500000004</v>
      </c>
      <c r="W46" s="134">
        <f t="shared" ca="1" si="24"/>
        <v>169.16666666666666</v>
      </c>
      <c r="X46" s="134">
        <f t="shared" ca="1" si="25"/>
        <v>170</v>
      </c>
      <c r="Y46" s="134">
        <f t="shared" ca="1" si="2"/>
        <v>5249.9500000000016</v>
      </c>
      <c r="Z46" s="134">
        <f t="shared" ca="1" si="35"/>
        <v>130.00659722222227</v>
      </c>
      <c r="AA46" s="134">
        <f t="shared" ca="1" si="26"/>
        <v>130.00659722222227</v>
      </c>
      <c r="AB46" s="134">
        <f ca="1">IF(R47=0,R46*Q12,(R45*20+R46*10))</f>
        <v>121043.70000000004</v>
      </c>
      <c r="AC46" s="134">
        <f t="shared" ca="1" si="3"/>
        <v>0</v>
      </c>
      <c r="AD46" s="134">
        <f t="shared" ca="1" si="4"/>
        <v>0</v>
      </c>
      <c r="AE46" s="134">
        <f t="shared" ca="1" si="27"/>
        <v>0</v>
      </c>
      <c r="AF46" s="134">
        <f t="shared" ca="1" si="5"/>
        <v>0</v>
      </c>
      <c r="AG46" s="134">
        <f t="shared" ca="1" si="28"/>
        <v>0</v>
      </c>
      <c r="AH46" s="134">
        <f t="shared" ca="1" si="6"/>
        <v>0</v>
      </c>
      <c r="AI46" s="134">
        <f t="shared" ca="1" si="7"/>
        <v>3937.5700000000015</v>
      </c>
      <c r="AJ46" s="134">
        <f ca="1">IF(N47=1,AI45*G12*20/36000+AI46*G12*10/36000,IF(N47=0,IF(N46=0,0,AI46*G12*Q12/36000+AI45*G12*20/36000+AI46*G12*10/36000)))</f>
        <v>0</v>
      </c>
      <c r="AK46" s="134">
        <f ca="1">IF(N47=1,AI45*G12*20/36000+AI46*G12*10/36000,IF(N47=0,IF(N46=0,0,AI46*G12*Q12/36000+AI45*G12*20/36000+AI46*G12*10/36000)))</f>
        <v>0</v>
      </c>
      <c r="AL46" s="132">
        <f t="shared" ca="1" si="29"/>
        <v>11</v>
      </c>
      <c r="AM46" s="132">
        <f t="shared" ca="1" si="8"/>
        <v>11</v>
      </c>
      <c r="AN46" s="2">
        <f t="shared" ca="1" si="30"/>
        <v>2025</v>
      </c>
      <c r="AO46" s="2">
        <f t="shared" ca="1" si="9"/>
        <v>2025</v>
      </c>
      <c r="AP46" s="2">
        <f t="shared" ca="1" si="10"/>
        <v>0</v>
      </c>
      <c r="AQ46" s="2">
        <f t="shared" ca="1" si="11"/>
        <v>30</v>
      </c>
      <c r="AR46" s="2">
        <f t="shared" si="12"/>
        <v>20</v>
      </c>
      <c r="AS46" s="2">
        <f t="shared" ca="1" si="31"/>
        <v>30</v>
      </c>
      <c r="AT46" s="2"/>
      <c r="AU46" s="2"/>
      <c r="AV46" s="2"/>
      <c r="AW46" s="2"/>
      <c r="AX46" s="2"/>
      <c r="AY46" s="2">
        <f t="shared" ca="1" si="13"/>
        <v>1</v>
      </c>
      <c r="AZ46" s="2"/>
      <c r="BA46" s="2"/>
      <c r="BB46" s="2"/>
      <c r="BC46" s="2"/>
      <c r="BD46" s="2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4"/>
        <v>23</v>
      </c>
      <c r="B47" s="268">
        <f t="shared" ca="1" si="15"/>
        <v>46011</v>
      </c>
      <c r="C47" s="401"/>
      <c r="D47" s="269">
        <f ca="1">IF(N47=0,IF(N46=1,D25+D26+D27+D28+D29+D30+D31+D32+D33+D34+D35+D36+D37+D38+D39+D40+D41+D42+D43+D44+D45+D46," "),IF(N47=0," ",IF(N48=1,D25,IF(N48=0,D10-D25*(M14-1)," "))))</f>
        <v>145.83000000000001</v>
      </c>
      <c r="E47" s="269"/>
      <c r="F47" s="87">
        <f ca="1">IF(N47=0,IF(N46=1,F25+F26+F27+F28+F29+F30+F31+F32+F33+F34+F35+F36+F37+F38+F39+F40+F41+F42+F43+F44+F45+F46," "),IF(M1=1,P47,IF(M1=2,Q47," ")))</f>
        <v>93.983200000000039</v>
      </c>
      <c r="G47" s="87">
        <v>0</v>
      </c>
      <c r="H47" s="87">
        <f t="shared" ca="1" si="16"/>
        <v>239.81320000000005</v>
      </c>
      <c r="I47" s="87">
        <f t="shared" ca="1" si="17"/>
        <v>194.45</v>
      </c>
      <c r="J47" s="87">
        <f t="shared" ca="1" si="0"/>
        <v>125.30738888888892</v>
      </c>
      <c r="K47" s="87">
        <v>0</v>
      </c>
      <c r="L47" s="87">
        <f t="shared" ca="1" si="18"/>
        <v>319.7573888888889</v>
      </c>
      <c r="M47" s="2">
        <f t="shared" si="19"/>
        <v>23</v>
      </c>
      <c r="N47" s="2">
        <f ca="1">IF(M1=1,IF(M14&gt;22,1,0),IF(M1=2,IF(M14&gt;22,1,0),0))</f>
        <v>1</v>
      </c>
      <c r="O47" s="2">
        <f t="shared" ca="1" si="1"/>
        <v>20</v>
      </c>
      <c r="P47" s="134">
        <f t="shared" ca="1" si="20"/>
        <v>93.983200000000039</v>
      </c>
      <c r="Q47" s="134">
        <f t="shared" ca="1" si="21"/>
        <v>93.983200000000039</v>
      </c>
      <c r="R47" s="134">
        <f t="shared" ca="1" si="22"/>
        <v>3791.7400000000016</v>
      </c>
      <c r="S47" s="134">
        <f t="shared" ca="1" si="23"/>
        <v>145.83000000000001</v>
      </c>
      <c r="T47" s="134">
        <f t="shared" ca="1" si="32"/>
        <v>145.83000000000001</v>
      </c>
      <c r="U47" s="134">
        <f t="shared" ca="1" si="33"/>
        <v>93.983200000000039</v>
      </c>
      <c r="V47" s="134">
        <f t="shared" ca="1" si="34"/>
        <v>93.983200000000039</v>
      </c>
      <c r="W47" s="134">
        <f t="shared" ca="1" si="24"/>
        <v>169.16666666666666</v>
      </c>
      <c r="X47" s="134">
        <f t="shared" ca="1" si="25"/>
        <v>170</v>
      </c>
      <c r="Y47" s="134">
        <f t="shared" ca="1" si="2"/>
        <v>5055.5000000000018</v>
      </c>
      <c r="Z47" s="134">
        <f t="shared" ca="1" si="35"/>
        <v>125.30738888888892</v>
      </c>
      <c r="AA47" s="134">
        <f t="shared" ca="1" si="26"/>
        <v>125.30738888888892</v>
      </c>
      <c r="AB47" s="134">
        <f ca="1">IF(R48=0,R47*Q12,(R46*20+R47*10))</f>
        <v>116668.80000000005</v>
      </c>
      <c r="AC47" s="134">
        <f t="shared" ca="1" si="3"/>
        <v>0</v>
      </c>
      <c r="AD47" s="134">
        <f t="shared" ca="1" si="4"/>
        <v>0</v>
      </c>
      <c r="AE47" s="134">
        <f t="shared" ca="1" si="27"/>
        <v>0</v>
      </c>
      <c r="AF47" s="134">
        <f t="shared" ca="1" si="5"/>
        <v>0</v>
      </c>
      <c r="AG47" s="134">
        <f t="shared" ca="1" si="28"/>
        <v>0</v>
      </c>
      <c r="AH47" s="134">
        <f t="shared" ca="1" si="6"/>
        <v>0</v>
      </c>
      <c r="AI47" s="134">
        <f t="shared" ca="1" si="7"/>
        <v>3791.7400000000016</v>
      </c>
      <c r="AJ47" s="134">
        <f ca="1">IF(N48=1,AI46*G12*20/36000+AI47*G12*10/36000,IF(N48=0,IF(N47=0,0,AI47*G12*Q12/36000+AI46*G12*20/36000+AI47*G12*10/36000)))</f>
        <v>0</v>
      </c>
      <c r="AK47" s="134">
        <f ca="1">IF(N48=1,AI46*G12*20/36000+AI47*G12*10/36000,IF(N48=0,IF(N47=0,0,AI47*G12*Q12/36000+AI46*G12*20/36000+AI47*G12*10/36000)))</f>
        <v>0</v>
      </c>
      <c r="AL47" s="132">
        <f t="shared" ca="1" si="29"/>
        <v>12</v>
      </c>
      <c r="AM47" s="132">
        <f t="shared" ca="1" si="8"/>
        <v>12</v>
      </c>
      <c r="AN47" s="2">
        <f t="shared" ca="1" si="30"/>
        <v>2025</v>
      </c>
      <c r="AO47" s="2">
        <f t="shared" ca="1" si="9"/>
        <v>2025</v>
      </c>
      <c r="AP47" s="2">
        <f t="shared" ca="1" si="10"/>
        <v>0</v>
      </c>
      <c r="AQ47" s="2">
        <f t="shared" ca="1" si="11"/>
        <v>30</v>
      </c>
      <c r="AR47" s="2">
        <f t="shared" si="12"/>
        <v>20</v>
      </c>
      <c r="AS47" s="2">
        <f t="shared" ca="1" si="31"/>
        <v>30</v>
      </c>
      <c r="AT47" s="2"/>
      <c r="AU47" s="2"/>
      <c r="AV47" s="2"/>
      <c r="AW47" s="2"/>
      <c r="AX47" s="2"/>
      <c r="AY47" s="2">
        <f t="shared" ca="1" si="13"/>
        <v>1</v>
      </c>
      <c r="AZ47" s="2"/>
      <c r="BA47" s="2"/>
      <c r="BB47" s="2"/>
      <c r="BC47" s="2"/>
      <c r="BD47" s="2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4"/>
        <v>24</v>
      </c>
      <c r="B48" s="268">
        <f t="shared" ca="1" si="15"/>
        <v>46042</v>
      </c>
      <c r="C48" s="401"/>
      <c r="D48" s="269">
        <f ca="1">IF(N48=0,IF(N47=1,SUM(D$25:E47)," "),IF(N48=0," ",IF(N49=1,D$25,IF(N49=0,D$10-D$25*(M$14-1)," "))))</f>
        <v>145.83000000000001</v>
      </c>
      <c r="E48" s="269"/>
      <c r="F48" s="87">
        <f ca="1">IF(N48=0,IF(N47=1,SUM(F$25:F47)," "),IF(M$1=1,P48,IF(M$1=2,Q48," ")))</f>
        <v>90.458975000000038</v>
      </c>
      <c r="G48" s="87">
        <v>0</v>
      </c>
      <c r="H48" s="87">
        <f t="shared" ca="1" si="16"/>
        <v>236.28897500000005</v>
      </c>
      <c r="I48" s="87">
        <f t="shared" ca="1" si="17"/>
        <v>194.45</v>
      </c>
      <c r="J48" s="87">
        <f t="shared" ca="1" si="0"/>
        <v>120.60818055555561</v>
      </c>
      <c r="K48" s="87">
        <v>0</v>
      </c>
      <c r="L48" s="87">
        <f t="shared" ca="1" si="18"/>
        <v>315.05818055555562</v>
      </c>
      <c r="M48" s="2">
        <f t="shared" si="19"/>
        <v>24</v>
      </c>
      <c r="N48" s="2">
        <f t="shared" ref="N48:N85" ca="1" si="36">IF(M$1=1,IF(M$14&gt;M47,1,0),IF(M$1=2,IF(M$14&gt;M47,1,0),0))</f>
        <v>1</v>
      </c>
      <c r="O48" s="2">
        <f t="shared" ca="1" si="1"/>
        <v>20</v>
      </c>
      <c r="P48" s="134">
        <f t="shared" ca="1" si="20"/>
        <v>90.458975000000038</v>
      </c>
      <c r="Q48" s="134">
        <f t="shared" ca="1" si="21"/>
        <v>90.458975000000038</v>
      </c>
      <c r="R48" s="134">
        <f t="shared" ca="1" si="22"/>
        <v>3645.9100000000017</v>
      </c>
      <c r="S48" s="134">
        <f t="shared" ca="1" si="23"/>
        <v>145.83000000000001</v>
      </c>
      <c r="T48" s="134">
        <f t="shared" ca="1" si="32"/>
        <v>145.83000000000001</v>
      </c>
      <c r="U48" s="134">
        <f ca="1">IF(N49=1,R47*D11*20/36000+R48*D11*10/36000,IF(N49=0,IF(N48=0,0,R48*D11*Q12/36000+R47*D11*20/36000+R48*D11*10/36000)))</f>
        <v>90.458975000000038</v>
      </c>
      <c r="V48" s="134">
        <f ca="1">IF(N49=1,R47*D11*20/36000+R48*D11*10/36000,IF(N49=0,IF(N48=0,0,R48*D11*Q12/36000+R47*D11*20/36000+R48*D11*10/36000)))</f>
        <v>90.458975000000038</v>
      </c>
      <c r="W48" s="134">
        <f t="shared" ca="1" si="24"/>
        <v>169.16666666666666</v>
      </c>
      <c r="X48" s="134">
        <f t="shared" ca="1" si="25"/>
        <v>170</v>
      </c>
      <c r="Y48" s="134">
        <f t="shared" ca="1" si="2"/>
        <v>4861.050000000002</v>
      </c>
      <c r="Z48" s="134">
        <f t="shared" ca="1" si="35"/>
        <v>120.60818055555561</v>
      </c>
      <c r="AA48" s="134">
        <f t="shared" ca="1" si="26"/>
        <v>120.60818055555561</v>
      </c>
      <c r="AB48" s="134">
        <f t="shared" ref="AB48:AB84" ca="1" si="37">IF(R49=0,R48*Q$12,(R47*20+R48*10))</f>
        <v>112293.90000000005</v>
      </c>
      <c r="AC48" s="134">
        <f t="shared" ca="1" si="3"/>
        <v>0</v>
      </c>
      <c r="AD48" s="134">
        <f t="shared" ca="1" si="4"/>
        <v>0</v>
      </c>
      <c r="AE48" s="134">
        <f t="shared" ca="1" si="27"/>
        <v>0</v>
      </c>
      <c r="AF48" s="134">
        <f t="shared" ca="1" si="5"/>
        <v>0</v>
      </c>
      <c r="AG48" s="134">
        <f t="shared" ca="1" si="28"/>
        <v>0</v>
      </c>
      <c r="AH48" s="134">
        <f t="shared" ca="1" si="6"/>
        <v>0</v>
      </c>
      <c r="AI48" s="134">
        <f t="shared" ca="1" si="7"/>
        <v>3645.9100000000017</v>
      </c>
      <c r="AJ48" s="134">
        <f ca="1">IF(N49=1,AI47*G$12*20/36000+AI48*G$12*10/36000,IF(N49=0,IF(N48=0,0,AI48*G$12*Q$12/36000+AI47*G$12*20/36000+AI48*G$12*10/36000)))</f>
        <v>0</v>
      </c>
      <c r="AK48" s="134">
        <f ca="1">IF(N49=1,AI47*G$12*20/36000+AI48*G$12*10/36000,IF(N49=0,IF(N48=0,0,AI48*G$12*Q$12/36000+AI47*G$12*20/36000+AI48*G$12*10/36000)))</f>
        <v>0</v>
      </c>
      <c r="AL48" s="132">
        <f t="shared" ca="1" si="29"/>
        <v>13</v>
      </c>
      <c r="AM48" s="132">
        <f t="shared" ca="1" si="8"/>
        <v>1</v>
      </c>
      <c r="AN48" s="2">
        <f t="shared" ca="1" si="30"/>
        <v>2025</v>
      </c>
      <c r="AO48" s="2">
        <f t="shared" ca="1" si="9"/>
        <v>2026</v>
      </c>
      <c r="AP48" s="2">
        <f t="shared" ca="1" si="10"/>
        <v>0</v>
      </c>
      <c r="AQ48" s="2">
        <f t="shared" ca="1" si="11"/>
        <v>30</v>
      </c>
      <c r="AR48" s="2">
        <f t="shared" si="12"/>
        <v>20</v>
      </c>
      <c r="AS48" s="2">
        <f t="shared" ca="1" si="31"/>
        <v>30</v>
      </c>
      <c r="AT48" s="2"/>
      <c r="AU48" s="2"/>
      <c r="AV48" s="2"/>
      <c r="AW48" s="2"/>
      <c r="AX48" s="2"/>
      <c r="AY48" s="2">
        <f t="shared" ca="1" si="13"/>
        <v>1</v>
      </c>
      <c r="AZ48" s="2"/>
      <c r="BA48" s="2"/>
      <c r="BB48" s="2"/>
      <c r="BC48" s="2"/>
      <c r="BD48" s="2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5"/>
        <v>46073</v>
      </c>
      <c r="C49" s="401"/>
      <c r="D49" s="269">
        <f ca="1">IF(N49=0,IF(N48=1,SUM(D$25:E48)," "),IF(N49=0," ",IF(N50=1,D$25,IF(N50=0,D$10-D$25*(M$14-1)," "))))</f>
        <v>145.83000000000001</v>
      </c>
      <c r="E49" s="269"/>
      <c r="F49" s="87">
        <f ca="1">IF(N49=0,IF(N48=1,SUM(F$25:F48)," "),IF(M$1=1,P49,IF(M$1=2,Q49," ")))</f>
        <v>86.934750000000037</v>
      </c>
      <c r="G49" s="87">
        <v>0</v>
      </c>
      <c r="H49" s="87">
        <f t="shared" ca="1" si="16"/>
        <v>232.76475000000005</v>
      </c>
      <c r="I49" s="87">
        <f t="shared" ca="1" si="17"/>
        <v>194.45</v>
      </c>
      <c r="J49" s="87">
        <f t="shared" ca="1" si="0"/>
        <v>115.90897222222227</v>
      </c>
      <c r="K49" s="87">
        <v>0</v>
      </c>
      <c r="L49" s="87">
        <f t="shared" ca="1" si="18"/>
        <v>310.35897222222229</v>
      </c>
      <c r="M49" s="2">
        <v>25</v>
      </c>
      <c r="N49" s="2">
        <f t="shared" ca="1" si="36"/>
        <v>1</v>
      </c>
      <c r="O49" s="2">
        <f t="shared" ca="1" si="1"/>
        <v>20</v>
      </c>
      <c r="P49" s="134">
        <f t="shared" ca="1" si="20"/>
        <v>86.934750000000037</v>
      </c>
      <c r="Q49" s="134">
        <f t="shared" ca="1" si="21"/>
        <v>86.934750000000037</v>
      </c>
      <c r="R49" s="134">
        <f t="shared" ca="1" si="22"/>
        <v>3500.0800000000017</v>
      </c>
      <c r="S49" s="134">
        <f t="shared" ca="1" si="23"/>
        <v>145.83000000000001</v>
      </c>
      <c r="T49" s="134">
        <f t="shared" ca="1" si="32"/>
        <v>145.83000000000001</v>
      </c>
      <c r="U49" s="134">
        <f t="shared" ca="1" si="33"/>
        <v>86.934750000000037</v>
      </c>
      <c r="V49" s="134">
        <f t="shared" ca="1" si="34"/>
        <v>86.934750000000037</v>
      </c>
      <c r="W49" s="134">
        <f t="shared" ca="1" si="24"/>
        <v>169.16666666666666</v>
      </c>
      <c r="X49" s="134">
        <f t="shared" ca="1" si="25"/>
        <v>170</v>
      </c>
      <c r="Y49" s="134">
        <f t="shared" ca="1" si="2"/>
        <v>4666.6000000000022</v>
      </c>
      <c r="Z49" s="134">
        <f t="shared" ca="1" si="35"/>
        <v>115.90897222222227</v>
      </c>
      <c r="AA49" s="134">
        <f t="shared" ca="1" si="26"/>
        <v>115.90897222222227</v>
      </c>
      <c r="AB49" s="134">
        <f t="shared" ca="1" si="37"/>
        <v>107919.00000000006</v>
      </c>
      <c r="AC49" s="134">
        <f t="shared" ca="1" si="3"/>
        <v>0</v>
      </c>
      <c r="AD49" s="134">
        <f t="shared" ca="1" si="4"/>
        <v>0</v>
      </c>
      <c r="AE49" s="134">
        <f t="shared" ca="1" si="27"/>
        <v>0</v>
      </c>
      <c r="AF49" s="134">
        <f t="shared" ca="1" si="5"/>
        <v>0</v>
      </c>
      <c r="AG49" s="134">
        <f t="shared" ca="1" si="28"/>
        <v>0</v>
      </c>
      <c r="AH49" s="134">
        <f t="shared" ca="1" si="6"/>
        <v>0</v>
      </c>
      <c r="AI49" s="134">
        <f t="shared" ca="1" si="7"/>
        <v>3500.0800000000017</v>
      </c>
      <c r="AJ49" s="134">
        <f ca="1">IF(N50=1,AI48*G$12*20/36000+AI49*G$12*10/36000,IF(N50=0,IF(N49=0,0,AI49*G$12*Q$12/36000)))</f>
        <v>0</v>
      </c>
      <c r="AK49" s="134">
        <f ca="1">IF(N50=1,AI48*G$12*20/36000+AI49*G$12*10/36000,IF(N50=0,IF(N49=0,0,AI49*G$12*Q$12/36000)))</f>
        <v>0</v>
      </c>
      <c r="AL49" s="132">
        <f t="shared" ca="1" si="29"/>
        <v>2</v>
      </c>
      <c r="AM49" s="132">
        <f t="shared" ca="1" si="8"/>
        <v>2</v>
      </c>
      <c r="AN49" s="2">
        <f t="shared" ca="1" si="30"/>
        <v>2026</v>
      </c>
      <c r="AO49" s="2">
        <f t="shared" ca="1" si="9"/>
        <v>2026</v>
      </c>
      <c r="AP49" s="2">
        <f t="shared" ca="1" si="10"/>
        <v>0</v>
      </c>
      <c r="AQ49" s="2">
        <f t="shared" ca="1" si="11"/>
        <v>28</v>
      </c>
      <c r="AR49" s="2">
        <f t="shared" si="12"/>
        <v>20</v>
      </c>
      <c r="AS49" s="2">
        <f t="shared" ca="1" si="31"/>
        <v>30</v>
      </c>
      <c r="AT49" s="2"/>
      <c r="AU49" s="2"/>
      <c r="AV49" s="2"/>
      <c r="AW49" s="2"/>
      <c r="AX49" s="2"/>
      <c r="AY49" s="2">
        <f t="shared" ca="1" si="13"/>
        <v>1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5"/>
        <v>46101</v>
      </c>
      <c r="C50" s="401"/>
      <c r="D50" s="269">
        <f ca="1">IF(N50=0,IF(N49=1,SUM(D$25:E49)," "),IF(N50=0," ",IF(N51=1,D$25,IF(N51=0,D$10-D$25*(M$14-1)," "))))</f>
        <v>145.83000000000001</v>
      </c>
      <c r="E50" s="269"/>
      <c r="F50" s="87">
        <f ca="1">IF(N50=0,IF(N49=1,SUM(F$25:F49)," "),IF(M$1=1,P50,IF(M$1=2,Q50," ")))</f>
        <v>83.41052500000005</v>
      </c>
      <c r="G50" s="87">
        <v>0</v>
      </c>
      <c r="H50" s="87">
        <f t="shared" ca="1" si="16"/>
        <v>229.24052500000005</v>
      </c>
      <c r="I50" s="87">
        <f t="shared" ca="1" si="17"/>
        <v>194.45</v>
      </c>
      <c r="J50" s="87">
        <f t="shared" ca="1" si="0"/>
        <v>111.20976388888894</v>
      </c>
      <c r="K50" s="87">
        <v>0</v>
      </c>
      <c r="L50" s="87">
        <f t="shared" ca="1" si="18"/>
        <v>305.65976388888896</v>
      </c>
      <c r="M50" s="2">
        <v>26</v>
      </c>
      <c r="N50" s="2">
        <f t="shared" ca="1" si="36"/>
        <v>1</v>
      </c>
      <c r="O50" s="2">
        <f t="shared" ca="1" si="1"/>
        <v>20</v>
      </c>
      <c r="P50" s="134">
        <f t="shared" ca="1" si="20"/>
        <v>83.41052500000005</v>
      </c>
      <c r="Q50" s="134">
        <f t="shared" ca="1" si="21"/>
        <v>83.41052500000005</v>
      </c>
      <c r="R50" s="134">
        <f t="shared" ca="1" si="22"/>
        <v>3354.2500000000018</v>
      </c>
      <c r="S50" s="134">
        <f t="shared" ca="1" si="23"/>
        <v>145.83000000000001</v>
      </c>
      <c r="T50" s="134">
        <f t="shared" ca="1" si="32"/>
        <v>145.83000000000001</v>
      </c>
      <c r="U50" s="134">
        <f t="shared" ca="1" si="33"/>
        <v>83.41052500000005</v>
      </c>
      <c r="V50" s="134">
        <f t="shared" ca="1" si="34"/>
        <v>83.41052500000005</v>
      </c>
      <c r="W50" s="134">
        <f t="shared" ca="1" si="24"/>
        <v>169.16666666666666</v>
      </c>
      <c r="X50" s="134">
        <f t="shared" ca="1" si="25"/>
        <v>170</v>
      </c>
      <c r="Y50" s="134">
        <f t="shared" ca="1" si="2"/>
        <v>4472.1500000000024</v>
      </c>
      <c r="Z50" s="134">
        <f t="shared" ca="1" si="35"/>
        <v>111.20976388888894</v>
      </c>
      <c r="AA50" s="134">
        <f t="shared" ca="1" si="26"/>
        <v>111.20976388888894</v>
      </c>
      <c r="AB50" s="134">
        <f t="shared" ca="1" si="37"/>
        <v>103544.10000000005</v>
      </c>
      <c r="AC50" s="134">
        <f t="shared" ca="1" si="3"/>
        <v>0</v>
      </c>
      <c r="AD50" s="134">
        <f t="shared" ca="1" si="4"/>
        <v>0</v>
      </c>
      <c r="AE50" s="134">
        <f t="shared" ca="1" si="27"/>
        <v>0</v>
      </c>
      <c r="AF50" s="134">
        <f t="shared" ca="1" si="5"/>
        <v>0</v>
      </c>
      <c r="AG50" s="134">
        <f t="shared" ca="1" si="28"/>
        <v>0</v>
      </c>
      <c r="AH50" s="134">
        <f t="shared" ca="1" si="6"/>
        <v>0</v>
      </c>
      <c r="AI50" s="134">
        <f t="shared" ca="1" si="7"/>
        <v>3354.2500000000018</v>
      </c>
      <c r="AJ50" s="134">
        <f t="shared" ref="AJ50:AJ60" ca="1" si="38">IF(N51=1,AI49*G$12*20/36000+AI50*G$12*10/36000,IF(N51=0,IF(N50=0,0,AI50*G$12*Q$12/36000+AI49*G$12*20/36000+AI50*G$12*10/36000)))</f>
        <v>0</v>
      </c>
      <c r="AK50" s="134">
        <f t="shared" ref="AK50:AK60" ca="1" si="39">IF(N51=1,AI49*G$12*20/36000+AI50*G$12*10/36000,IF(N51=0,IF(N50=0,0,AI50*G$12*Q$12/36000+AI49*G$12*20/36000+AI50*G$12*10/36000)))</f>
        <v>0</v>
      </c>
      <c r="AL50" s="132">
        <f t="shared" ca="1" si="29"/>
        <v>3</v>
      </c>
      <c r="AM50" s="132">
        <f t="shared" ca="1" si="8"/>
        <v>3</v>
      </c>
      <c r="AN50" s="2">
        <f t="shared" ca="1" si="30"/>
        <v>2026</v>
      </c>
      <c r="AO50" s="2">
        <f t="shared" ca="1" si="9"/>
        <v>2026</v>
      </c>
      <c r="AP50" s="2">
        <f t="shared" ca="1" si="10"/>
        <v>0</v>
      </c>
      <c r="AQ50" s="2">
        <f t="shared" ca="1" si="11"/>
        <v>30</v>
      </c>
      <c r="AR50" s="2">
        <f t="shared" si="12"/>
        <v>20</v>
      </c>
      <c r="AS50" s="2">
        <f t="shared" ca="1" si="31"/>
        <v>28</v>
      </c>
      <c r="AT50" s="2"/>
      <c r="AU50" s="2"/>
      <c r="AV50" s="2"/>
      <c r="AW50" s="2"/>
      <c r="AX50" s="2"/>
      <c r="AY50" s="2">
        <f t="shared" ca="1" si="13"/>
        <v>1</v>
      </c>
      <c r="AZ50" s="2"/>
      <c r="BA50" s="2"/>
      <c r="BB50" s="2"/>
      <c r="BC50" s="2"/>
      <c r="BD50" s="2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5"/>
        <v>46132</v>
      </c>
      <c r="C51" s="401"/>
      <c r="D51" s="269">
        <f ca="1">IF(N51=0,IF(N50=1,SUM(D$25:E50)," "),IF(N51=0," ",IF(N52=1,D$25,IF(N52=0,D$10-D$25*(M$14-1)," "))))</f>
        <v>145.83000000000001</v>
      </c>
      <c r="E51" s="269"/>
      <c r="F51" s="87">
        <f ca="1">IF(N51=0,IF(N50=1,SUM(F$25:F50)," "),IF(M$1=1,P51,IF(M$1=2,Q51," ")))</f>
        <v>79.886300000000048</v>
      </c>
      <c r="G51" s="87">
        <v>0</v>
      </c>
      <c r="H51" s="87">
        <f t="shared" ca="1" si="16"/>
        <v>225.71630000000005</v>
      </c>
      <c r="I51" s="87">
        <f t="shared" ca="1" si="17"/>
        <v>194.45</v>
      </c>
      <c r="J51" s="87">
        <f t="shared" ca="1" si="0"/>
        <v>106.51055555555561</v>
      </c>
      <c r="K51" s="87">
        <v>0</v>
      </c>
      <c r="L51" s="87">
        <f t="shared" ca="1" si="18"/>
        <v>300.96055555555563</v>
      </c>
      <c r="M51" s="2">
        <v>27</v>
      </c>
      <c r="N51" s="2">
        <f t="shared" ca="1" si="36"/>
        <v>1</v>
      </c>
      <c r="O51" s="2">
        <f t="shared" ca="1" si="1"/>
        <v>20</v>
      </c>
      <c r="P51" s="134">
        <f t="shared" ca="1" si="20"/>
        <v>79.886300000000048</v>
      </c>
      <c r="Q51" s="134">
        <f t="shared" ca="1" si="21"/>
        <v>79.886300000000048</v>
      </c>
      <c r="R51" s="134">
        <f t="shared" ca="1" si="22"/>
        <v>3208.4200000000019</v>
      </c>
      <c r="S51" s="134">
        <f t="shared" ca="1" si="23"/>
        <v>145.83000000000001</v>
      </c>
      <c r="T51" s="134">
        <f t="shared" ca="1" si="32"/>
        <v>145.83000000000001</v>
      </c>
      <c r="U51" s="134">
        <f t="shared" ca="1" si="33"/>
        <v>79.886300000000048</v>
      </c>
      <c r="V51" s="134">
        <f t="shared" ca="1" si="34"/>
        <v>79.886300000000048</v>
      </c>
      <c r="W51" s="134">
        <f t="shared" ca="1" si="24"/>
        <v>169.16666666666666</v>
      </c>
      <c r="X51" s="134">
        <f t="shared" ca="1" si="25"/>
        <v>170</v>
      </c>
      <c r="Y51" s="134">
        <f t="shared" ca="1" si="2"/>
        <v>4277.7000000000025</v>
      </c>
      <c r="Z51" s="134">
        <f t="shared" ca="1" si="35"/>
        <v>106.51055555555561</v>
      </c>
      <c r="AA51" s="134">
        <f t="shared" ca="1" si="26"/>
        <v>106.51055555555561</v>
      </c>
      <c r="AB51" s="134">
        <f t="shared" ca="1" si="37"/>
        <v>99169.200000000041</v>
      </c>
      <c r="AC51" s="134">
        <f t="shared" ca="1" si="3"/>
        <v>0</v>
      </c>
      <c r="AD51" s="134">
        <f t="shared" ca="1" si="4"/>
        <v>0</v>
      </c>
      <c r="AE51" s="134">
        <f t="shared" ca="1" si="27"/>
        <v>0</v>
      </c>
      <c r="AF51" s="134">
        <f t="shared" ca="1" si="5"/>
        <v>0</v>
      </c>
      <c r="AG51" s="134">
        <f t="shared" ca="1" si="28"/>
        <v>0</v>
      </c>
      <c r="AH51" s="134">
        <f t="shared" ca="1" si="6"/>
        <v>0</v>
      </c>
      <c r="AI51" s="134">
        <f t="shared" ca="1" si="7"/>
        <v>3208.4200000000019</v>
      </c>
      <c r="AJ51" s="134">
        <f t="shared" ca="1" si="38"/>
        <v>0</v>
      </c>
      <c r="AK51" s="134">
        <f t="shared" ca="1" si="39"/>
        <v>0</v>
      </c>
      <c r="AL51" s="132">
        <f t="shared" ca="1" si="29"/>
        <v>4</v>
      </c>
      <c r="AM51" s="132">
        <f t="shared" ca="1" si="8"/>
        <v>4</v>
      </c>
      <c r="AN51" s="2">
        <f t="shared" ca="1" si="30"/>
        <v>2026</v>
      </c>
      <c r="AO51" s="2">
        <f t="shared" ca="1" si="9"/>
        <v>2026</v>
      </c>
      <c r="AP51" s="2">
        <f t="shared" ca="1" si="10"/>
        <v>0</v>
      </c>
      <c r="AQ51" s="2">
        <f t="shared" ca="1" si="11"/>
        <v>30</v>
      </c>
      <c r="AR51" s="2">
        <f t="shared" si="12"/>
        <v>20</v>
      </c>
      <c r="AS51" s="2">
        <f t="shared" ca="1" si="31"/>
        <v>30</v>
      </c>
      <c r="AT51" s="2"/>
      <c r="AU51" s="2"/>
      <c r="AV51" s="2"/>
      <c r="AW51" s="2"/>
      <c r="AX51" s="2"/>
      <c r="AY51" s="2">
        <f t="shared" ca="1" si="13"/>
        <v>1</v>
      </c>
      <c r="AZ51" s="2"/>
      <c r="BA51" s="2"/>
      <c r="BB51" s="2"/>
      <c r="BC51" s="2"/>
      <c r="BD51" s="2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5"/>
        <v>46162</v>
      </c>
      <c r="C52" s="401"/>
      <c r="D52" s="269">
        <f ca="1">IF(N52=0,IF(N51=1,SUM(D$25:E51)," "),IF(N52=0," ",IF(N53=1,D$25,IF(N53=0,D$10-D$25*(M$14-1)," "))))</f>
        <v>145.83000000000001</v>
      </c>
      <c r="E52" s="269"/>
      <c r="F52" s="87">
        <f ca="1">IF(N52=0,IF(N51=1,SUM(F$25:F51)," "),IF(M$1=1,P52,IF(M$1=2,Q52," ")))</f>
        <v>76.362075000000033</v>
      </c>
      <c r="G52" s="87">
        <v>0</v>
      </c>
      <c r="H52" s="87">
        <f t="shared" ca="1" si="16"/>
        <v>222.19207500000005</v>
      </c>
      <c r="I52" s="87">
        <f t="shared" ca="1" si="17"/>
        <v>194.45</v>
      </c>
      <c r="J52" s="87">
        <f t="shared" ca="1" si="0"/>
        <v>101.81134722222228</v>
      </c>
      <c r="K52" s="87">
        <v>0</v>
      </c>
      <c r="L52" s="87">
        <f t="shared" ca="1" si="18"/>
        <v>296.2613472222223</v>
      </c>
      <c r="M52" s="2">
        <v>28</v>
      </c>
      <c r="N52" s="2">
        <f t="shared" ca="1" si="36"/>
        <v>1</v>
      </c>
      <c r="O52" s="2">
        <f t="shared" ca="1" si="1"/>
        <v>20</v>
      </c>
      <c r="P52" s="134">
        <f t="shared" ca="1" si="20"/>
        <v>76.362075000000033</v>
      </c>
      <c r="Q52" s="134">
        <f t="shared" ca="1" si="21"/>
        <v>76.362075000000033</v>
      </c>
      <c r="R52" s="134">
        <f t="shared" ca="1" si="22"/>
        <v>3062.590000000002</v>
      </c>
      <c r="S52" s="134">
        <f t="shared" ca="1" si="23"/>
        <v>145.83000000000001</v>
      </c>
      <c r="T52" s="134">
        <f t="shared" ca="1" si="32"/>
        <v>145.83000000000001</v>
      </c>
      <c r="U52" s="134">
        <f t="shared" ca="1" si="33"/>
        <v>76.362075000000033</v>
      </c>
      <c r="V52" s="134">
        <f t="shared" ca="1" si="34"/>
        <v>76.362075000000033</v>
      </c>
      <c r="W52" s="134">
        <f t="shared" ca="1" si="24"/>
        <v>169.16666666666666</v>
      </c>
      <c r="X52" s="134">
        <f t="shared" ca="1" si="25"/>
        <v>170</v>
      </c>
      <c r="Y52" s="134">
        <f t="shared" ca="1" si="2"/>
        <v>4083.2500000000027</v>
      </c>
      <c r="Z52" s="134">
        <f t="shared" ca="1" si="35"/>
        <v>101.81134722222228</v>
      </c>
      <c r="AA52" s="134">
        <f t="shared" ca="1" si="26"/>
        <v>101.81134722222228</v>
      </c>
      <c r="AB52" s="134">
        <f t="shared" ca="1" si="37"/>
        <v>94794.300000000061</v>
      </c>
      <c r="AC52" s="134">
        <f t="shared" ca="1" si="3"/>
        <v>0</v>
      </c>
      <c r="AD52" s="134">
        <f t="shared" ca="1" si="4"/>
        <v>0</v>
      </c>
      <c r="AE52" s="134">
        <f t="shared" ca="1" si="27"/>
        <v>0</v>
      </c>
      <c r="AF52" s="134">
        <f t="shared" ca="1" si="5"/>
        <v>0</v>
      </c>
      <c r="AG52" s="134">
        <f t="shared" ca="1" si="28"/>
        <v>0</v>
      </c>
      <c r="AH52" s="134">
        <f t="shared" ca="1" si="6"/>
        <v>0</v>
      </c>
      <c r="AI52" s="134">
        <f t="shared" ca="1" si="7"/>
        <v>3062.590000000002</v>
      </c>
      <c r="AJ52" s="134">
        <f t="shared" ca="1" si="38"/>
        <v>0</v>
      </c>
      <c r="AK52" s="134">
        <f t="shared" ca="1" si="39"/>
        <v>0</v>
      </c>
      <c r="AL52" s="132">
        <f t="shared" ca="1" si="29"/>
        <v>5</v>
      </c>
      <c r="AM52" s="132">
        <f t="shared" ca="1" si="8"/>
        <v>5</v>
      </c>
      <c r="AN52" s="2">
        <f t="shared" ca="1" si="30"/>
        <v>2026</v>
      </c>
      <c r="AO52" s="2">
        <f t="shared" ca="1" si="9"/>
        <v>2026</v>
      </c>
      <c r="AP52" s="2">
        <f t="shared" ca="1" si="10"/>
        <v>0</v>
      </c>
      <c r="AQ52" s="2">
        <f t="shared" ca="1" si="11"/>
        <v>30</v>
      </c>
      <c r="AR52" s="2">
        <f t="shared" si="12"/>
        <v>20</v>
      </c>
      <c r="AS52" s="2">
        <f t="shared" ca="1" si="31"/>
        <v>30</v>
      </c>
      <c r="AT52" s="2"/>
      <c r="AU52" s="2"/>
      <c r="AV52" s="2"/>
      <c r="AW52" s="2"/>
      <c r="AX52" s="2"/>
      <c r="AY52" s="2">
        <f t="shared" ca="1" si="13"/>
        <v>1</v>
      </c>
      <c r="AZ52" s="2"/>
      <c r="BA52" s="2"/>
      <c r="BB52" s="2"/>
      <c r="BC52" s="2"/>
      <c r="BD52" s="2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5"/>
        <v>46193</v>
      </c>
      <c r="C53" s="401"/>
      <c r="D53" s="269">
        <f ca="1">IF(N53=0,IF(N52=1,SUM(D$25:E52)," "),IF(N53=0," ",IF(N54=1,D$25,IF(N54=0,D$10-D$25*(M$14-1)," "))))</f>
        <v>145.83000000000001</v>
      </c>
      <c r="E53" s="269"/>
      <c r="F53" s="87">
        <f ca="1">IF(N53=0,IF(N52=1,SUM(F$25:F52)," "),IF(M$1=1,P53,IF(M$1=2,Q53," ")))</f>
        <v>72.837850000000046</v>
      </c>
      <c r="G53" s="87">
        <v>0</v>
      </c>
      <c r="H53" s="87">
        <f t="shared" ca="1" si="16"/>
        <v>218.66785000000004</v>
      </c>
      <c r="I53" s="87">
        <f t="shared" ca="1" si="17"/>
        <v>194.45</v>
      </c>
      <c r="J53" s="87">
        <f t="shared" ca="1" si="0"/>
        <v>97.11213888888895</v>
      </c>
      <c r="K53" s="87">
        <v>0</v>
      </c>
      <c r="L53" s="87">
        <f t="shared" ca="1" si="18"/>
        <v>291.56213888888897</v>
      </c>
      <c r="M53" s="2">
        <v>29</v>
      </c>
      <c r="N53" s="2">
        <f t="shared" ca="1" si="36"/>
        <v>1</v>
      </c>
      <c r="O53" s="2">
        <f t="shared" ca="1" si="1"/>
        <v>20</v>
      </c>
      <c r="P53" s="134">
        <f t="shared" ca="1" si="20"/>
        <v>72.837850000000046</v>
      </c>
      <c r="Q53" s="134">
        <f t="shared" ca="1" si="21"/>
        <v>72.837850000000046</v>
      </c>
      <c r="R53" s="134">
        <f t="shared" ca="1" si="22"/>
        <v>2916.760000000002</v>
      </c>
      <c r="S53" s="134">
        <f t="shared" ca="1" si="23"/>
        <v>145.83000000000001</v>
      </c>
      <c r="T53" s="134">
        <f t="shared" ca="1" si="32"/>
        <v>145.83000000000001</v>
      </c>
      <c r="U53" s="134">
        <f t="shared" ca="1" si="33"/>
        <v>72.837850000000046</v>
      </c>
      <c r="V53" s="134">
        <f t="shared" ca="1" si="34"/>
        <v>72.837850000000046</v>
      </c>
      <c r="W53" s="134">
        <f t="shared" ca="1" si="24"/>
        <v>169.16666666666666</v>
      </c>
      <c r="X53" s="134">
        <f t="shared" ca="1" si="25"/>
        <v>170</v>
      </c>
      <c r="Y53" s="134">
        <f t="shared" ca="1" si="2"/>
        <v>3888.8000000000029</v>
      </c>
      <c r="Z53" s="134">
        <f t="shared" ca="1" si="35"/>
        <v>97.11213888888895</v>
      </c>
      <c r="AA53" s="134">
        <f t="shared" ca="1" si="26"/>
        <v>97.11213888888895</v>
      </c>
      <c r="AB53" s="134">
        <f t="shared" ca="1" si="37"/>
        <v>90419.400000000052</v>
      </c>
      <c r="AC53" s="134">
        <f t="shared" ca="1" si="3"/>
        <v>0</v>
      </c>
      <c r="AD53" s="134">
        <f t="shared" ca="1" si="4"/>
        <v>0</v>
      </c>
      <c r="AE53" s="134">
        <f t="shared" ca="1" si="27"/>
        <v>0</v>
      </c>
      <c r="AF53" s="134">
        <f t="shared" ca="1" si="5"/>
        <v>0</v>
      </c>
      <c r="AG53" s="134">
        <f t="shared" ca="1" si="28"/>
        <v>0</v>
      </c>
      <c r="AH53" s="134">
        <f t="shared" ca="1" si="6"/>
        <v>0</v>
      </c>
      <c r="AI53" s="134">
        <f t="shared" ca="1" si="7"/>
        <v>2916.760000000002</v>
      </c>
      <c r="AJ53" s="134">
        <f t="shared" ca="1" si="38"/>
        <v>0</v>
      </c>
      <c r="AK53" s="134">
        <f t="shared" ca="1" si="39"/>
        <v>0</v>
      </c>
      <c r="AL53" s="132">
        <f t="shared" ca="1" si="29"/>
        <v>6</v>
      </c>
      <c r="AM53" s="132">
        <f t="shared" ca="1" si="8"/>
        <v>6</v>
      </c>
      <c r="AN53" s="2">
        <f t="shared" ca="1" si="30"/>
        <v>2026</v>
      </c>
      <c r="AO53" s="2">
        <f t="shared" ca="1" si="9"/>
        <v>2026</v>
      </c>
      <c r="AP53" s="2">
        <f t="shared" ca="1" si="10"/>
        <v>0</v>
      </c>
      <c r="AQ53" s="2">
        <f t="shared" ca="1" si="11"/>
        <v>30</v>
      </c>
      <c r="AR53" s="2">
        <f t="shared" si="12"/>
        <v>20</v>
      </c>
      <c r="AS53" s="2">
        <f t="shared" ca="1" si="31"/>
        <v>30</v>
      </c>
      <c r="AT53" s="2"/>
      <c r="AU53" s="2"/>
      <c r="AV53" s="2"/>
      <c r="AW53" s="2"/>
      <c r="AX53" s="2"/>
      <c r="AY53" s="2">
        <f t="shared" ca="1" si="13"/>
        <v>1</v>
      </c>
      <c r="AZ53" s="2"/>
      <c r="BA53" s="2"/>
      <c r="BB53" s="2"/>
      <c r="BC53" s="2"/>
      <c r="BD53" s="2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5"/>
        <v>46223</v>
      </c>
      <c r="C54" s="401"/>
      <c r="D54" s="269">
        <f ca="1">IF(N54=0,IF(N53=1,SUM(D$25:E53)," "),IF(N54=0," ",IF(N55=1,D$25,IF(N55=0,D$10-D$25*(M$14-1)," "))))</f>
        <v>145.83000000000001</v>
      </c>
      <c r="E54" s="269"/>
      <c r="F54" s="87">
        <f ca="1">IF(N54=0,IF(N53=1,SUM(F$25:F53)," "),IF(M$1=1,P54,IF(M$1=2,Q54," ")))</f>
        <v>69.313625000000059</v>
      </c>
      <c r="G54" s="87">
        <v>0</v>
      </c>
      <c r="H54" s="87">
        <f t="shared" ca="1" si="16"/>
        <v>215.14362500000007</v>
      </c>
      <c r="I54" s="87">
        <f t="shared" ca="1" si="17"/>
        <v>194.45</v>
      </c>
      <c r="J54" s="87">
        <f t="shared" ca="1" si="0"/>
        <v>92.412930555555633</v>
      </c>
      <c r="K54" s="87">
        <v>0</v>
      </c>
      <c r="L54" s="87">
        <f t="shared" ca="1" si="18"/>
        <v>286.86293055555564</v>
      </c>
      <c r="M54" s="2">
        <v>30</v>
      </c>
      <c r="N54" s="2">
        <f t="shared" ca="1" si="36"/>
        <v>1</v>
      </c>
      <c r="O54" s="2">
        <f t="shared" ca="1" si="1"/>
        <v>20</v>
      </c>
      <c r="P54" s="134">
        <f t="shared" ca="1" si="20"/>
        <v>69.313625000000059</v>
      </c>
      <c r="Q54" s="134">
        <f t="shared" ca="1" si="21"/>
        <v>69.313625000000059</v>
      </c>
      <c r="R54" s="134">
        <f t="shared" ca="1" si="22"/>
        <v>2770.9300000000021</v>
      </c>
      <c r="S54" s="134">
        <f t="shared" ca="1" si="23"/>
        <v>145.83000000000001</v>
      </c>
      <c r="T54" s="134">
        <f t="shared" ca="1" si="32"/>
        <v>145.83000000000001</v>
      </c>
      <c r="U54" s="134">
        <f t="shared" ca="1" si="33"/>
        <v>69.313625000000059</v>
      </c>
      <c r="V54" s="134">
        <f t="shared" ca="1" si="34"/>
        <v>69.313625000000059</v>
      </c>
      <c r="W54" s="134">
        <f t="shared" ca="1" si="24"/>
        <v>169.16666666666666</v>
      </c>
      <c r="X54" s="134">
        <f t="shared" ca="1" si="25"/>
        <v>170</v>
      </c>
      <c r="Y54" s="134">
        <f t="shared" ca="1" si="2"/>
        <v>3694.3500000000031</v>
      </c>
      <c r="Z54" s="134">
        <f t="shared" ca="1" si="35"/>
        <v>92.412930555555633</v>
      </c>
      <c r="AA54" s="134">
        <f t="shared" ca="1" si="26"/>
        <v>92.412930555555633</v>
      </c>
      <c r="AB54" s="134">
        <f t="shared" ca="1" si="37"/>
        <v>86044.500000000058</v>
      </c>
      <c r="AC54" s="134">
        <f t="shared" ca="1" si="3"/>
        <v>0</v>
      </c>
      <c r="AD54" s="134">
        <f t="shared" ca="1" si="4"/>
        <v>0</v>
      </c>
      <c r="AE54" s="134">
        <f t="shared" ca="1" si="27"/>
        <v>0</v>
      </c>
      <c r="AF54" s="134">
        <f t="shared" ca="1" si="5"/>
        <v>0</v>
      </c>
      <c r="AG54" s="134">
        <f t="shared" ca="1" si="28"/>
        <v>0</v>
      </c>
      <c r="AH54" s="134">
        <f t="shared" ca="1" si="6"/>
        <v>0</v>
      </c>
      <c r="AI54" s="134">
        <f t="shared" ca="1" si="7"/>
        <v>2770.9300000000021</v>
      </c>
      <c r="AJ54" s="134">
        <f t="shared" ca="1" si="38"/>
        <v>0</v>
      </c>
      <c r="AK54" s="134">
        <f t="shared" ca="1" si="39"/>
        <v>0</v>
      </c>
      <c r="AL54" s="132">
        <f t="shared" ca="1" si="29"/>
        <v>7</v>
      </c>
      <c r="AM54" s="132">
        <f t="shared" ca="1" si="8"/>
        <v>7</v>
      </c>
      <c r="AN54" s="2">
        <f t="shared" ca="1" si="30"/>
        <v>2026</v>
      </c>
      <c r="AO54" s="2">
        <f t="shared" ca="1" si="9"/>
        <v>2026</v>
      </c>
      <c r="AP54" s="2">
        <f t="shared" ca="1" si="10"/>
        <v>0</v>
      </c>
      <c r="AQ54" s="2">
        <f t="shared" ca="1" si="11"/>
        <v>30</v>
      </c>
      <c r="AR54" s="2">
        <f t="shared" si="12"/>
        <v>20</v>
      </c>
      <c r="AS54" s="2">
        <f t="shared" ca="1" si="31"/>
        <v>30</v>
      </c>
      <c r="AT54" s="2"/>
      <c r="AU54" s="2"/>
      <c r="AV54" s="2"/>
      <c r="AW54" s="2"/>
      <c r="AX54" s="2"/>
      <c r="AY54" s="2">
        <f t="shared" ca="1" si="13"/>
        <v>1</v>
      </c>
      <c r="AZ54" s="2"/>
      <c r="BA54" s="2"/>
      <c r="BB54" s="2"/>
      <c r="BC54" s="2"/>
      <c r="BD54" s="2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5"/>
        <v>46254</v>
      </c>
      <c r="C55" s="401"/>
      <c r="D55" s="269">
        <f ca="1">IF(N55=0,IF(N54=1,SUM(D$25:E54)," "),IF(N55=0," ",IF(N56=1,D$25,IF(N56=0,D$10-D$25*(M$14-1)," "))))</f>
        <v>145.83000000000001</v>
      </c>
      <c r="E55" s="269"/>
      <c r="F55" s="87">
        <f ca="1">IF(N55=0,IF(N54=1,SUM(F$25:F54)," "),IF(M$1=1,P55,IF(M$1=2,Q55," ")))</f>
        <v>65.789400000000057</v>
      </c>
      <c r="G55" s="87">
        <v>0</v>
      </c>
      <c r="H55" s="87">
        <f t="shared" ca="1" si="16"/>
        <v>211.61940000000007</v>
      </c>
      <c r="I55" s="87">
        <f t="shared" ca="1" si="17"/>
        <v>194.45</v>
      </c>
      <c r="J55" s="87">
        <f t="shared" ca="1" si="0"/>
        <v>87.713722222222302</v>
      </c>
      <c r="K55" s="87">
        <v>0</v>
      </c>
      <c r="L55" s="87">
        <f t="shared" ca="1" si="18"/>
        <v>282.1637222222223</v>
      </c>
      <c r="M55" s="2">
        <v>31</v>
      </c>
      <c r="N55" s="2">
        <f t="shared" ca="1" si="36"/>
        <v>1</v>
      </c>
      <c r="O55" s="2">
        <f t="shared" ca="1" si="1"/>
        <v>20</v>
      </c>
      <c r="P55" s="134">
        <f t="shared" ca="1" si="20"/>
        <v>65.789400000000057</v>
      </c>
      <c r="Q55" s="134">
        <f t="shared" ca="1" si="21"/>
        <v>65.789400000000057</v>
      </c>
      <c r="R55" s="134">
        <f t="shared" ca="1" si="22"/>
        <v>2625.1000000000022</v>
      </c>
      <c r="S55" s="134">
        <f t="shared" ca="1" si="23"/>
        <v>145.83000000000001</v>
      </c>
      <c r="T55" s="134">
        <f t="shared" ca="1" si="32"/>
        <v>145.83000000000001</v>
      </c>
      <c r="U55" s="134">
        <f t="shared" ca="1" si="33"/>
        <v>65.789400000000057</v>
      </c>
      <c r="V55" s="134">
        <f t="shared" ca="1" si="34"/>
        <v>65.789400000000057</v>
      </c>
      <c r="W55" s="134">
        <f t="shared" ca="1" si="24"/>
        <v>169.16666666666666</v>
      </c>
      <c r="X55" s="134">
        <f t="shared" ca="1" si="25"/>
        <v>170</v>
      </c>
      <c r="Y55" s="134">
        <f t="shared" ca="1" si="2"/>
        <v>3499.9000000000033</v>
      </c>
      <c r="Z55" s="134">
        <f t="shared" ca="1" si="35"/>
        <v>87.713722222222302</v>
      </c>
      <c r="AA55" s="134">
        <f t="shared" ca="1" si="26"/>
        <v>87.713722222222302</v>
      </c>
      <c r="AB55" s="134">
        <f t="shared" ca="1" si="37"/>
        <v>81669.600000000064</v>
      </c>
      <c r="AC55" s="134">
        <f t="shared" ca="1" si="3"/>
        <v>0</v>
      </c>
      <c r="AD55" s="134">
        <f t="shared" ca="1" si="4"/>
        <v>0</v>
      </c>
      <c r="AE55" s="134">
        <f t="shared" ca="1" si="27"/>
        <v>0</v>
      </c>
      <c r="AF55" s="134">
        <f t="shared" ca="1" si="5"/>
        <v>0</v>
      </c>
      <c r="AG55" s="134">
        <f t="shared" ca="1" si="28"/>
        <v>0</v>
      </c>
      <c r="AH55" s="134">
        <f t="shared" ca="1" si="6"/>
        <v>0</v>
      </c>
      <c r="AI55" s="134">
        <f t="shared" ca="1" si="7"/>
        <v>2625.1000000000022</v>
      </c>
      <c r="AJ55" s="134">
        <f t="shared" ca="1" si="38"/>
        <v>0</v>
      </c>
      <c r="AK55" s="134">
        <f t="shared" ca="1" si="39"/>
        <v>0</v>
      </c>
      <c r="AL55" s="132">
        <f t="shared" ca="1" si="29"/>
        <v>8</v>
      </c>
      <c r="AM55" s="132">
        <f t="shared" ca="1" si="8"/>
        <v>8</v>
      </c>
      <c r="AN55" s="2">
        <f t="shared" ca="1" si="30"/>
        <v>2026</v>
      </c>
      <c r="AO55" s="2">
        <f t="shared" ca="1" si="9"/>
        <v>2026</v>
      </c>
      <c r="AP55" s="2">
        <f t="shared" ca="1" si="10"/>
        <v>0</v>
      </c>
      <c r="AQ55" s="2">
        <f t="shared" ca="1" si="11"/>
        <v>30</v>
      </c>
      <c r="AR55" s="2">
        <f t="shared" si="12"/>
        <v>20</v>
      </c>
      <c r="AS55" s="2">
        <f t="shared" ca="1" si="31"/>
        <v>30</v>
      </c>
      <c r="AT55" s="2"/>
      <c r="AU55" s="2"/>
      <c r="AV55" s="2"/>
      <c r="AW55" s="2"/>
      <c r="AX55" s="2"/>
      <c r="AY55" s="2">
        <f t="shared" ca="1" si="13"/>
        <v>1</v>
      </c>
      <c r="AZ55" s="2"/>
      <c r="BA55" s="2"/>
      <c r="BB55" s="2"/>
      <c r="BC55" s="2"/>
      <c r="BD55" s="2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5"/>
        <v>46285</v>
      </c>
      <c r="C56" s="401"/>
      <c r="D56" s="269">
        <f ca="1">IF(N56=0,IF(N55=1,SUM(D$25:E55)," "),IF(N56=0," ",IF(N57=1,D$25,IF(N57=0,D$10-D$25*(M$14-1)," "))))</f>
        <v>145.83000000000001</v>
      </c>
      <c r="E56" s="269"/>
      <c r="F56" s="87">
        <f ca="1">IF(N56=0,IF(N55=1,SUM(F$25:F55)," "),IF(M$1=1,P56,IF(M$1=2,Q56," ")))</f>
        <v>62.265175000000056</v>
      </c>
      <c r="G56" s="87">
        <v>0</v>
      </c>
      <c r="H56" s="87">
        <f t="shared" ca="1" si="16"/>
        <v>208.09517500000007</v>
      </c>
      <c r="I56" s="87">
        <f t="shared" ca="1" si="17"/>
        <v>194.45</v>
      </c>
      <c r="J56" s="87">
        <f t="shared" ca="1" si="0"/>
        <v>83.01451388888897</v>
      </c>
      <c r="K56" s="87">
        <v>0</v>
      </c>
      <c r="L56" s="87">
        <f t="shared" ca="1" si="18"/>
        <v>277.46451388888897</v>
      </c>
      <c r="M56" s="2">
        <v>32</v>
      </c>
      <c r="N56" s="2">
        <f t="shared" ca="1" si="36"/>
        <v>1</v>
      </c>
      <c r="O56" s="2">
        <f t="shared" ca="1" si="1"/>
        <v>20</v>
      </c>
      <c r="P56" s="134">
        <f t="shared" ca="1" si="20"/>
        <v>62.265175000000056</v>
      </c>
      <c r="Q56" s="134">
        <f t="shared" ca="1" si="21"/>
        <v>62.265175000000056</v>
      </c>
      <c r="R56" s="134">
        <f t="shared" ca="1" si="22"/>
        <v>2479.2700000000023</v>
      </c>
      <c r="S56" s="134">
        <f t="shared" ca="1" si="23"/>
        <v>145.83000000000001</v>
      </c>
      <c r="T56" s="134">
        <f t="shared" ca="1" si="32"/>
        <v>145.83000000000001</v>
      </c>
      <c r="U56" s="134">
        <f t="shared" ca="1" si="33"/>
        <v>62.265175000000056</v>
      </c>
      <c r="V56" s="134">
        <f t="shared" ca="1" si="34"/>
        <v>62.265175000000056</v>
      </c>
      <c r="W56" s="134">
        <f t="shared" ca="1" si="24"/>
        <v>169.16666666666666</v>
      </c>
      <c r="X56" s="134">
        <f t="shared" ca="1" si="25"/>
        <v>170</v>
      </c>
      <c r="Y56" s="134">
        <f t="shared" ca="1" si="2"/>
        <v>3305.4500000000035</v>
      </c>
      <c r="Z56" s="134">
        <f t="shared" ca="1" si="35"/>
        <v>83.01451388888897</v>
      </c>
      <c r="AA56" s="134">
        <f t="shared" ca="1" si="26"/>
        <v>83.01451388888897</v>
      </c>
      <c r="AB56" s="134">
        <f t="shared" ca="1" si="37"/>
        <v>77294.70000000007</v>
      </c>
      <c r="AC56" s="134">
        <f t="shared" ca="1" si="3"/>
        <v>0</v>
      </c>
      <c r="AD56" s="134">
        <f t="shared" ca="1" si="4"/>
        <v>0</v>
      </c>
      <c r="AE56" s="134">
        <f t="shared" ca="1" si="27"/>
        <v>0</v>
      </c>
      <c r="AF56" s="134">
        <f t="shared" ca="1" si="5"/>
        <v>0</v>
      </c>
      <c r="AG56" s="134">
        <f t="shared" ca="1" si="28"/>
        <v>0</v>
      </c>
      <c r="AH56" s="134">
        <f t="shared" ca="1" si="6"/>
        <v>0</v>
      </c>
      <c r="AI56" s="134">
        <f t="shared" ca="1" si="7"/>
        <v>2479.2700000000023</v>
      </c>
      <c r="AJ56" s="134">
        <f t="shared" ca="1" si="38"/>
        <v>0</v>
      </c>
      <c r="AK56" s="134">
        <f t="shared" ca="1" si="39"/>
        <v>0</v>
      </c>
      <c r="AL56" s="132">
        <f t="shared" ca="1" si="29"/>
        <v>9</v>
      </c>
      <c r="AM56" s="132">
        <f t="shared" ca="1" si="8"/>
        <v>9</v>
      </c>
      <c r="AN56" s="2">
        <f t="shared" ca="1" si="30"/>
        <v>2026</v>
      </c>
      <c r="AO56" s="2">
        <f t="shared" ca="1" si="9"/>
        <v>2026</v>
      </c>
      <c r="AP56" s="2">
        <f t="shared" ca="1" si="10"/>
        <v>0</v>
      </c>
      <c r="AQ56" s="2">
        <f t="shared" ca="1" si="11"/>
        <v>30</v>
      </c>
      <c r="AR56" s="2">
        <f t="shared" si="12"/>
        <v>20</v>
      </c>
      <c r="AS56" s="2">
        <f t="shared" ca="1" si="31"/>
        <v>30</v>
      </c>
      <c r="AT56" s="2"/>
      <c r="AU56" s="2"/>
      <c r="AV56" s="2"/>
      <c r="AW56" s="2"/>
      <c r="AX56" s="2"/>
      <c r="AY56" s="2">
        <f t="shared" ca="1" si="13"/>
        <v>1</v>
      </c>
      <c r="AZ56" s="2"/>
      <c r="BA56" s="2"/>
      <c r="BB56" s="2"/>
      <c r="BC56" s="2"/>
      <c r="BD56" s="2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5"/>
        <v>46315</v>
      </c>
      <c r="C57" s="401"/>
      <c r="D57" s="269">
        <f ca="1">IF(N57=0,IF(N56=1,SUM(D$25:E56)," "),IF(N57=0," ",IF(N58=1,D$25,IF(N58=0,D$10-D$25*(M$14-1)," "))))</f>
        <v>145.83000000000001</v>
      </c>
      <c r="E57" s="269"/>
      <c r="F57" s="87">
        <f ca="1">IF(N57=0,IF(N56=1,SUM(F$25:F56)," "),IF(M$1=1,P57,IF(M$1=2,Q57," ")))</f>
        <v>58.740950000000055</v>
      </c>
      <c r="G57" s="87">
        <v>0</v>
      </c>
      <c r="H57" s="87">
        <f t="shared" ca="1" si="16"/>
        <v>204.57095000000007</v>
      </c>
      <c r="I57" s="87">
        <f t="shared" ca="1" si="17"/>
        <v>194.45</v>
      </c>
      <c r="J57" s="87">
        <f t="shared" ref="J57:J85" ca="1" si="40">AA57</f>
        <v>78.315305555555653</v>
      </c>
      <c r="K57" s="87">
        <v>0</v>
      </c>
      <c r="L57" s="87">
        <f t="shared" ca="1" si="18"/>
        <v>272.76530555555564</v>
      </c>
      <c r="M57" s="2">
        <v>33</v>
      </c>
      <c r="N57" s="2">
        <f t="shared" ca="1" si="36"/>
        <v>1</v>
      </c>
      <c r="O57" s="2">
        <f t="shared" ref="O57:O85" ca="1" si="41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134">
        <f t="shared" ca="1" si="20"/>
        <v>58.740950000000055</v>
      </c>
      <c r="Q57" s="134">
        <f t="shared" ca="1" si="21"/>
        <v>58.740950000000055</v>
      </c>
      <c r="R57" s="134">
        <f t="shared" ca="1" si="22"/>
        <v>2333.4400000000023</v>
      </c>
      <c r="S57" s="134">
        <f t="shared" ca="1" si="23"/>
        <v>145.83000000000001</v>
      </c>
      <c r="T57" s="134">
        <f t="shared" ca="1" si="32"/>
        <v>145.83000000000001</v>
      </c>
      <c r="U57" s="134">
        <f t="shared" ca="1" si="33"/>
        <v>58.740950000000055</v>
      </c>
      <c r="V57" s="134">
        <f t="shared" ca="1" si="34"/>
        <v>58.740950000000055</v>
      </c>
      <c r="W57" s="134">
        <f t="shared" ca="1" si="24"/>
        <v>169.16666666666666</v>
      </c>
      <c r="X57" s="134">
        <f t="shared" ca="1" si="25"/>
        <v>170</v>
      </c>
      <c r="Y57" s="134">
        <f t="shared" ref="Y57:Y85" ca="1" si="42">IF(M57&lt;=(D$15+1),D$10,Y56-I56)</f>
        <v>3111.0000000000036</v>
      </c>
      <c r="Z57" s="134">
        <f t="shared" ca="1" si="35"/>
        <v>78.315305555555653</v>
      </c>
      <c r="AA57" s="134">
        <f t="shared" ca="1" si="26"/>
        <v>78.315305555555653</v>
      </c>
      <c r="AB57" s="134">
        <f t="shared" ca="1" si="37"/>
        <v>72919.800000000076</v>
      </c>
      <c r="AC57" s="134">
        <f t="shared" ref="AC57:AC85" ca="1" si="43">IF(AJ57&lt;&gt;0,IF(VALUE(RIGHT(ROUND(AJ57,0)))&lt;=5,ROUND(AJ57,0)-VALUE(RIGHT(ROUND(AJ57,0))),ROUND(AJ57,0)+10-VALUE(RIGHT(ROUND(AJ57,0)))),0)</f>
        <v>0</v>
      </c>
      <c r="AD57" s="134">
        <f t="shared" ref="AD57:AD85" ca="1" si="44">IF(AK57&lt;&gt;0,IF(VALUE(RIGHT(ROUND(AK57,0)))&lt;=5,ROUND(AK57,0)-VALUE(RIGHT(ROUND(AK57,0))),ROUND(AK57,0)+10-VALUE(RIGHT(ROUND(AK57,0)))),0)</f>
        <v>0</v>
      </c>
      <c r="AE57" s="134">
        <f t="shared" ca="1" si="27"/>
        <v>0</v>
      </c>
      <c r="AF57" s="134">
        <f t="shared" ref="AF57:AF85" ca="1" si="45">IF(AE57&lt;&gt;0,IF(VALUE(RIGHT(ROUND(AE57,0)))&lt;=5,ROUND(AE57,0)-VALUE(RIGHT(ROUND(AE57,0))),ROUND(AE57,0)+10-VALUE(RIGHT(ROUND(AE57,0)))),0)</f>
        <v>0</v>
      </c>
      <c r="AG57" s="134">
        <f t="shared" ca="1" si="28"/>
        <v>0</v>
      </c>
      <c r="AH57" s="134">
        <f t="shared" ref="AH57:AH85" ca="1" si="46">IF(AG57&lt;&gt;0,IF(VALUE(RIGHT(ROUND(AG57,0)))&lt;=5,ROUND(AG57,0)-VALUE(RIGHT(ROUND(AG57,0))),ROUND(AG57,0)+10-VALUE(RIGHT(ROUND(AG57,0)))),0)</f>
        <v>0</v>
      </c>
      <c r="AI57" s="134">
        <f t="shared" ref="AI57:AI85" ca="1" si="47">R57</f>
        <v>2333.4400000000023</v>
      </c>
      <c r="AJ57" s="134">
        <f t="shared" ca="1" si="38"/>
        <v>0</v>
      </c>
      <c r="AK57" s="134">
        <f t="shared" ca="1" si="39"/>
        <v>0</v>
      </c>
      <c r="AL57" s="132">
        <f t="shared" ca="1" si="29"/>
        <v>10</v>
      </c>
      <c r="AM57" s="132">
        <f t="shared" ref="AM57:AM85" ca="1" si="48">IF(AL57=13,1,AL57)</f>
        <v>10</v>
      </c>
      <c r="AN57" s="2">
        <f t="shared" ca="1" si="30"/>
        <v>2026</v>
      </c>
      <c r="AO57" s="2">
        <f t="shared" ref="AO57:AO85" ca="1" si="49">IF(AM57=1,AN57+1,AN57)</f>
        <v>2026</v>
      </c>
      <c r="AP57" s="2">
        <f t="shared" ref="AP57:AP85" ca="1" si="50">IF((AN57/2012)=1,1,IF((AN57/2016)=1,1,IF((AN57/2020)=1,1,IF((AN57/2024)=1,1,IF((AN57/2028)=1,1,IF((AN57/2032)=1,1,0))))))</f>
        <v>0</v>
      </c>
      <c r="AQ57" s="2">
        <f t="shared" ref="AQ57:AQ85" ca="1" si="51">IF(AM57=2,IF(AP57=1,29,28),30)</f>
        <v>30</v>
      </c>
      <c r="AR57" s="2">
        <f t="shared" ref="AR57:AR85" si="52">IF(C$24=30,AQ57,20)</f>
        <v>20</v>
      </c>
      <c r="AS57" s="2">
        <f t="shared" ca="1" si="31"/>
        <v>30</v>
      </c>
      <c r="AT57" s="2"/>
      <c r="AU57" s="2"/>
      <c r="AV57" s="2"/>
      <c r="AW57" s="2"/>
      <c r="AX57" s="2"/>
      <c r="AY57" s="2">
        <f t="shared" ref="AY57:AY85" ca="1" si="53">IF(D$15=0,0,IF(N57=1,1,0))</f>
        <v>1</v>
      </c>
      <c r="AZ57" s="2"/>
      <c r="BA57" s="2"/>
      <c r="BB57" s="2"/>
      <c r="BC57" s="2"/>
      <c r="BD57" s="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4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46346</v>
      </c>
      <c r="C58" s="401"/>
      <c r="D58" s="269">
        <f ca="1">IF(N58=0,IF(N57=1,SUM(D$25:E57)," "),IF(N58=0," ",IF(N59=1,D$25,IF(N59=0,D$10-D$25*(M$14-1)," "))))</f>
        <v>145.83000000000001</v>
      </c>
      <c r="E58" s="269"/>
      <c r="F58" s="87">
        <f ca="1">IF(N58=0,IF(N57=1,SUM(F$25:F57)," "),IF(M$1=1,P58,IF(M$1=2,Q58," ")))</f>
        <v>55.216725000000054</v>
      </c>
      <c r="G58" s="87">
        <v>0</v>
      </c>
      <c r="H58" s="87">
        <f t="shared" ref="H58:H86" ca="1" si="55">IF(SUM(D58:G58)=0," ",SUM(D58:G58))</f>
        <v>201.04672500000007</v>
      </c>
      <c r="I58" s="87">
        <f t="shared" ref="I58:I85" ca="1" si="56">IF(N58=1,IF(N59=1,IF(M58&lt;=D$15,T58,AV$26),D$10-AV$26*M$16+AV$26),0)</f>
        <v>194.45</v>
      </c>
      <c r="J58" s="87">
        <f t="shared" ca="1" si="40"/>
        <v>73.616097222222322</v>
      </c>
      <c r="K58" s="87">
        <v>0</v>
      </c>
      <c r="L58" s="87">
        <f t="shared" ref="L58:L85" ca="1" si="57">IF(SUM(I58:K58)=0," ",SUM(I58:K58))</f>
        <v>268.06609722222231</v>
      </c>
      <c r="M58" s="2">
        <v>34</v>
      </c>
      <c r="N58" s="2">
        <f t="shared" ca="1" si="36"/>
        <v>1</v>
      </c>
      <c r="O58" s="2">
        <f t="shared" ca="1" si="41"/>
        <v>20</v>
      </c>
      <c r="P58" s="134">
        <f t="shared" ca="1" si="20"/>
        <v>55.216725000000054</v>
      </c>
      <c r="Q58" s="134">
        <f t="shared" ca="1" si="21"/>
        <v>55.216725000000054</v>
      </c>
      <c r="R58" s="134">
        <f t="shared" ref="R58:R85" ca="1" si="58">IF(N58=0,0,R57-D57)</f>
        <v>2187.6100000000024</v>
      </c>
      <c r="S58" s="134">
        <f t="shared" ref="S58:S85" ca="1" si="59">IF(M58&lt;=D$15,D$10/(D$14-M57),D58)</f>
        <v>145.83000000000001</v>
      </c>
      <c r="T58" s="134">
        <f t="shared" ca="1" si="32"/>
        <v>145.83000000000001</v>
      </c>
      <c r="U58" s="134">
        <f t="shared" ca="1" si="33"/>
        <v>55.216725000000054</v>
      </c>
      <c r="V58" s="134">
        <f t="shared" ca="1" si="34"/>
        <v>55.216725000000054</v>
      </c>
      <c r="W58" s="134">
        <f t="shared" ref="W58:W84" ca="1" si="60">IF(N59=1,$D$10*$D$11*20/36000+$D$10*$D$11*10/36000,IF(N59=0,IF(N58=0,0,$D$10*$D$11*$Q$12/36000+$D$10*$D$11*20/36000+$D$10*$D$11*10/36000)))</f>
        <v>169.16666666666666</v>
      </c>
      <c r="X58" s="134">
        <f t="shared" ref="X58:X85" ca="1" si="61">IF(W58&lt;&gt;0,IF(VALUE(RIGHT(ROUND(W58,0)))&lt;=5,ROUND(W58,0)-VALUE(RIGHT(ROUND(W58,0))),ROUND(W58,0)+10-VALUE(RIGHT(ROUND(W58,0)))),0)</f>
        <v>170</v>
      </c>
      <c r="Y58" s="134">
        <f t="shared" ca="1" si="42"/>
        <v>2916.5500000000038</v>
      </c>
      <c r="Z58" s="134">
        <f t="shared" ca="1" si="35"/>
        <v>73.616097222222322</v>
      </c>
      <c r="AA58" s="134">
        <f t="shared" ca="1" si="26"/>
        <v>73.616097222222322</v>
      </c>
      <c r="AB58" s="134">
        <f t="shared" ca="1" si="37"/>
        <v>68544.900000000067</v>
      </c>
      <c r="AC58" s="134">
        <f t="shared" ca="1" si="43"/>
        <v>0</v>
      </c>
      <c r="AD58" s="134">
        <f t="shared" ca="1" si="44"/>
        <v>0</v>
      </c>
      <c r="AE58" s="134">
        <f t="shared" ref="AE58:AE84" ca="1" si="62">IF(N59=1,D$10*G$12*20/36000+D$10*G$12*10/36000,IF(N59=0,IF(N58=0,0,D$10*G$12*Q$12/36000+D$10*G$12*20/36000+D$10*G$12*10/36000)))</f>
        <v>0</v>
      </c>
      <c r="AF58" s="134">
        <f t="shared" ca="1" si="45"/>
        <v>0</v>
      </c>
      <c r="AG58" s="134">
        <f t="shared" ref="AG58:AG84" ca="1" si="63">IF(N59=1,Y57*G$12*20/36000+Y58*G$12*10/36000,IF(N59=0,IF(N58=0,0,Y58*G$12*Q$12/36000+Y57*G$12*20/36000+Y58*G$12*10/36000)))</f>
        <v>0</v>
      </c>
      <c r="AH58" s="134">
        <f t="shared" ca="1" si="46"/>
        <v>0</v>
      </c>
      <c r="AI58" s="134">
        <f t="shared" ca="1" si="47"/>
        <v>2187.6100000000024</v>
      </c>
      <c r="AJ58" s="134">
        <f t="shared" ca="1" si="38"/>
        <v>0</v>
      </c>
      <c r="AK58" s="134">
        <f t="shared" ca="1" si="39"/>
        <v>0</v>
      </c>
      <c r="AL58" s="132">
        <f t="shared" ref="AL58:AL85" ca="1" si="64">IF(N58=0,0,MONTH(B57)+1)</f>
        <v>11</v>
      </c>
      <c r="AM58" s="132">
        <f t="shared" ca="1" si="48"/>
        <v>11</v>
      </c>
      <c r="AN58" s="2">
        <f t="shared" ref="AN58:AN85" ca="1" si="65">IF(N58=0,0,YEAR(B57))</f>
        <v>2026</v>
      </c>
      <c r="AO58" s="2">
        <f t="shared" ca="1" si="49"/>
        <v>2026</v>
      </c>
      <c r="AP58" s="2">
        <f t="shared" ca="1" si="50"/>
        <v>0</v>
      </c>
      <c r="AQ58" s="2">
        <f t="shared" ca="1" si="51"/>
        <v>30</v>
      </c>
      <c r="AR58" s="2">
        <f t="shared" si="52"/>
        <v>20</v>
      </c>
      <c r="AS58" s="2">
        <f t="shared" ref="AS58:AS85" ca="1" si="66">AQ57</f>
        <v>30</v>
      </c>
      <c r="AT58" s="2"/>
      <c r="AU58" s="2"/>
      <c r="AV58" s="2"/>
      <c r="AW58" s="2"/>
      <c r="AX58" s="2"/>
      <c r="AY58" s="2">
        <f t="shared" ca="1" si="53"/>
        <v>1</v>
      </c>
      <c r="AZ58" s="2"/>
      <c r="BA58" s="2"/>
      <c r="BB58" s="2"/>
      <c r="BC58" s="2"/>
      <c r="BD58" s="2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4"/>
        <v>46376</v>
      </c>
      <c r="C59" s="401"/>
      <c r="D59" s="269">
        <f ca="1">IF(N59=0,IF(N58=1,SUM(D$25:E58)," "),IF(N59=0," ",IF(N60=1,D$25,IF(N60=0,D$10-D$25*(M$14-1)," "))))</f>
        <v>145.83000000000001</v>
      </c>
      <c r="E59" s="269"/>
      <c r="F59" s="87">
        <f ca="1">IF(N59=0,IF(N58=1,SUM(F$25:F58)," "),IF(M$1=1,P59,IF(M$1=2,Q59," ")))</f>
        <v>51.692500000000052</v>
      </c>
      <c r="G59" s="87">
        <v>0</v>
      </c>
      <c r="H59" s="87">
        <f t="shared" ca="1" si="55"/>
        <v>197.52250000000006</v>
      </c>
      <c r="I59" s="87">
        <f t="shared" ca="1" si="56"/>
        <v>194.45</v>
      </c>
      <c r="J59" s="87">
        <f t="shared" ca="1" si="40"/>
        <v>68.916888888888991</v>
      </c>
      <c r="K59" s="87">
        <v>0</v>
      </c>
      <c r="L59" s="87">
        <f t="shared" ca="1" si="57"/>
        <v>263.36688888888898</v>
      </c>
      <c r="M59" s="2">
        <v>35</v>
      </c>
      <c r="N59" s="2">
        <f t="shared" ca="1" si="36"/>
        <v>1</v>
      </c>
      <c r="O59" s="2">
        <f t="shared" ca="1" si="41"/>
        <v>20</v>
      </c>
      <c r="P59" s="134">
        <f t="shared" ca="1" si="20"/>
        <v>51.692500000000052</v>
      </c>
      <c r="Q59" s="134">
        <f t="shared" ca="1" si="21"/>
        <v>51.692500000000052</v>
      </c>
      <c r="R59" s="134">
        <f t="shared" ca="1" si="58"/>
        <v>2041.7800000000025</v>
      </c>
      <c r="S59" s="134">
        <f t="shared" ca="1" si="59"/>
        <v>145.83000000000001</v>
      </c>
      <c r="T59" s="134">
        <f t="shared" ca="1" si="32"/>
        <v>145.83000000000001</v>
      </c>
      <c r="U59" s="134">
        <f t="shared" ca="1" si="33"/>
        <v>51.692500000000052</v>
      </c>
      <c r="V59" s="134">
        <f t="shared" ca="1" si="34"/>
        <v>51.692500000000052</v>
      </c>
      <c r="W59" s="134">
        <f t="shared" ca="1" si="60"/>
        <v>169.16666666666666</v>
      </c>
      <c r="X59" s="134">
        <f t="shared" ca="1" si="61"/>
        <v>170</v>
      </c>
      <c r="Y59" s="134">
        <f t="shared" ca="1" si="42"/>
        <v>2722.100000000004</v>
      </c>
      <c r="Z59" s="134">
        <f t="shared" ca="1" si="35"/>
        <v>68.916888888888991</v>
      </c>
      <c r="AA59" s="134">
        <f t="shared" ca="1" si="26"/>
        <v>68.916888888888991</v>
      </c>
      <c r="AB59" s="134">
        <f t="shared" ca="1" si="37"/>
        <v>64170.000000000073</v>
      </c>
      <c r="AC59" s="134">
        <f t="shared" ca="1" si="43"/>
        <v>0</v>
      </c>
      <c r="AD59" s="134">
        <f t="shared" ca="1" si="44"/>
        <v>0</v>
      </c>
      <c r="AE59" s="134">
        <f t="shared" ca="1" si="62"/>
        <v>0</v>
      </c>
      <c r="AF59" s="134">
        <f t="shared" ca="1" si="45"/>
        <v>0</v>
      </c>
      <c r="AG59" s="134">
        <f t="shared" ca="1" si="63"/>
        <v>0</v>
      </c>
      <c r="AH59" s="134">
        <f t="shared" ca="1" si="46"/>
        <v>0</v>
      </c>
      <c r="AI59" s="134">
        <f t="shared" ca="1" si="47"/>
        <v>2041.7800000000025</v>
      </c>
      <c r="AJ59" s="134">
        <f t="shared" ca="1" si="38"/>
        <v>0</v>
      </c>
      <c r="AK59" s="134">
        <f t="shared" ca="1" si="39"/>
        <v>0</v>
      </c>
      <c r="AL59" s="132">
        <f t="shared" ca="1" si="64"/>
        <v>12</v>
      </c>
      <c r="AM59" s="132">
        <f t="shared" ca="1" si="48"/>
        <v>12</v>
      </c>
      <c r="AN59" s="2">
        <f t="shared" ca="1" si="65"/>
        <v>2026</v>
      </c>
      <c r="AO59" s="2">
        <f t="shared" ca="1" si="49"/>
        <v>2026</v>
      </c>
      <c r="AP59" s="2">
        <f t="shared" ca="1" si="50"/>
        <v>0</v>
      </c>
      <c r="AQ59" s="2">
        <f t="shared" ca="1" si="51"/>
        <v>30</v>
      </c>
      <c r="AR59" s="2">
        <f t="shared" si="52"/>
        <v>20</v>
      </c>
      <c r="AS59" s="2">
        <f t="shared" ca="1" si="66"/>
        <v>30</v>
      </c>
      <c r="AT59" s="2"/>
      <c r="AU59" s="2"/>
      <c r="AV59" s="2"/>
      <c r="AW59" s="2"/>
      <c r="AX59" s="2"/>
      <c r="AY59" s="2">
        <f t="shared" ca="1" si="53"/>
        <v>1</v>
      </c>
      <c r="AZ59" s="2"/>
      <c r="BA59" s="2"/>
      <c r="BB59" s="2"/>
      <c r="BC59" s="2"/>
      <c r="BD59" s="2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4"/>
        <v>46407</v>
      </c>
      <c r="C60" s="401"/>
      <c r="D60" s="269">
        <f ca="1">IF(N60=0,IF(N59=1,SUM(D$25:E59)," "),IF(N60=0," ",IF(N61=1,D$25,IF(N61=0,D$10-D$25*(M$14-1)," "))))</f>
        <v>145.83000000000001</v>
      </c>
      <c r="E60" s="269"/>
      <c r="F60" s="87">
        <f ca="1">IF(N60=0,IF(N59=1,SUM(F$25:F59)," "),IF(M$1=1,P60,IF(M$1=2,Q60," ")))</f>
        <v>48.168275000000058</v>
      </c>
      <c r="G60" s="87">
        <v>0</v>
      </c>
      <c r="H60" s="87">
        <f t="shared" ca="1" si="55"/>
        <v>193.99827500000006</v>
      </c>
      <c r="I60" s="87">
        <f t="shared" ca="1" si="56"/>
        <v>194.45</v>
      </c>
      <c r="J60" s="87">
        <f t="shared" ca="1" si="40"/>
        <v>64.21768055555566</v>
      </c>
      <c r="K60" s="87">
        <v>0</v>
      </c>
      <c r="L60" s="87">
        <f t="shared" ca="1" si="57"/>
        <v>258.66768055555565</v>
      </c>
      <c r="M60" s="2">
        <v>36</v>
      </c>
      <c r="N60" s="2">
        <f t="shared" ca="1" si="36"/>
        <v>1</v>
      </c>
      <c r="O60" s="2">
        <f t="shared" ca="1" si="41"/>
        <v>20</v>
      </c>
      <c r="P60" s="134">
        <f t="shared" ca="1" si="20"/>
        <v>48.168275000000058</v>
      </c>
      <c r="Q60" s="134">
        <f t="shared" ca="1" si="21"/>
        <v>48.168275000000058</v>
      </c>
      <c r="R60" s="134">
        <f t="shared" ca="1" si="58"/>
        <v>1895.9500000000025</v>
      </c>
      <c r="S60" s="134">
        <f t="shared" ca="1" si="59"/>
        <v>145.83000000000001</v>
      </c>
      <c r="T60" s="134">
        <f t="shared" ca="1" si="32"/>
        <v>145.83000000000001</v>
      </c>
      <c r="U60" s="134">
        <f ca="1">IF(N61=1,R59*D11*20/36000+R60*D11*10/36000,IF(N61=0,IF(N60=0,0,R60*D11*Q12/36000+R59*D11*20/36000+R60*D11*10/36000)))</f>
        <v>48.168275000000058</v>
      </c>
      <c r="V60" s="134">
        <f ca="1">IF(N61=1,R59*D11*20/36000+R60*D11*10/36000,IF(N61=0,IF(N60=0,0,R60*D11*Q12/36000+R59*D11*20/36000+R60*D11*10/36000)))</f>
        <v>48.168275000000058</v>
      </c>
      <c r="W60" s="134">
        <f t="shared" ca="1" si="60"/>
        <v>169.16666666666666</v>
      </c>
      <c r="X60" s="134">
        <f t="shared" ca="1" si="61"/>
        <v>170</v>
      </c>
      <c r="Y60" s="134">
        <f t="shared" ca="1" si="42"/>
        <v>2527.6500000000042</v>
      </c>
      <c r="Z60" s="134">
        <f t="shared" ca="1" si="35"/>
        <v>64.21768055555566</v>
      </c>
      <c r="AA60" s="134">
        <f t="shared" ca="1" si="26"/>
        <v>64.21768055555566</v>
      </c>
      <c r="AB60" s="134">
        <f t="shared" ca="1" si="37"/>
        <v>59795.100000000079</v>
      </c>
      <c r="AC60" s="134">
        <f t="shared" ca="1" si="43"/>
        <v>0</v>
      </c>
      <c r="AD60" s="134">
        <f t="shared" ca="1" si="44"/>
        <v>0</v>
      </c>
      <c r="AE60" s="134">
        <f t="shared" ca="1" si="62"/>
        <v>0</v>
      </c>
      <c r="AF60" s="134">
        <f t="shared" ca="1" si="45"/>
        <v>0</v>
      </c>
      <c r="AG60" s="134">
        <f t="shared" ca="1" si="63"/>
        <v>0</v>
      </c>
      <c r="AH60" s="134">
        <f t="shared" ca="1" si="46"/>
        <v>0</v>
      </c>
      <c r="AI60" s="134">
        <f t="shared" ca="1" si="47"/>
        <v>1895.9500000000025</v>
      </c>
      <c r="AJ60" s="134">
        <f t="shared" ca="1" si="38"/>
        <v>0</v>
      </c>
      <c r="AK60" s="134">
        <f t="shared" ca="1" si="39"/>
        <v>0</v>
      </c>
      <c r="AL60" s="132">
        <f t="shared" ca="1" si="64"/>
        <v>13</v>
      </c>
      <c r="AM60" s="132">
        <f t="shared" ca="1" si="48"/>
        <v>1</v>
      </c>
      <c r="AN60" s="2">
        <f t="shared" ca="1" si="65"/>
        <v>2026</v>
      </c>
      <c r="AO60" s="2">
        <f t="shared" ca="1" si="49"/>
        <v>2027</v>
      </c>
      <c r="AP60" s="2">
        <f t="shared" ca="1" si="50"/>
        <v>0</v>
      </c>
      <c r="AQ60" s="2">
        <f t="shared" ca="1" si="51"/>
        <v>30</v>
      </c>
      <c r="AR60" s="2">
        <f t="shared" si="52"/>
        <v>20</v>
      </c>
      <c r="AS60" s="2">
        <f t="shared" ca="1" si="66"/>
        <v>30</v>
      </c>
      <c r="AT60" s="2"/>
      <c r="AU60" s="2"/>
      <c r="AV60" s="2"/>
      <c r="AW60" s="2"/>
      <c r="AX60" s="2"/>
      <c r="AY60" s="2">
        <f t="shared" ca="1" si="53"/>
        <v>1</v>
      </c>
      <c r="AZ60" s="2"/>
      <c r="BA60" s="2"/>
      <c r="BB60" s="2"/>
      <c r="BC60" s="2"/>
      <c r="BD60" s="2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>
        <f t="shared" ca="1" si="54"/>
        <v>46438</v>
      </c>
      <c r="C61" s="401"/>
      <c r="D61" s="269">
        <f ca="1">IF(N61=0,IF(N60=1,SUM(D$25:E60)," "),IF(N61=0," ",IF(N62=1,D$25,IF(N62=0,D$10-D$25*(M$14-1)," "))))</f>
        <v>145.83000000000001</v>
      </c>
      <c r="E61" s="269"/>
      <c r="F61" s="87">
        <f ca="1">IF(N61=0,IF(N60=1,SUM(F$25:F60)," "),IF(M$1=1,P61,IF(M$1=2,Q61," ")))</f>
        <v>44.644050000000064</v>
      </c>
      <c r="G61" s="87">
        <v>0</v>
      </c>
      <c r="H61" s="87">
        <f t="shared" ca="1" si="55"/>
        <v>190.47405000000009</v>
      </c>
      <c r="I61" s="87">
        <f t="shared" ca="1" si="56"/>
        <v>194.45</v>
      </c>
      <c r="J61" s="87">
        <f t="shared" ca="1" si="40"/>
        <v>59.518472222222329</v>
      </c>
      <c r="K61" s="87">
        <v>0</v>
      </c>
      <c r="L61" s="87">
        <f t="shared" ca="1" si="57"/>
        <v>253.96847222222232</v>
      </c>
      <c r="M61" s="2">
        <v>37</v>
      </c>
      <c r="N61" s="2">
        <f t="shared" ca="1" si="36"/>
        <v>1</v>
      </c>
      <c r="O61" s="2">
        <f t="shared" ca="1" si="41"/>
        <v>20</v>
      </c>
      <c r="P61" s="134">
        <f t="shared" ca="1" si="20"/>
        <v>44.644050000000064</v>
      </c>
      <c r="Q61" s="134">
        <f t="shared" ca="1" si="21"/>
        <v>44.644050000000064</v>
      </c>
      <c r="R61" s="134">
        <f t="shared" ca="1" si="58"/>
        <v>1750.1200000000026</v>
      </c>
      <c r="S61" s="134">
        <f t="shared" ca="1" si="59"/>
        <v>145.83000000000001</v>
      </c>
      <c r="T61" s="134">
        <f t="shared" ca="1" si="32"/>
        <v>145.83000000000001</v>
      </c>
      <c r="U61" s="134">
        <f t="shared" ca="1" si="33"/>
        <v>44.644050000000064</v>
      </c>
      <c r="V61" s="134">
        <f t="shared" ca="1" si="34"/>
        <v>44.644050000000064</v>
      </c>
      <c r="W61" s="134">
        <f t="shared" ca="1" si="60"/>
        <v>169.16666666666666</v>
      </c>
      <c r="X61" s="134">
        <f t="shared" ca="1" si="61"/>
        <v>170</v>
      </c>
      <c r="Y61" s="134">
        <f t="shared" ca="1" si="42"/>
        <v>2333.2000000000044</v>
      </c>
      <c r="Z61" s="134">
        <f t="shared" ca="1" si="35"/>
        <v>59.518472222222329</v>
      </c>
      <c r="AA61" s="134">
        <f t="shared" ca="1" si="26"/>
        <v>59.518472222222329</v>
      </c>
      <c r="AB61" s="134">
        <f t="shared" ca="1" si="37"/>
        <v>55420.200000000077</v>
      </c>
      <c r="AC61" s="134">
        <f t="shared" ca="1" si="43"/>
        <v>0</v>
      </c>
      <c r="AD61" s="134">
        <f t="shared" ca="1" si="44"/>
        <v>0</v>
      </c>
      <c r="AE61" s="134">
        <f t="shared" ca="1" si="62"/>
        <v>0</v>
      </c>
      <c r="AF61" s="134">
        <f t="shared" ca="1" si="45"/>
        <v>0</v>
      </c>
      <c r="AG61" s="134">
        <f t="shared" ca="1" si="63"/>
        <v>0</v>
      </c>
      <c r="AH61" s="134">
        <f t="shared" ca="1" si="46"/>
        <v>0</v>
      </c>
      <c r="AI61" s="134">
        <f t="shared" ca="1" si="47"/>
        <v>1750.1200000000026</v>
      </c>
      <c r="AJ61" s="134">
        <f ca="1">IF(N62=1,AI60*G$12*20/36000+AI61*G$12*10/36000,IF(N62=0,IF(N61=0,0,AI61*G$12*Q$12/36000)))</f>
        <v>0</v>
      </c>
      <c r="AK61" s="134">
        <f ca="1">IF(N62=1,AI60*G$12*20/36000+AI61*G$12*10/36000,IF(N62=0,IF(N61=0,0,AI61*G$12*Q$12/36000)))</f>
        <v>0</v>
      </c>
      <c r="AL61" s="132">
        <f t="shared" ca="1" si="64"/>
        <v>2</v>
      </c>
      <c r="AM61" s="132">
        <f t="shared" ca="1" si="48"/>
        <v>2</v>
      </c>
      <c r="AN61" s="2">
        <f t="shared" ca="1" si="65"/>
        <v>2027</v>
      </c>
      <c r="AO61" s="2">
        <f t="shared" ca="1" si="49"/>
        <v>2027</v>
      </c>
      <c r="AP61" s="2">
        <f t="shared" ca="1" si="50"/>
        <v>0</v>
      </c>
      <c r="AQ61" s="2">
        <f t="shared" ca="1" si="51"/>
        <v>28</v>
      </c>
      <c r="AR61" s="2">
        <f t="shared" si="52"/>
        <v>20</v>
      </c>
      <c r="AS61" s="2">
        <f t="shared" ca="1" si="66"/>
        <v>30</v>
      </c>
      <c r="AT61" s="2"/>
      <c r="AU61" s="2"/>
      <c r="AV61" s="2"/>
      <c r="AW61" s="2"/>
      <c r="AX61" s="2"/>
      <c r="AY61" s="2">
        <f t="shared" ca="1" si="53"/>
        <v>1</v>
      </c>
      <c r="AZ61" s="2"/>
      <c r="BA61" s="2"/>
      <c r="BB61" s="2"/>
      <c r="BC61" s="2"/>
      <c r="BD61" s="2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>
        <f t="shared" ca="1" si="54"/>
        <v>46466</v>
      </c>
      <c r="C62" s="401"/>
      <c r="D62" s="269">
        <f ca="1">IF(N62=0,IF(N61=1,SUM(D$25:E61)," "),IF(N62=0," ",IF(N63=1,D$25,IF(N63=0,D$10-D$25*(M$14-1)," "))))</f>
        <v>145.83000000000001</v>
      </c>
      <c r="E62" s="269"/>
      <c r="F62" s="87">
        <f ca="1">IF(N62=0,IF(N61=1,SUM(F$25:F61)," "),IF(M$1=1,P62,IF(M$1=2,Q62," ")))</f>
        <v>41.119825000000063</v>
      </c>
      <c r="G62" s="87">
        <v>0</v>
      </c>
      <c r="H62" s="87">
        <f t="shared" ca="1" si="55"/>
        <v>186.94982500000009</v>
      </c>
      <c r="I62" s="87">
        <f t="shared" ca="1" si="56"/>
        <v>194.45</v>
      </c>
      <c r="J62" s="87">
        <f t="shared" ca="1" si="40"/>
        <v>54.819263888888997</v>
      </c>
      <c r="K62" s="87">
        <v>0</v>
      </c>
      <c r="L62" s="87">
        <f t="shared" ca="1" si="57"/>
        <v>249.26926388888899</v>
      </c>
      <c r="M62" s="2">
        <v>38</v>
      </c>
      <c r="N62" s="2">
        <f t="shared" ca="1" si="36"/>
        <v>1</v>
      </c>
      <c r="O62" s="2">
        <f t="shared" ca="1" si="41"/>
        <v>20</v>
      </c>
      <c r="P62" s="134">
        <f t="shared" ca="1" si="20"/>
        <v>41.119825000000063</v>
      </c>
      <c r="Q62" s="134">
        <f t="shared" ca="1" si="21"/>
        <v>41.119825000000063</v>
      </c>
      <c r="R62" s="134">
        <f t="shared" ca="1" si="58"/>
        <v>1604.2900000000027</v>
      </c>
      <c r="S62" s="134">
        <f t="shared" ca="1" si="59"/>
        <v>145.83000000000001</v>
      </c>
      <c r="T62" s="134">
        <f t="shared" ca="1" si="32"/>
        <v>145.83000000000001</v>
      </c>
      <c r="U62" s="134">
        <f t="shared" ca="1" si="33"/>
        <v>41.119825000000063</v>
      </c>
      <c r="V62" s="134">
        <f t="shared" ca="1" si="34"/>
        <v>41.119825000000063</v>
      </c>
      <c r="W62" s="134">
        <f t="shared" ca="1" si="60"/>
        <v>169.16666666666666</v>
      </c>
      <c r="X62" s="134">
        <f t="shared" ca="1" si="61"/>
        <v>170</v>
      </c>
      <c r="Y62" s="134">
        <f t="shared" ca="1" si="42"/>
        <v>2138.7500000000045</v>
      </c>
      <c r="Z62" s="134">
        <f t="shared" ca="1" si="35"/>
        <v>54.819263888888997</v>
      </c>
      <c r="AA62" s="134">
        <f t="shared" ca="1" si="26"/>
        <v>54.819263888888997</v>
      </c>
      <c r="AB62" s="134">
        <f t="shared" ca="1" si="37"/>
        <v>51045.300000000076</v>
      </c>
      <c r="AC62" s="134">
        <f t="shared" ca="1" si="43"/>
        <v>0</v>
      </c>
      <c r="AD62" s="134">
        <f t="shared" ca="1" si="44"/>
        <v>0</v>
      </c>
      <c r="AE62" s="134">
        <f t="shared" ca="1" si="62"/>
        <v>0</v>
      </c>
      <c r="AF62" s="134">
        <f t="shared" ca="1" si="45"/>
        <v>0</v>
      </c>
      <c r="AG62" s="134">
        <f t="shared" ca="1" si="63"/>
        <v>0</v>
      </c>
      <c r="AH62" s="134">
        <f t="shared" ca="1" si="46"/>
        <v>0</v>
      </c>
      <c r="AI62" s="134">
        <f t="shared" ca="1" si="47"/>
        <v>1604.2900000000027</v>
      </c>
      <c r="AJ62" s="134">
        <f t="shared" ref="AJ62:AJ72" ca="1" si="67">IF(N63=1,AI61*G$12*20/36000+AI62*G$12*10/36000,IF(N63=0,IF(N62=0,0,AI62*G$12*Q$12/36000+AI61*G$12*20/36000+AI62*G$12*10/36000)))</f>
        <v>0</v>
      </c>
      <c r="AK62" s="134">
        <f t="shared" ref="AK62:AK72" ca="1" si="68">IF(N63=1,AI61*G$12*20/36000+AI62*G$12*10/36000,IF(N63=0,IF(N62=0,0,AI62*G$12*Q$12/36000+AI61*G$12*20/36000+AI62*G$12*10/36000)))</f>
        <v>0</v>
      </c>
      <c r="AL62" s="132">
        <f t="shared" ca="1" si="64"/>
        <v>3</v>
      </c>
      <c r="AM62" s="132">
        <f t="shared" ca="1" si="48"/>
        <v>3</v>
      </c>
      <c r="AN62" s="2">
        <f t="shared" ca="1" si="65"/>
        <v>2027</v>
      </c>
      <c r="AO62" s="2">
        <f t="shared" ca="1" si="49"/>
        <v>2027</v>
      </c>
      <c r="AP62" s="2">
        <f t="shared" ca="1" si="50"/>
        <v>0</v>
      </c>
      <c r="AQ62" s="2">
        <f t="shared" ca="1" si="51"/>
        <v>30</v>
      </c>
      <c r="AR62" s="2">
        <f t="shared" si="52"/>
        <v>20</v>
      </c>
      <c r="AS62" s="2">
        <f t="shared" ca="1" si="66"/>
        <v>28</v>
      </c>
      <c r="AT62" s="2"/>
      <c r="AU62" s="2"/>
      <c r="AV62" s="2"/>
      <c r="AW62" s="2"/>
      <c r="AX62" s="2"/>
      <c r="AY62" s="2">
        <f t="shared" ca="1" si="53"/>
        <v>1</v>
      </c>
      <c r="AZ62" s="2"/>
      <c r="BA62" s="2"/>
      <c r="BB62" s="2"/>
      <c r="BC62" s="2"/>
      <c r="BD62" s="2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>
        <f t="shared" ca="1" si="54"/>
        <v>46497</v>
      </c>
      <c r="C63" s="401"/>
      <c r="D63" s="269">
        <f ca="1">IF(N63=0,IF(N62=1,SUM(D$25:E62)," "),IF(N63=0," ",IF(N64=1,D$25,IF(N64=0,D$10-D$25*(M$14-1)," "))))</f>
        <v>145.83000000000001</v>
      </c>
      <c r="E63" s="269"/>
      <c r="F63" s="87">
        <f ca="1">IF(N63=0,IF(N62=1,SUM(F$25:F62)," "),IF(M$1=1,P63,IF(M$1=2,Q63," ")))</f>
        <v>37.595600000000069</v>
      </c>
      <c r="G63" s="87">
        <v>0</v>
      </c>
      <c r="H63" s="87">
        <f t="shared" ca="1" si="55"/>
        <v>183.42560000000009</v>
      </c>
      <c r="I63" s="87">
        <f t="shared" ca="1" si="56"/>
        <v>194.45</v>
      </c>
      <c r="J63" s="87">
        <f t="shared" ca="1" si="40"/>
        <v>50.120055555555659</v>
      </c>
      <c r="K63" s="87">
        <v>0</v>
      </c>
      <c r="L63" s="87">
        <f t="shared" ca="1" si="57"/>
        <v>244.57005555555565</v>
      </c>
      <c r="M63" s="2">
        <v>39</v>
      </c>
      <c r="N63" s="2">
        <f t="shared" ca="1" si="36"/>
        <v>1</v>
      </c>
      <c r="O63" s="2">
        <f t="shared" ca="1" si="41"/>
        <v>20</v>
      </c>
      <c r="P63" s="134">
        <f t="shared" ca="1" si="20"/>
        <v>37.595600000000069</v>
      </c>
      <c r="Q63" s="134">
        <f t="shared" ca="1" si="21"/>
        <v>37.595600000000069</v>
      </c>
      <c r="R63" s="134">
        <f t="shared" ca="1" si="58"/>
        <v>1458.4600000000028</v>
      </c>
      <c r="S63" s="134">
        <f t="shared" ca="1" si="59"/>
        <v>145.83000000000001</v>
      </c>
      <c r="T63" s="134">
        <f t="shared" ca="1" si="32"/>
        <v>145.83000000000001</v>
      </c>
      <c r="U63" s="134">
        <f t="shared" ca="1" si="33"/>
        <v>37.595600000000069</v>
      </c>
      <c r="V63" s="134">
        <f t="shared" ca="1" si="34"/>
        <v>37.595600000000069</v>
      </c>
      <c r="W63" s="134">
        <f t="shared" ca="1" si="60"/>
        <v>169.16666666666666</v>
      </c>
      <c r="X63" s="134">
        <f t="shared" ca="1" si="61"/>
        <v>170</v>
      </c>
      <c r="Y63" s="134">
        <f t="shared" ca="1" si="42"/>
        <v>1944.3000000000045</v>
      </c>
      <c r="Z63" s="134">
        <f t="shared" ca="1" si="35"/>
        <v>50.120055555555659</v>
      </c>
      <c r="AA63" s="134">
        <f t="shared" ca="1" si="26"/>
        <v>50.120055555555659</v>
      </c>
      <c r="AB63" s="134">
        <f t="shared" ca="1" si="37"/>
        <v>46670.400000000081</v>
      </c>
      <c r="AC63" s="134">
        <f t="shared" ca="1" si="43"/>
        <v>0</v>
      </c>
      <c r="AD63" s="134">
        <f t="shared" ca="1" si="44"/>
        <v>0</v>
      </c>
      <c r="AE63" s="134">
        <f t="shared" ca="1" si="62"/>
        <v>0</v>
      </c>
      <c r="AF63" s="134">
        <f t="shared" ca="1" si="45"/>
        <v>0</v>
      </c>
      <c r="AG63" s="134">
        <f t="shared" ca="1" si="63"/>
        <v>0</v>
      </c>
      <c r="AH63" s="134">
        <f t="shared" ca="1" si="46"/>
        <v>0</v>
      </c>
      <c r="AI63" s="134">
        <f t="shared" ca="1" si="47"/>
        <v>1458.4600000000028</v>
      </c>
      <c r="AJ63" s="134">
        <f t="shared" ca="1" si="67"/>
        <v>0</v>
      </c>
      <c r="AK63" s="134">
        <f t="shared" ca="1" si="68"/>
        <v>0</v>
      </c>
      <c r="AL63" s="132">
        <f t="shared" ca="1" si="64"/>
        <v>4</v>
      </c>
      <c r="AM63" s="132">
        <f t="shared" ca="1" si="48"/>
        <v>4</v>
      </c>
      <c r="AN63" s="2">
        <f t="shared" ca="1" si="65"/>
        <v>2027</v>
      </c>
      <c r="AO63" s="2">
        <f t="shared" ca="1" si="49"/>
        <v>2027</v>
      </c>
      <c r="AP63" s="2">
        <f t="shared" ca="1" si="50"/>
        <v>0</v>
      </c>
      <c r="AQ63" s="2">
        <f t="shared" ca="1" si="51"/>
        <v>30</v>
      </c>
      <c r="AR63" s="2">
        <f t="shared" si="52"/>
        <v>20</v>
      </c>
      <c r="AS63" s="2">
        <f t="shared" ca="1" si="66"/>
        <v>30</v>
      </c>
      <c r="AT63" s="2"/>
      <c r="AU63" s="2"/>
      <c r="AV63" s="2"/>
      <c r="AW63" s="2"/>
      <c r="AX63" s="2"/>
      <c r="AY63" s="2">
        <f t="shared" ca="1" si="53"/>
        <v>1</v>
      </c>
      <c r="AZ63" s="2"/>
      <c r="BA63" s="2"/>
      <c r="BB63" s="2"/>
      <c r="BC63" s="2"/>
      <c r="BD63" s="2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>
        <f t="shared" ca="1" si="54"/>
        <v>46527</v>
      </c>
      <c r="C64" s="401"/>
      <c r="D64" s="269">
        <f ca="1">IF(N64=0,IF(N63=1,SUM(D$25:E63)," "),IF(N64=0," ",IF(N65=1,D$25,IF(N65=0,D$10-D$25*(M$14-1)," "))))</f>
        <v>145.83000000000001</v>
      </c>
      <c r="E64" s="269"/>
      <c r="F64" s="87">
        <f ca="1">IF(N64=0,IF(N63=1,SUM(F$25:F63)," "),IF(M$1=1,P64,IF(M$1=2,Q64," ")))</f>
        <v>34.071375000000074</v>
      </c>
      <c r="G64" s="87">
        <v>0</v>
      </c>
      <c r="H64" s="87">
        <f t="shared" ca="1" si="55"/>
        <v>179.90137500000009</v>
      </c>
      <c r="I64" s="87">
        <f t="shared" ca="1" si="56"/>
        <v>194.45</v>
      </c>
      <c r="J64" s="87">
        <f t="shared" ca="1" si="40"/>
        <v>45.420847222222335</v>
      </c>
      <c r="K64" s="87">
        <v>0</v>
      </c>
      <c r="L64" s="87">
        <f t="shared" ca="1" si="57"/>
        <v>239.87084722222232</v>
      </c>
      <c r="M64" s="2">
        <v>40</v>
      </c>
      <c r="N64" s="2">
        <f t="shared" ca="1" si="36"/>
        <v>1</v>
      </c>
      <c r="O64" s="2">
        <f t="shared" ca="1" si="41"/>
        <v>20</v>
      </c>
      <c r="P64" s="134">
        <f t="shared" ca="1" si="20"/>
        <v>34.071375000000074</v>
      </c>
      <c r="Q64" s="134">
        <f t="shared" ca="1" si="21"/>
        <v>34.071375000000074</v>
      </c>
      <c r="R64" s="134">
        <f t="shared" ca="1" si="58"/>
        <v>1312.6300000000028</v>
      </c>
      <c r="S64" s="134">
        <f t="shared" ca="1" si="59"/>
        <v>145.83000000000001</v>
      </c>
      <c r="T64" s="134">
        <f t="shared" ca="1" si="32"/>
        <v>145.83000000000001</v>
      </c>
      <c r="U64" s="134">
        <f t="shared" ca="1" si="33"/>
        <v>34.071375000000074</v>
      </c>
      <c r="V64" s="134">
        <f t="shared" ca="1" si="34"/>
        <v>34.071375000000074</v>
      </c>
      <c r="W64" s="134">
        <f t="shared" ca="1" si="60"/>
        <v>169.16666666666666</v>
      </c>
      <c r="X64" s="134">
        <f t="shared" ca="1" si="61"/>
        <v>170</v>
      </c>
      <c r="Y64" s="134">
        <f t="shared" ca="1" si="42"/>
        <v>1749.8500000000045</v>
      </c>
      <c r="Z64" s="134">
        <f t="shared" ca="1" si="35"/>
        <v>45.420847222222335</v>
      </c>
      <c r="AA64" s="134">
        <f t="shared" ca="1" si="26"/>
        <v>45.420847222222335</v>
      </c>
      <c r="AB64" s="134">
        <f t="shared" ca="1" si="37"/>
        <v>42295.500000000087</v>
      </c>
      <c r="AC64" s="134">
        <f t="shared" ca="1" si="43"/>
        <v>0</v>
      </c>
      <c r="AD64" s="134">
        <f t="shared" ca="1" si="44"/>
        <v>0</v>
      </c>
      <c r="AE64" s="134">
        <f t="shared" ca="1" si="62"/>
        <v>0</v>
      </c>
      <c r="AF64" s="134">
        <f t="shared" ca="1" si="45"/>
        <v>0</v>
      </c>
      <c r="AG64" s="134">
        <f t="shared" ca="1" si="63"/>
        <v>0</v>
      </c>
      <c r="AH64" s="134">
        <f t="shared" ca="1" si="46"/>
        <v>0</v>
      </c>
      <c r="AI64" s="134">
        <f t="shared" ca="1" si="47"/>
        <v>1312.6300000000028</v>
      </c>
      <c r="AJ64" s="134">
        <f t="shared" ca="1" si="67"/>
        <v>0</v>
      </c>
      <c r="AK64" s="134">
        <f t="shared" ca="1" si="68"/>
        <v>0</v>
      </c>
      <c r="AL64" s="132">
        <f t="shared" ca="1" si="64"/>
        <v>5</v>
      </c>
      <c r="AM64" s="132">
        <f t="shared" ca="1" si="48"/>
        <v>5</v>
      </c>
      <c r="AN64" s="2">
        <f t="shared" ca="1" si="65"/>
        <v>2027</v>
      </c>
      <c r="AO64" s="2">
        <f t="shared" ca="1" si="49"/>
        <v>2027</v>
      </c>
      <c r="AP64" s="2">
        <f t="shared" ca="1" si="50"/>
        <v>0</v>
      </c>
      <c r="AQ64" s="2">
        <f t="shared" ca="1" si="51"/>
        <v>30</v>
      </c>
      <c r="AR64" s="2">
        <f t="shared" si="52"/>
        <v>20</v>
      </c>
      <c r="AS64" s="2">
        <f t="shared" ca="1" si="66"/>
        <v>30</v>
      </c>
      <c r="AT64" s="2"/>
      <c r="AU64" s="2"/>
      <c r="AV64" s="2"/>
      <c r="AW64" s="2"/>
      <c r="AX64" s="2"/>
      <c r="AY64" s="2">
        <f t="shared" ca="1" si="53"/>
        <v>1</v>
      </c>
      <c r="AZ64" s="2"/>
      <c r="BA64" s="2"/>
      <c r="BB64" s="2"/>
      <c r="BC64" s="2"/>
      <c r="BD64" s="2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>
        <f t="shared" ca="1" si="54"/>
        <v>46558</v>
      </c>
      <c r="C65" s="401"/>
      <c r="D65" s="269">
        <f ca="1">IF(N65=0,IF(N64=1,SUM(D$25:E64)," "),IF(N65=0," ",IF(N66=1,D$25,IF(N66=0,D$10-D$25*(M$14-1)," "))))</f>
        <v>145.83000000000001</v>
      </c>
      <c r="E65" s="269"/>
      <c r="F65" s="87">
        <f ca="1">IF(N65=0,IF(N64=1,SUM(F$25:F64)," "),IF(M$1=1,P65,IF(M$1=2,Q65," ")))</f>
        <v>30.547150000000066</v>
      </c>
      <c r="G65" s="87">
        <v>0</v>
      </c>
      <c r="H65" s="87">
        <f t="shared" ca="1" si="55"/>
        <v>176.37715000000009</v>
      </c>
      <c r="I65" s="87">
        <f t="shared" ca="1" si="56"/>
        <v>194.45</v>
      </c>
      <c r="J65" s="87">
        <f t="shared" ca="1" si="40"/>
        <v>40.721638888888997</v>
      </c>
      <c r="K65" s="87">
        <v>0</v>
      </c>
      <c r="L65" s="87">
        <f t="shared" ca="1" si="57"/>
        <v>235.17163888888899</v>
      </c>
      <c r="M65" s="2">
        <v>41</v>
      </c>
      <c r="N65" s="2">
        <f t="shared" ca="1" si="36"/>
        <v>1</v>
      </c>
      <c r="O65" s="2">
        <f t="shared" ca="1" si="41"/>
        <v>20</v>
      </c>
      <c r="P65" s="134">
        <f t="shared" ca="1" si="20"/>
        <v>30.547150000000066</v>
      </c>
      <c r="Q65" s="134">
        <f t="shared" ca="1" si="21"/>
        <v>30.547150000000066</v>
      </c>
      <c r="R65" s="134">
        <f t="shared" ca="1" si="58"/>
        <v>1166.8000000000029</v>
      </c>
      <c r="S65" s="134">
        <f t="shared" ca="1" si="59"/>
        <v>145.83000000000001</v>
      </c>
      <c r="T65" s="134">
        <f t="shared" ca="1" si="32"/>
        <v>145.83000000000001</v>
      </c>
      <c r="U65" s="134">
        <f t="shared" ca="1" si="33"/>
        <v>30.547150000000066</v>
      </c>
      <c r="V65" s="134">
        <f t="shared" ca="1" si="34"/>
        <v>30.547150000000066</v>
      </c>
      <c r="W65" s="134">
        <f t="shared" ca="1" si="60"/>
        <v>169.16666666666666</v>
      </c>
      <c r="X65" s="134">
        <f t="shared" ca="1" si="61"/>
        <v>170</v>
      </c>
      <c r="Y65" s="134">
        <f t="shared" ca="1" si="42"/>
        <v>1555.4000000000044</v>
      </c>
      <c r="Z65" s="134">
        <f t="shared" ca="1" si="35"/>
        <v>40.721638888888997</v>
      </c>
      <c r="AA65" s="134">
        <f t="shared" ca="1" si="26"/>
        <v>40.721638888888997</v>
      </c>
      <c r="AB65" s="134">
        <f t="shared" ca="1" si="37"/>
        <v>37920.600000000086</v>
      </c>
      <c r="AC65" s="134">
        <f t="shared" ca="1" si="43"/>
        <v>0</v>
      </c>
      <c r="AD65" s="134">
        <f t="shared" ca="1" si="44"/>
        <v>0</v>
      </c>
      <c r="AE65" s="134">
        <f t="shared" ca="1" si="62"/>
        <v>0</v>
      </c>
      <c r="AF65" s="134">
        <f t="shared" ca="1" si="45"/>
        <v>0</v>
      </c>
      <c r="AG65" s="134">
        <f t="shared" ca="1" si="63"/>
        <v>0</v>
      </c>
      <c r="AH65" s="134">
        <f t="shared" ca="1" si="46"/>
        <v>0</v>
      </c>
      <c r="AI65" s="134">
        <f t="shared" ca="1" si="47"/>
        <v>1166.8000000000029</v>
      </c>
      <c r="AJ65" s="134">
        <f t="shared" ca="1" si="67"/>
        <v>0</v>
      </c>
      <c r="AK65" s="134">
        <f t="shared" ca="1" si="68"/>
        <v>0</v>
      </c>
      <c r="AL65" s="132">
        <f t="shared" ca="1" si="64"/>
        <v>6</v>
      </c>
      <c r="AM65" s="132">
        <f t="shared" ca="1" si="48"/>
        <v>6</v>
      </c>
      <c r="AN65" s="2">
        <f t="shared" ca="1" si="65"/>
        <v>2027</v>
      </c>
      <c r="AO65" s="2">
        <f t="shared" ca="1" si="49"/>
        <v>2027</v>
      </c>
      <c r="AP65" s="2">
        <f t="shared" ca="1" si="50"/>
        <v>0</v>
      </c>
      <c r="AQ65" s="2">
        <f t="shared" ca="1" si="51"/>
        <v>30</v>
      </c>
      <c r="AR65" s="2">
        <f t="shared" si="52"/>
        <v>20</v>
      </c>
      <c r="AS65" s="2">
        <f t="shared" ca="1" si="66"/>
        <v>30</v>
      </c>
      <c r="AT65" s="2"/>
      <c r="AU65" s="2"/>
      <c r="AV65" s="2"/>
      <c r="AW65" s="2"/>
      <c r="AX65" s="2"/>
      <c r="AY65" s="2">
        <f t="shared" ca="1" si="53"/>
        <v>1</v>
      </c>
      <c r="AZ65" s="2"/>
      <c r="BA65" s="2"/>
      <c r="BB65" s="2"/>
      <c r="BC65" s="2"/>
      <c r="BD65" s="2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>
        <f t="shared" ca="1" si="54"/>
        <v>46588</v>
      </c>
      <c r="C66" s="401"/>
      <c r="D66" s="269">
        <f ca="1">IF(N66=0,IF(N65=1,SUM(D$25:E65)," "),IF(N66=0," ",IF(N67=1,D$25,IF(N67=0,D$10-D$25*(M$14-1)," "))))</f>
        <v>145.83000000000001</v>
      </c>
      <c r="E66" s="269"/>
      <c r="F66" s="87">
        <f ca="1">IF(N66=0,IF(N65=1,SUM(F$25:F65)," "),IF(M$1=1,P66,IF(M$1=2,Q66," ")))</f>
        <v>27.022925000000068</v>
      </c>
      <c r="G66" s="87">
        <v>0</v>
      </c>
      <c r="H66" s="87">
        <f t="shared" ca="1" si="55"/>
        <v>172.85292500000008</v>
      </c>
      <c r="I66" s="87">
        <f t="shared" ca="1" si="56"/>
        <v>194.45</v>
      </c>
      <c r="J66" s="87">
        <f t="shared" ca="1" si="40"/>
        <v>36.022430555555658</v>
      </c>
      <c r="K66" s="87">
        <v>0</v>
      </c>
      <c r="L66" s="87">
        <f t="shared" ca="1" si="57"/>
        <v>230.47243055555566</v>
      </c>
      <c r="M66" s="2">
        <v>42</v>
      </c>
      <c r="N66" s="2">
        <f t="shared" ca="1" si="36"/>
        <v>1</v>
      </c>
      <c r="O66" s="2">
        <f t="shared" ca="1" si="41"/>
        <v>20</v>
      </c>
      <c r="P66" s="134">
        <f t="shared" ca="1" si="20"/>
        <v>27.022925000000068</v>
      </c>
      <c r="Q66" s="134">
        <f t="shared" ca="1" si="21"/>
        <v>27.022925000000068</v>
      </c>
      <c r="R66" s="134">
        <f t="shared" ca="1" si="58"/>
        <v>1020.9700000000029</v>
      </c>
      <c r="S66" s="134">
        <f t="shared" ca="1" si="59"/>
        <v>145.83000000000001</v>
      </c>
      <c r="T66" s="134">
        <f t="shared" ca="1" si="32"/>
        <v>145.83000000000001</v>
      </c>
      <c r="U66" s="134">
        <f t="shared" ca="1" si="33"/>
        <v>27.022925000000068</v>
      </c>
      <c r="V66" s="134">
        <f t="shared" ca="1" si="34"/>
        <v>27.022925000000068</v>
      </c>
      <c r="W66" s="134">
        <f t="shared" ca="1" si="60"/>
        <v>169.16666666666666</v>
      </c>
      <c r="X66" s="134">
        <f t="shared" ca="1" si="61"/>
        <v>170</v>
      </c>
      <c r="Y66" s="134">
        <f t="shared" ca="1" si="42"/>
        <v>1360.9500000000044</v>
      </c>
      <c r="Z66" s="134">
        <f t="shared" ca="1" si="35"/>
        <v>36.022430555555658</v>
      </c>
      <c r="AA66" s="134">
        <f t="shared" ca="1" si="26"/>
        <v>36.022430555555658</v>
      </c>
      <c r="AB66" s="134">
        <f t="shared" ca="1" si="37"/>
        <v>33545.700000000084</v>
      </c>
      <c r="AC66" s="134">
        <f t="shared" ca="1" si="43"/>
        <v>0</v>
      </c>
      <c r="AD66" s="134">
        <f t="shared" ca="1" si="44"/>
        <v>0</v>
      </c>
      <c r="AE66" s="134">
        <f t="shared" ca="1" si="62"/>
        <v>0</v>
      </c>
      <c r="AF66" s="134">
        <f t="shared" ca="1" si="45"/>
        <v>0</v>
      </c>
      <c r="AG66" s="134">
        <f t="shared" ca="1" si="63"/>
        <v>0</v>
      </c>
      <c r="AH66" s="134">
        <f t="shared" ca="1" si="46"/>
        <v>0</v>
      </c>
      <c r="AI66" s="134">
        <f t="shared" ca="1" si="47"/>
        <v>1020.9700000000029</v>
      </c>
      <c r="AJ66" s="134">
        <f t="shared" ca="1" si="67"/>
        <v>0</v>
      </c>
      <c r="AK66" s="134">
        <f t="shared" ca="1" si="68"/>
        <v>0</v>
      </c>
      <c r="AL66" s="132">
        <f t="shared" ca="1" si="64"/>
        <v>7</v>
      </c>
      <c r="AM66" s="132">
        <f t="shared" ca="1" si="48"/>
        <v>7</v>
      </c>
      <c r="AN66" s="2">
        <f t="shared" ca="1" si="65"/>
        <v>2027</v>
      </c>
      <c r="AO66" s="2">
        <f t="shared" ca="1" si="49"/>
        <v>2027</v>
      </c>
      <c r="AP66" s="2">
        <f t="shared" ca="1" si="50"/>
        <v>0</v>
      </c>
      <c r="AQ66" s="2">
        <f t="shared" ca="1" si="51"/>
        <v>30</v>
      </c>
      <c r="AR66" s="2">
        <f t="shared" si="52"/>
        <v>20</v>
      </c>
      <c r="AS66" s="2">
        <f t="shared" ca="1" si="66"/>
        <v>30</v>
      </c>
      <c r="AT66" s="2"/>
      <c r="AU66" s="2"/>
      <c r="AV66" s="2"/>
      <c r="AW66" s="2"/>
      <c r="AX66" s="2"/>
      <c r="AY66" s="2">
        <f t="shared" ca="1" si="53"/>
        <v>1</v>
      </c>
      <c r="AZ66" s="2"/>
      <c r="BA66" s="2"/>
      <c r="BB66" s="2"/>
      <c r="BC66" s="2"/>
      <c r="BD66" s="2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>
        <f t="shared" ca="1" si="54"/>
        <v>46619</v>
      </c>
      <c r="C67" s="401"/>
      <c r="D67" s="269">
        <f ca="1">IF(N67=0,IF(N66=1,SUM(D$25:E66)," "),IF(N67=0," ",IF(N68=1,D$25,IF(N68=0,D$10-D$25*(M$14-1)," "))))</f>
        <v>145.83000000000001</v>
      </c>
      <c r="E67" s="269"/>
      <c r="F67" s="87">
        <f ca="1">IF(N67=0,IF(N66=1,SUM(F$25:F66)," "),IF(M$1=1,P67,IF(M$1=2,Q67," ")))</f>
        <v>23.498700000000071</v>
      </c>
      <c r="G67" s="87">
        <v>0</v>
      </c>
      <c r="H67" s="87">
        <f t="shared" ca="1" si="55"/>
        <v>169.32870000000008</v>
      </c>
      <c r="I67" s="87">
        <f t="shared" ca="1" si="56"/>
        <v>194.45</v>
      </c>
      <c r="J67" s="87">
        <f t="shared" ca="1" si="40"/>
        <v>31.323222222222327</v>
      </c>
      <c r="K67" s="87">
        <v>0</v>
      </c>
      <c r="L67" s="87">
        <f t="shared" ca="1" si="57"/>
        <v>225.77322222222233</v>
      </c>
      <c r="M67" s="2">
        <v>43</v>
      </c>
      <c r="N67" s="2">
        <f t="shared" ca="1" si="36"/>
        <v>1</v>
      </c>
      <c r="O67" s="2">
        <f t="shared" ca="1" si="41"/>
        <v>20</v>
      </c>
      <c r="P67" s="134">
        <f t="shared" ca="1" si="20"/>
        <v>23.498700000000071</v>
      </c>
      <c r="Q67" s="134">
        <f t="shared" ca="1" si="21"/>
        <v>23.498700000000071</v>
      </c>
      <c r="R67" s="134">
        <f t="shared" ca="1" si="58"/>
        <v>875.14000000000283</v>
      </c>
      <c r="S67" s="134">
        <f t="shared" ca="1" si="59"/>
        <v>145.83000000000001</v>
      </c>
      <c r="T67" s="134">
        <f t="shared" ca="1" si="32"/>
        <v>145.83000000000001</v>
      </c>
      <c r="U67" s="134">
        <f t="shared" ca="1" si="33"/>
        <v>23.498700000000071</v>
      </c>
      <c r="V67" s="134">
        <f t="shared" ca="1" si="34"/>
        <v>23.498700000000071</v>
      </c>
      <c r="W67" s="134">
        <f t="shared" ca="1" si="60"/>
        <v>169.16666666666666</v>
      </c>
      <c r="X67" s="134">
        <f t="shared" ca="1" si="61"/>
        <v>170</v>
      </c>
      <c r="Y67" s="134">
        <f t="shared" ca="1" si="42"/>
        <v>1166.5000000000043</v>
      </c>
      <c r="Z67" s="134">
        <f t="shared" ca="1" si="35"/>
        <v>31.323222222222327</v>
      </c>
      <c r="AA67" s="134">
        <f t="shared" ca="1" si="26"/>
        <v>31.323222222222327</v>
      </c>
      <c r="AB67" s="134">
        <f t="shared" ca="1" si="37"/>
        <v>29170.800000000083</v>
      </c>
      <c r="AC67" s="134">
        <f t="shared" ca="1" si="43"/>
        <v>0</v>
      </c>
      <c r="AD67" s="134">
        <f t="shared" ca="1" si="44"/>
        <v>0</v>
      </c>
      <c r="AE67" s="134">
        <f t="shared" ca="1" si="62"/>
        <v>0</v>
      </c>
      <c r="AF67" s="134">
        <f t="shared" ca="1" si="45"/>
        <v>0</v>
      </c>
      <c r="AG67" s="134">
        <f t="shared" ca="1" si="63"/>
        <v>0</v>
      </c>
      <c r="AH67" s="134">
        <f t="shared" ca="1" si="46"/>
        <v>0</v>
      </c>
      <c r="AI67" s="134">
        <f t="shared" ca="1" si="47"/>
        <v>875.14000000000283</v>
      </c>
      <c r="AJ67" s="134">
        <f t="shared" ca="1" si="67"/>
        <v>0</v>
      </c>
      <c r="AK67" s="134">
        <f t="shared" ca="1" si="68"/>
        <v>0</v>
      </c>
      <c r="AL67" s="132">
        <f t="shared" ca="1" si="64"/>
        <v>8</v>
      </c>
      <c r="AM67" s="132">
        <f t="shared" ca="1" si="48"/>
        <v>8</v>
      </c>
      <c r="AN67" s="2">
        <f t="shared" ca="1" si="65"/>
        <v>2027</v>
      </c>
      <c r="AO67" s="2">
        <f t="shared" ca="1" si="49"/>
        <v>2027</v>
      </c>
      <c r="AP67" s="2">
        <f t="shared" ca="1" si="50"/>
        <v>0</v>
      </c>
      <c r="AQ67" s="2">
        <f t="shared" ca="1" si="51"/>
        <v>30</v>
      </c>
      <c r="AR67" s="2">
        <f t="shared" si="52"/>
        <v>20</v>
      </c>
      <c r="AS67" s="2">
        <f t="shared" ca="1" si="66"/>
        <v>30</v>
      </c>
      <c r="AT67" s="2"/>
      <c r="AU67" s="2"/>
      <c r="AV67" s="2"/>
      <c r="AW67" s="2"/>
      <c r="AX67" s="2"/>
      <c r="AY67" s="2">
        <f t="shared" ca="1" si="53"/>
        <v>1</v>
      </c>
      <c r="AZ67" s="2"/>
      <c r="BA67" s="2"/>
      <c r="BB67" s="2"/>
      <c r="BC67" s="2"/>
      <c r="BD67" s="2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>
        <f t="shared" ca="1" si="54"/>
        <v>46650</v>
      </c>
      <c r="C68" s="401"/>
      <c r="D68" s="269">
        <f ca="1">IF(N68=0,IF(N67=1,SUM(D$25:E67)," "),IF(N68=0," ",IF(N69=1,D$25,IF(N69=0,D$10-D$25*(M$14-1)," "))))</f>
        <v>145.83000000000001</v>
      </c>
      <c r="E68" s="269"/>
      <c r="F68" s="87">
        <f ca="1">IF(N68=0,IF(N67=1,SUM(F$25:F67)," "),IF(M$1=1,P68,IF(M$1=2,Q68," ")))</f>
        <v>19.974475000000069</v>
      </c>
      <c r="G68" s="87">
        <v>0</v>
      </c>
      <c r="H68" s="87">
        <f t="shared" ca="1" si="55"/>
        <v>165.80447500000008</v>
      </c>
      <c r="I68" s="87">
        <f t="shared" ca="1" si="56"/>
        <v>194.45</v>
      </c>
      <c r="J68" s="87">
        <f t="shared" ca="1" si="40"/>
        <v>26.624013888888989</v>
      </c>
      <c r="K68" s="87">
        <v>0</v>
      </c>
      <c r="L68" s="87">
        <f t="shared" ca="1" si="57"/>
        <v>221.07401388888897</v>
      </c>
      <c r="M68" s="2">
        <v>44</v>
      </c>
      <c r="N68" s="2">
        <f t="shared" ca="1" si="36"/>
        <v>1</v>
      </c>
      <c r="O68" s="2">
        <f t="shared" ca="1" si="41"/>
        <v>20</v>
      </c>
      <c r="P68" s="134">
        <f t="shared" ca="1" si="20"/>
        <v>19.974475000000069</v>
      </c>
      <c r="Q68" s="134">
        <f t="shared" ca="1" si="21"/>
        <v>19.974475000000069</v>
      </c>
      <c r="R68" s="134">
        <f t="shared" ca="1" si="58"/>
        <v>729.31000000000279</v>
      </c>
      <c r="S68" s="134">
        <f t="shared" ca="1" si="59"/>
        <v>145.83000000000001</v>
      </c>
      <c r="T68" s="134">
        <f t="shared" ca="1" si="32"/>
        <v>145.83000000000001</v>
      </c>
      <c r="U68" s="134">
        <f t="shared" ca="1" si="33"/>
        <v>19.974475000000069</v>
      </c>
      <c r="V68" s="134">
        <f t="shared" ca="1" si="34"/>
        <v>19.974475000000069</v>
      </c>
      <c r="W68" s="134">
        <f t="shared" ca="1" si="60"/>
        <v>169.16666666666666</v>
      </c>
      <c r="X68" s="134">
        <f t="shared" ca="1" si="61"/>
        <v>170</v>
      </c>
      <c r="Y68" s="134">
        <f t="shared" ca="1" si="42"/>
        <v>972.05000000000427</v>
      </c>
      <c r="Z68" s="134">
        <f t="shared" ca="1" si="35"/>
        <v>26.624013888888989</v>
      </c>
      <c r="AA68" s="134">
        <f t="shared" ca="1" si="26"/>
        <v>26.624013888888989</v>
      </c>
      <c r="AB68" s="134">
        <f t="shared" ca="1" si="37"/>
        <v>24795.900000000085</v>
      </c>
      <c r="AC68" s="134">
        <f t="shared" ca="1" si="43"/>
        <v>0</v>
      </c>
      <c r="AD68" s="134">
        <f t="shared" ca="1" si="44"/>
        <v>0</v>
      </c>
      <c r="AE68" s="134">
        <f t="shared" ca="1" si="62"/>
        <v>0</v>
      </c>
      <c r="AF68" s="134">
        <f t="shared" ca="1" si="45"/>
        <v>0</v>
      </c>
      <c r="AG68" s="134">
        <f t="shared" ca="1" si="63"/>
        <v>0</v>
      </c>
      <c r="AH68" s="134">
        <f t="shared" ca="1" si="46"/>
        <v>0</v>
      </c>
      <c r="AI68" s="134">
        <f t="shared" ca="1" si="47"/>
        <v>729.31000000000279</v>
      </c>
      <c r="AJ68" s="134">
        <f t="shared" ca="1" si="67"/>
        <v>0</v>
      </c>
      <c r="AK68" s="134">
        <f t="shared" ca="1" si="68"/>
        <v>0</v>
      </c>
      <c r="AL68" s="132">
        <f t="shared" ca="1" si="64"/>
        <v>9</v>
      </c>
      <c r="AM68" s="132">
        <f t="shared" ca="1" si="48"/>
        <v>9</v>
      </c>
      <c r="AN68" s="2">
        <f t="shared" ca="1" si="65"/>
        <v>2027</v>
      </c>
      <c r="AO68" s="2">
        <f t="shared" ca="1" si="49"/>
        <v>2027</v>
      </c>
      <c r="AP68" s="2">
        <f t="shared" ca="1" si="50"/>
        <v>0</v>
      </c>
      <c r="AQ68" s="2">
        <f t="shared" ca="1" si="51"/>
        <v>30</v>
      </c>
      <c r="AR68" s="2">
        <f t="shared" si="52"/>
        <v>20</v>
      </c>
      <c r="AS68" s="2">
        <f t="shared" ca="1" si="66"/>
        <v>30</v>
      </c>
      <c r="AT68" s="2"/>
      <c r="AU68" s="2"/>
      <c r="AV68" s="2"/>
      <c r="AW68" s="2"/>
      <c r="AX68" s="2"/>
      <c r="AY68" s="2">
        <f t="shared" ca="1" si="53"/>
        <v>1</v>
      </c>
      <c r="AZ68" s="2"/>
      <c r="BA68" s="2"/>
      <c r="BB68" s="2"/>
      <c r="BC68" s="2"/>
      <c r="BD68" s="2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>
        <f t="shared" ca="1" si="54"/>
        <v>46680</v>
      </c>
      <c r="C69" s="401"/>
      <c r="D69" s="269">
        <f ca="1">IF(N69=0,IF(N68=1,SUM(D$25:E68)," "),IF(N69=0," ",IF(N70=1,D$25,IF(N70=0,D$10-D$25*(M$14-1)," "))))</f>
        <v>145.83000000000001</v>
      </c>
      <c r="E69" s="269"/>
      <c r="F69" s="87">
        <f ca="1">IF(N69=0,IF(N68=1,SUM(F$25:F68)," "),IF(M$1=1,P69,IF(M$1=2,Q69," ")))</f>
        <v>16.450250000000068</v>
      </c>
      <c r="G69" s="87">
        <v>0</v>
      </c>
      <c r="H69" s="87">
        <f t="shared" ca="1" si="55"/>
        <v>162.28025000000008</v>
      </c>
      <c r="I69" s="87">
        <f t="shared" ca="1" si="56"/>
        <v>194.45</v>
      </c>
      <c r="J69" s="87">
        <f t="shared" ca="1" si="40"/>
        <v>21.924805555555658</v>
      </c>
      <c r="K69" s="87">
        <v>0</v>
      </c>
      <c r="L69" s="87">
        <f t="shared" ca="1" si="57"/>
        <v>216.37480555555564</v>
      </c>
      <c r="M69" s="2">
        <v>45</v>
      </c>
      <c r="N69" s="2">
        <f t="shared" ca="1" si="36"/>
        <v>1</v>
      </c>
      <c r="O69" s="2">
        <f t="shared" ca="1" si="41"/>
        <v>20</v>
      </c>
      <c r="P69" s="134">
        <f t="shared" ca="1" si="20"/>
        <v>16.450250000000068</v>
      </c>
      <c r="Q69" s="134">
        <f t="shared" ca="1" si="21"/>
        <v>16.450250000000068</v>
      </c>
      <c r="R69" s="134">
        <f t="shared" ca="1" si="58"/>
        <v>583.48000000000275</v>
      </c>
      <c r="S69" s="134">
        <f t="shared" ca="1" si="59"/>
        <v>145.83000000000001</v>
      </c>
      <c r="T69" s="134">
        <f t="shared" ca="1" si="32"/>
        <v>145.83000000000001</v>
      </c>
      <c r="U69" s="134">
        <f t="shared" ca="1" si="33"/>
        <v>16.450250000000068</v>
      </c>
      <c r="V69" s="134">
        <f t="shared" ca="1" si="34"/>
        <v>16.450250000000068</v>
      </c>
      <c r="W69" s="134">
        <f t="shared" ca="1" si="60"/>
        <v>169.16666666666666</v>
      </c>
      <c r="X69" s="134">
        <f t="shared" ca="1" si="61"/>
        <v>170</v>
      </c>
      <c r="Y69" s="134">
        <f t="shared" ca="1" si="42"/>
        <v>777.60000000000423</v>
      </c>
      <c r="Z69" s="134">
        <f t="shared" ca="1" si="35"/>
        <v>21.924805555555658</v>
      </c>
      <c r="AA69" s="134">
        <f t="shared" ca="1" si="26"/>
        <v>21.924805555555658</v>
      </c>
      <c r="AB69" s="134">
        <f t="shared" ca="1" si="37"/>
        <v>20421.000000000084</v>
      </c>
      <c r="AC69" s="134">
        <f t="shared" ca="1" si="43"/>
        <v>0</v>
      </c>
      <c r="AD69" s="134">
        <f t="shared" ca="1" si="44"/>
        <v>0</v>
      </c>
      <c r="AE69" s="134">
        <f t="shared" ca="1" si="62"/>
        <v>0</v>
      </c>
      <c r="AF69" s="134">
        <f t="shared" ca="1" si="45"/>
        <v>0</v>
      </c>
      <c r="AG69" s="134">
        <f t="shared" ca="1" si="63"/>
        <v>0</v>
      </c>
      <c r="AH69" s="134">
        <f t="shared" ca="1" si="46"/>
        <v>0</v>
      </c>
      <c r="AI69" s="134">
        <f t="shared" ca="1" si="47"/>
        <v>583.48000000000275</v>
      </c>
      <c r="AJ69" s="134">
        <f t="shared" ca="1" si="67"/>
        <v>0</v>
      </c>
      <c r="AK69" s="134">
        <f t="shared" ca="1" si="68"/>
        <v>0</v>
      </c>
      <c r="AL69" s="132">
        <f t="shared" ca="1" si="64"/>
        <v>10</v>
      </c>
      <c r="AM69" s="132">
        <f t="shared" ca="1" si="48"/>
        <v>10</v>
      </c>
      <c r="AN69" s="2">
        <f t="shared" ca="1" si="65"/>
        <v>2027</v>
      </c>
      <c r="AO69" s="2">
        <f t="shared" ca="1" si="49"/>
        <v>2027</v>
      </c>
      <c r="AP69" s="2">
        <f t="shared" ca="1" si="50"/>
        <v>0</v>
      </c>
      <c r="AQ69" s="2">
        <f t="shared" ca="1" si="51"/>
        <v>30</v>
      </c>
      <c r="AR69" s="2">
        <f t="shared" si="52"/>
        <v>20</v>
      </c>
      <c r="AS69" s="2">
        <f t="shared" ca="1" si="66"/>
        <v>30</v>
      </c>
      <c r="AT69" s="2"/>
      <c r="AU69" s="2"/>
      <c r="AV69" s="2"/>
      <c r="AW69" s="2"/>
      <c r="AX69" s="2"/>
      <c r="AY69" s="2">
        <f t="shared" ca="1" si="53"/>
        <v>1</v>
      </c>
      <c r="AZ69" s="2"/>
      <c r="BA69" s="2"/>
      <c r="BB69" s="2"/>
      <c r="BC69" s="2"/>
      <c r="BD69" s="2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>
        <f t="shared" ca="1" si="54"/>
        <v>46711</v>
      </c>
      <c r="C70" s="401"/>
      <c r="D70" s="269">
        <f ca="1">IF(N70=0,IF(N69=1,SUM(D$25:E69)," "),IF(N70=0," ",IF(N71=1,D$25,IF(N71=0,D$10-D$25*(M$14-1)," "))))</f>
        <v>145.83000000000001</v>
      </c>
      <c r="E70" s="269"/>
      <c r="F70" s="87">
        <f ca="1">IF(N70=0,IF(N69=1,SUM(F$25:F69)," "),IF(M$1=1,P70,IF(M$1=2,Q70," ")))</f>
        <v>12.926025000000065</v>
      </c>
      <c r="G70" s="87">
        <v>0</v>
      </c>
      <c r="H70" s="87">
        <f t="shared" ca="1" si="55"/>
        <v>158.75602500000008</v>
      </c>
      <c r="I70" s="87">
        <f t="shared" ca="1" si="56"/>
        <v>194.45</v>
      </c>
      <c r="J70" s="87">
        <f t="shared" ca="1" si="40"/>
        <v>17.225597222222326</v>
      </c>
      <c r="K70" s="87">
        <v>0</v>
      </c>
      <c r="L70" s="87">
        <f t="shared" ca="1" si="57"/>
        <v>211.67559722222231</v>
      </c>
      <c r="M70" s="2">
        <v>46</v>
      </c>
      <c r="N70" s="2">
        <f t="shared" ca="1" si="36"/>
        <v>1</v>
      </c>
      <c r="O70" s="2">
        <f t="shared" ca="1" si="41"/>
        <v>20</v>
      </c>
      <c r="P70" s="134">
        <f t="shared" ca="1" si="20"/>
        <v>12.926025000000065</v>
      </c>
      <c r="Q70" s="134">
        <f t="shared" ca="1" si="21"/>
        <v>12.926025000000065</v>
      </c>
      <c r="R70" s="134">
        <f t="shared" ca="1" si="58"/>
        <v>437.65000000000271</v>
      </c>
      <c r="S70" s="134">
        <f t="shared" ca="1" si="59"/>
        <v>145.83000000000001</v>
      </c>
      <c r="T70" s="134">
        <f t="shared" ca="1" si="32"/>
        <v>145.83000000000001</v>
      </c>
      <c r="U70" s="134">
        <f t="shared" ca="1" si="33"/>
        <v>12.926025000000065</v>
      </c>
      <c r="V70" s="134">
        <f t="shared" ca="1" si="34"/>
        <v>12.926025000000065</v>
      </c>
      <c r="W70" s="134">
        <f t="shared" ca="1" si="60"/>
        <v>169.16666666666666</v>
      </c>
      <c r="X70" s="134">
        <f t="shared" ca="1" si="61"/>
        <v>170</v>
      </c>
      <c r="Y70" s="134">
        <f t="shared" ca="1" si="42"/>
        <v>583.15000000000418</v>
      </c>
      <c r="Z70" s="134">
        <f t="shared" ca="1" si="35"/>
        <v>17.225597222222326</v>
      </c>
      <c r="AA70" s="134">
        <f t="shared" ca="1" si="26"/>
        <v>17.225597222222326</v>
      </c>
      <c r="AB70" s="134">
        <f t="shared" ca="1" si="37"/>
        <v>16046.100000000082</v>
      </c>
      <c r="AC70" s="134">
        <f t="shared" ca="1" si="43"/>
        <v>0</v>
      </c>
      <c r="AD70" s="134">
        <f t="shared" ca="1" si="44"/>
        <v>0</v>
      </c>
      <c r="AE70" s="134">
        <f t="shared" ca="1" si="62"/>
        <v>0</v>
      </c>
      <c r="AF70" s="134">
        <f t="shared" ca="1" si="45"/>
        <v>0</v>
      </c>
      <c r="AG70" s="134">
        <f t="shared" ca="1" si="63"/>
        <v>0</v>
      </c>
      <c r="AH70" s="134">
        <f t="shared" ca="1" si="46"/>
        <v>0</v>
      </c>
      <c r="AI70" s="134">
        <f t="shared" ca="1" si="47"/>
        <v>437.65000000000271</v>
      </c>
      <c r="AJ70" s="134">
        <f t="shared" ca="1" si="67"/>
        <v>0</v>
      </c>
      <c r="AK70" s="134">
        <f t="shared" ca="1" si="68"/>
        <v>0</v>
      </c>
      <c r="AL70" s="132">
        <f t="shared" ca="1" si="64"/>
        <v>11</v>
      </c>
      <c r="AM70" s="132">
        <f t="shared" ca="1" si="48"/>
        <v>11</v>
      </c>
      <c r="AN70" s="2">
        <f t="shared" ca="1" si="65"/>
        <v>2027</v>
      </c>
      <c r="AO70" s="2">
        <f t="shared" ca="1" si="49"/>
        <v>2027</v>
      </c>
      <c r="AP70" s="2">
        <f t="shared" ca="1" si="50"/>
        <v>0</v>
      </c>
      <c r="AQ70" s="2">
        <f t="shared" ca="1" si="51"/>
        <v>30</v>
      </c>
      <c r="AR70" s="2">
        <f t="shared" si="52"/>
        <v>20</v>
      </c>
      <c r="AS70" s="2">
        <f t="shared" ca="1" si="66"/>
        <v>30</v>
      </c>
      <c r="AT70" s="2"/>
      <c r="AU70" s="2"/>
      <c r="AV70" s="2"/>
      <c r="AW70" s="2"/>
      <c r="AX70" s="2"/>
      <c r="AY70" s="2">
        <f t="shared" ca="1" si="53"/>
        <v>1</v>
      </c>
      <c r="AZ70" s="2"/>
      <c r="BA70" s="2"/>
      <c r="BB70" s="2"/>
      <c r="BC70" s="2"/>
      <c r="BD70" s="2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>
        <f t="shared" ca="1" si="54"/>
        <v>46741</v>
      </c>
      <c r="C71" s="401"/>
      <c r="D71" s="269">
        <f ca="1">IF(N71=0,IF(N70=1,SUM(D$25:E70)," "),IF(N71=0," ",IF(N72=1,D$25,IF(N72=0,D$10-D$25*(M$14-1)," "))))</f>
        <v>145.83000000000001</v>
      </c>
      <c r="E71" s="269"/>
      <c r="F71" s="87">
        <f ca="1">IF(N71=0,IF(N70=1,SUM(F$25:F70)," "),IF(M$1=1,P71,IF(M$1=2,Q71," ")))</f>
        <v>9.4018000000000654</v>
      </c>
      <c r="G71" s="87">
        <v>0</v>
      </c>
      <c r="H71" s="87">
        <f t="shared" ca="1" si="55"/>
        <v>155.23180000000008</v>
      </c>
      <c r="I71" s="87">
        <f t="shared" ca="1" si="56"/>
        <v>194.45</v>
      </c>
      <c r="J71" s="87">
        <f t="shared" ca="1" si="40"/>
        <v>12.526388888888992</v>
      </c>
      <c r="K71" s="87">
        <v>0</v>
      </c>
      <c r="L71" s="87">
        <f t="shared" ca="1" si="57"/>
        <v>206.97638888888898</v>
      </c>
      <c r="M71" s="2">
        <v>47</v>
      </c>
      <c r="N71" s="2">
        <f t="shared" ca="1" si="36"/>
        <v>1</v>
      </c>
      <c r="O71" s="2">
        <f t="shared" ca="1" si="41"/>
        <v>20</v>
      </c>
      <c r="P71" s="134">
        <f t="shared" ca="1" si="20"/>
        <v>9.4018000000000654</v>
      </c>
      <c r="Q71" s="134">
        <f t="shared" ca="1" si="21"/>
        <v>9.4018000000000654</v>
      </c>
      <c r="R71" s="134">
        <f t="shared" ca="1" si="58"/>
        <v>291.82000000000266</v>
      </c>
      <c r="S71" s="134">
        <f t="shared" ca="1" si="59"/>
        <v>145.83000000000001</v>
      </c>
      <c r="T71" s="134">
        <f t="shared" ca="1" si="32"/>
        <v>145.83000000000001</v>
      </c>
      <c r="U71" s="134">
        <f t="shared" ca="1" si="33"/>
        <v>9.4018000000000654</v>
      </c>
      <c r="V71" s="134">
        <f t="shared" ca="1" si="34"/>
        <v>9.4018000000000654</v>
      </c>
      <c r="W71" s="134">
        <f t="shared" ca="1" si="60"/>
        <v>169.16666666666666</v>
      </c>
      <c r="X71" s="134">
        <f t="shared" ca="1" si="61"/>
        <v>170</v>
      </c>
      <c r="Y71" s="134">
        <f t="shared" ca="1" si="42"/>
        <v>388.7000000000042</v>
      </c>
      <c r="Z71" s="134">
        <f t="shared" ca="1" si="35"/>
        <v>12.526388888888992</v>
      </c>
      <c r="AA71" s="134">
        <f t="shared" ca="1" si="26"/>
        <v>12.526388888888992</v>
      </c>
      <c r="AB71" s="134">
        <f t="shared" ca="1" si="37"/>
        <v>11671.200000000081</v>
      </c>
      <c r="AC71" s="134">
        <f t="shared" ca="1" si="43"/>
        <v>0</v>
      </c>
      <c r="AD71" s="134">
        <f t="shared" ca="1" si="44"/>
        <v>0</v>
      </c>
      <c r="AE71" s="134">
        <f t="shared" ca="1" si="62"/>
        <v>0</v>
      </c>
      <c r="AF71" s="134">
        <f t="shared" ca="1" si="45"/>
        <v>0</v>
      </c>
      <c r="AG71" s="134">
        <f t="shared" ca="1" si="63"/>
        <v>0</v>
      </c>
      <c r="AH71" s="134">
        <f t="shared" ca="1" si="46"/>
        <v>0</v>
      </c>
      <c r="AI71" s="134">
        <f t="shared" ca="1" si="47"/>
        <v>291.82000000000266</v>
      </c>
      <c r="AJ71" s="134">
        <f t="shared" ca="1" si="67"/>
        <v>0</v>
      </c>
      <c r="AK71" s="134">
        <f t="shared" ca="1" si="68"/>
        <v>0</v>
      </c>
      <c r="AL71" s="132">
        <f t="shared" ca="1" si="64"/>
        <v>12</v>
      </c>
      <c r="AM71" s="132">
        <f t="shared" ca="1" si="48"/>
        <v>12</v>
      </c>
      <c r="AN71" s="2">
        <f t="shared" ca="1" si="65"/>
        <v>2027</v>
      </c>
      <c r="AO71" s="2">
        <f t="shared" ca="1" si="49"/>
        <v>2027</v>
      </c>
      <c r="AP71" s="2">
        <f t="shared" ca="1" si="50"/>
        <v>0</v>
      </c>
      <c r="AQ71" s="2">
        <f t="shared" ca="1" si="51"/>
        <v>30</v>
      </c>
      <c r="AR71" s="2">
        <f t="shared" si="52"/>
        <v>20</v>
      </c>
      <c r="AS71" s="2">
        <f t="shared" ca="1" si="66"/>
        <v>30</v>
      </c>
      <c r="AT71" s="2"/>
      <c r="AU71" s="2"/>
      <c r="AV71" s="2"/>
      <c r="AW71" s="2"/>
      <c r="AX71" s="2"/>
      <c r="AY71" s="2">
        <f t="shared" ca="1" si="53"/>
        <v>1</v>
      </c>
      <c r="AZ71" s="2"/>
      <c r="BA71" s="2"/>
      <c r="BB71" s="2"/>
      <c r="BC71" s="2"/>
      <c r="BD71" s="2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>
        <f t="shared" ca="1" si="54"/>
        <v>46754</v>
      </c>
      <c r="C72" s="401"/>
      <c r="D72" s="269">
        <f ca="1">IF(N72=0,IF(N71=1,SUM(D$25:E71)," "),IF(N72=0," ",IF(N73=1,D$25,IF(N73=0,D$10-D$25*(M$14-1)," "))))</f>
        <v>145.98999999999978</v>
      </c>
      <c r="E72" s="269"/>
      <c r="F72" s="87">
        <f ca="1">IF(N72=0,IF(N71=1,SUM(F$25:F71)," "),IF(M$1=1,P72,IF(M$1=2,Q72," ")))</f>
        <v>6.1127811111111807</v>
      </c>
      <c r="G72" s="87">
        <v>0</v>
      </c>
      <c r="H72" s="87">
        <f t="shared" ca="1" si="55"/>
        <v>152.10278111111097</v>
      </c>
      <c r="I72" s="87">
        <f t="shared" ca="1" si="56"/>
        <v>194.25000000000017</v>
      </c>
      <c r="J72" s="87">
        <f t="shared" ca="1" si="40"/>
        <v>3.4457638888888948</v>
      </c>
      <c r="K72" s="87">
        <v>0</v>
      </c>
      <c r="L72" s="87">
        <f t="shared" ca="1" si="57"/>
        <v>197.69576388888908</v>
      </c>
      <c r="M72" s="2">
        <v>48</v>
      </c>
      <c r="N72" s="2">
        <f t="shared" ca="1" si="36"/>
        <v>1</v>
      </c>
      <c r="O72" s="2">
        <f t="shared" ca="1" si="41"/>
        <v>2</v>
      </c>
      <c r="P72" s="134">
        <f t="shared" ca="1" si="20"/>
        <v>6.1127811111111807</v>
      </c>
      <c r="Q72" s="134">
        <f t="shared" ca="1" si="21"/>
        <v>6.1127811111111807</v>
      </c>
      <c r="R72" s="134">
        <f t="shared" ca="1" si="58"/>
        <v>145.99000000000265</v>
      </c>
      <c r="S72" s="134">
        <f t="shared" ca="1" si="59"/>
        <v>145.98999999999978</v>
      </c>
      <c r="T72" s="134">
        <f t="shared" ca="1" si="32"/>
        <v>145.98999999999978</v>
      </c>
      <c r="U72" s="134">
        <f ca="1">IF(N73=1,R71*D11*20/36000+R72*D11*10/36000,IF(N73=0,IF(N72=0,0,R72*D11*Q12/36000+R71*D11*20/36000+R72*D11*10/36000)))</f>
        <v>6.1127811111111807</v>
      </c>
      <c r="V72" s="134">
        <f ca="1">IF(N73=1,R71*D11*20/36000+R72*D11*10/36000,IF(N73=0,IF(N72=0,0,R72*D11*Q12/36000+R71*D11*20/36000+R72*D11*10/36000)))</f>
        <v>6.1127811111111807</v>
      </c>
      <c r="W72" s="134">
        <f t="shared" ca="1" si="60"/>
        <v>180.44444444444443</v>
      </c>
      <c r="X72" s="134">
        <f t="shared" ca="1" si="61"/>
        <v>180</v>
      </c>
      <c r="Y72" s="134">
        <f t="shared" ca="1" si="42"/>
        <v>194.25000000000421</v>
      </c>
      <c r="Z72" s="134">
        <f t="shared" ca="1" si="35"/>
        <v>3.4457638888888948</v>
      </c>
      <c r="AA72" s="134">
        <f t="shared" ca="1" si="26"/>
        <v>3.4457638888888948</v>
      </c>
      <c r="AB72" s="134">
        <f t="shared" ca="1" si="37"/>
        <v>291.9800000000053</v>
      </c>
      <c r="AC72" s="134">
        <f t="shared" ca="1" si="43"/>
        <v>0</v>
      </c>
      <c r="AD72" s="134">
        <f t="shared" ca="1" si="44"/>
        <v>0</v>
      </c>
      <c r="AE72" s="134">
        <f t="shared" ca="1" si="62"/>
        <v>0</v>
      </c>
      <c r="AF72" s="134">
        <f t="shared" ca="1" si="45"/>
        <v>0</v>
      </c>
      <c r="AG72" s="134">
        <f t="shared" ca="1" si="63"/>
        <v>0</v>
      </c>
      <c r="AH72" s="134">
        <f t="shared" ca="1" si="46"/>
        <v>0</v>
      </c>
      <c r="AI72" s="134">
        <f t="shared" ca="1" si="47"/>
        <v>145.99000000000265</v>
      </c>
      <c r="AJ72" s="134">
        <f t="shared" ca="1" si="67"/>
        <v>0</v>
      </c>
      <c r="AK72" s="134">
        <f t="shared" ca="1" si="68"/>
        <v>0</v>
      </c>
      <c r="AL72" s="132">
        <f t="shared" ca="1" si="64"/>
        <v>13</v>
      </c>
      <c r="AM72" s="132">
        <f t="shared" ca="1" si="48"/>
        <v>1</v>
      </c>
      <c r="AN72" s="2">
        <f t="shared" ca="1" si="65"/>
        <v>2027</v>
      </c>
      <c r="AO72" s="2">
        <f t="shared" ca="1" si="49"/>
        <v>2028</v>
      </c>
      <c r="AP72" s="2">
        <f t="shared" ca="1" si="50"/>
        <v>0</v>
      </c>
      <c r="AQ72" s="2">
        <f t="shared" ca="1" si="51"/>
        <v>30</v>
      </c>
      <c r="AR72" s="2">
        <f t="shared" si="52"/>
        <v>20</v>
      </c>
      <c r="AS72" s="2">
        <f t="shared" ca="1" si="66"/>
        <v>30</v>
      </c>
      <c r="AT72" s="2"/>
      <c r="AU72" s="2"/>
      <c r="AV72" s="2"/>
      <c r="AW72" s="2"/>
      <c r="AX72" s="2"/>
      <c r="AY72" s="2">
        <f t="shared" ca="1" si="53"/>
        <v>1</v>
      </c>
      <c r="AZ72" s="2"/>
      <c r="BA72" s="2"/>
      <c r="BB72" s="2"/>
      <c r="BC72" s="2"/>
      <c r="BD72" s="2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4"/>
        <v>ИТОГО</v>
      </c>
      <c r="C73" s="401"/>
      <c r="D73" s="269">
        <f ca="1">IF(N73=0,IF(N72=1,SUM(D$25:E72)," "),IF(N73=0," ",IF(N74=1,D$25,IF(N74=0,D$10-D$25*(M$14-1)," "))))</f>
        <v>6999.9999999999973</v>
      </c>
      <c r="E73" s="269"/>
      <c r="F73" s="87">
        <f ca="1">IF(N73=0,IF(N72=1,SUM(F$25:F72)," "),IF(M$1=1,P73,IF(M$1=2,Q73," ")))</f>
        <v>4238.4184561111115</v>
      </c>
      <c r="G73" s="87">
        <v>0</v>
      </c>
      <c r="H73" s="87">
        <f t="shared" ca="1" si="55"/>
        <v>11238.418456111109</v>
      </c>
      <c r="I73" s="87">
        <f t="shared" ca="1" si="56"/>
        <v>0</v>
      </c>
      <c r="J73" s="87">
        <f t="shared" ca="1" si="40"/>
        <v>0</v>
      </c>
      <c r="K73" s="87">
        <v>0</v>
      </c>
      <c r="L73" s="87" t="str">
        <f t="shared" ca="1" si="57"/>
        <v xml:space="preserve"> </v>
      </c>
      <c r="M73" s="2">
        <v>49</v>
      </c>
      <c r="N73" s="2">
        <f t="shared" ca="1" si="36"/>
        <v>0</v>
      </c>
      <c r="O73" s="2">
        <f t="shared" ca="1" si="41"/>
        <v>20</v>
      </c>
      <c r="P73" s="134">
        <f t="shared" ca="1" si="20"/>
        <v>0</v>
      </c>
      <c r="Q73" s="134">
        <f t="shared" ca="1" si="21"/>
        <v>0</v>
      </c>
      <c r="R73" s="134">
        <f t="shared" ca="1" si="58"/>
        <v>0</v>
      </c>
      <c r="S73" s="134">
        <f t="shared" ca="1" si="59"/>
        <v>6999.9999999999973</v>
      </c>
      <c r="T73" s="134">
        <f t="shared" ca="1" si="32"/>
        <v>6999.9999999999973</v>
      </c>
      <c r="U73" s="134">
        <f t="shared" ca="1" si="33"/>
        <v>0</v>
      </c>
      <c r="V73" s="134">
        <f t="shared" ca="1" si="34"/>
        <v>0</v>
      </c>
      <c r="W73" s="134">
        <f t="shared" ca="1" si="60"/>
        <v>0</v>
      </c>
      <c r="X73" s="134">
        <f t="shared" ca="1" si="61"/>
        <v>0</v>
      </c>
      <c r="Y73" s="134">
        <f t="shared" ca="1" si="42"/>
        <v>4.0358827391173691E-12</v>
      </c>
      <c r="Z73" s="134">
        <f t="shared" ca="1" si="35"/>
        <v>0</v>
      </c>
      <c r="AA73" s="134">
        <f t="shared" ca="1" si="26"/>
        <v>0</v>
      </c>
      <c r="AB73" s="134">
        <f t="shared" ca="1" si="37"/>
        <v>0</v>
      </c>
      <c r="AC73" s="134">
        <f t="shared" ca="1" si="43"/>
        <v>0</v>
      </c>
      <c r="AD73" s="134">
        <f t="shared" ca="1" si="44"/>
        <v>0</v>
      </c>
      <c r="AE73" s="134">
        <f t="shared" ca="1" si="62"/>
        <v>0</v>
      </c>
      <c r="AF73" s="134">
        <f t="shared" ca="1" si="45"/>
        <v>0</v>
      </c>
      <c r="AG73" s="134">
        <f t="shared" ca="1" si="63"/>
        <v>0</v>
      </c>
      <c r="AH73" s="134">
        <f t="shared" ca="1" si="46"/>
        <v>0</v>
      </c>
      <c r="AI73" s="134">
        <f t="shared" ca="1" si="47"/>
        <v>0</v>
      </c>
      <c r="AJ73" s="134">
        <f ca="1">IF(N74=1,AI72*G$12*20/36000+AI73*G$12*10/36000,IF(N74=0,IF(N73=0,0,AI73*G$12*Q$12/36000)))</f>
        <v>0</v>
      </c>
      <c r="AK73" s="134">
        <f ca="1">IF(N74=1,AI72*G$12*20/36000+AI73*G$12*10/36000,IF(N74=0,IF(N73=0,0,AI73*G$12*Q$12/36000)))</f>
        <v>0</v>
      </c>
      <c r="AL73" s="132">
        <f t="shared" ca="1" si="64"/>
        <v>0</v>
      </c>
      <c r="AM73" s="132">
        <f t="shared" ca="1" si="48"/>
        <v>0</v>
      </c>
      <c r="AN73" s="2">
        <f t="shared" ca="1" si="65"/>
        <v>0</v>
      </c>
      <c r="AO73" s="2">
        <f t="shared" ca="1" si="49"/>
        <v>0</v>
      </c>
      <c r="AP73" s="2">
        <f t="shared" ca="1" si="50"/>
        <v>0</v>
      </c>
      <c r="AQ73" s="2">
        <f t="shared" ca="1" si="51"/>
        <v>30</v>
      </c>
      <c r="AR73" s="2">
        <f t="shared" si="52"/>
        <v>20</v>
      </c>
      <c r="AS73" s="2">
        <f t="shared" ca="1" si="66"/>
        <v>30</v>
      </c>
      <c r="AT73" s="2"/>
      <c r="AU73" s="2"/>
      <c r="AV73" s="2"/>
      <c r="AW73" s="2"/>
      <c r="AX73" s="2"/>
      <c r="AY73" s="2">
        <f t="shared" ca="1" si="53"/>
        <v>0</v>
      </c>
      <c r="AZ73" s="2"/>
      <c r="BA73" s="2"/>
      <c r="BB73" s="2"/>
      <c r="BC73" s="2"/>
      <c r="BD73" s="2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4"/>
        <v xml:space="preserve"> </v>
      </c>
      <c r="C74" s="401"/>
      <c r="D74" s="269" t="str">
        <f ca="1">IF(N74=0,IF(N73=1,SUM(D$25:E73)," "),IF(N74=0," ",IF(N75=1,D$25,IF(N75=0,D$10-D$25*(M$14-1)," "))))</f>
        <v xml:space="preserve"> </v>
      </c>
      <c r="E74" s="269"/>
      <c r="F74" s="87" t="str">
        <f ca="1">IF(N74=0,IF(N73=1,SUM(F$25:F73)," "),IF(M$1=1,P74,IF(M$1=2,Q74," ")))</f>
        <v xml:space="preserve"> </v>
      </c>
      <c r="G74" s="87">
        <v>0</v>
      </c>
      <c r="H74" s="87" t="str">
        <f t="shared" ca="1" si="55"/>
        <v xml:space="preserve"> </v>
      </c>
      <c r="I74" s="87">
        <f t="shared" ca="1" si="56"/>
        <v>0</v>
      </c>
      <c r="J74" s="87">
        <f t="shared" ca="1" si="40"/>
        <v>0</v>
      </c>
      <c r="K74" s="87">
        <v>0</v>
      </c>
      <c r="L74" s="87" t="str">
        <f t="shared" ca="1" si="57"/>
        <v xml:space="preserve"> </v>
      </c>
      <c r="M74" s="2">
        <v>50</v>
      </c>
      <c r="N74" s="2">
        <f t="shared" ca="1" si="36"/>
        <v>0</v>
      </c>
      <c r="O74" s="2">
        <f t="shared" ca="1" si="41"/>
        <v>20</v>
      </c>
      <c r="P74" s="134">
        <f t="shared" ca="1" si="20"/>
        <v>0</v>
      </c>
      <c r="Q74" s="134">
        <f t="shared" ca="1" si="21"/>
        <v>0</v>
      </c>
      <c r="R74" s="134">
        <f t="shared" ca="1" si="58"/>
        <v>0</v>
      </c>
      <c r="S74" s="134" t="str">
        <f t="shared" ca="1" si="59"/>
        <v xml:space="preserve"> </v>
      </c>
      <c r="T74" s="134" t="str">
        <f t="shared" ca="1" si="32"/>
        <v xml:space="preserve"> </v>
      </c>
      <c r="U74" s="134">
        <f t="shared" ca="1" si="33"/>
        <v>0</v>
      </c>
      <c r="V74" s="134">
        <f t="shared" ca="1" si="34"/>
        <v>0</v>
      </c>
      <c r="W74" s="134">
        <f t="shared" ca="1" si="60"/>
        <v>0</v>
      </c>
      <c r="X74" s="134">
        <f t="shared" ca="1" si="61"/>
        <v>0</v>
      </c>
      <c r="Y74" s="134">
        <f t="shared" ca="1" si="42"/>
        <v>4.0358827391173691E-12</v>
      </c>
      <c r="Z74" s="134">
        <f t="shared" ca="1" si="35"/>
        <v>0</v>
      </c>
      <c r="AA74" s="134">
        <f t="shared" ca="1" si="26"/>
        <v>0</v>
      </c>
      <c r="AB74" s="134">
        <f t="shared" ca="1" si="37"/>
        <v>0</v>
      </c>
      <c r="AC74" s="134">
        <f t="shared" ca="1" si="43"/>
        <v>0</v>
      </c>
      <c r="AD74" s="134">
        <f t="shared" ca="1" si="44"/>
        <v>0</v>
      </c>
      <c r="AE74" s="134">
        <f t="shared" ca="1" si="62"/>
        <v>0</v>
      </c>
      <c r="AF74" s="134">
        <f t="shared" ca="1" si="45"/>
        <v>0</v>
      </c>
      <c r="AG74" s="134">
        <f t="shared" ca="1" si="63"/>
        <v>0</v>
      </c>
      <c r="AH74" s="134">
        <f t="shared" ca="1" si="46"/>
        <v>0</v>
      </c>
      <c r="AI74" s="134">
        <f t="shared" ca="1" si="47"/>
        <v>0</v>
      </c>
      <c r="AJ74" s="134">
        <f t="shared" ref="AJ74:AJ84" ca="1" si="69">IF(N75=1,AI73*G$12*20/36000+AI74*G$12*10/36000,IF(N75=0,IF(N74=0,0,AI74*G$12*Q$12/36000+AI73*G$12*20/36000+AI74*G$12*10/36000)))</f>
        <v>0</v>
      </c>
      <c r="AK74" s="134">
        <f t="shared" ref="AK74:AK84" ca="1" si="70">IF(N75=1,AI73*G$12*20/36000+AI74*G$12*10/36000,IF(N75=0,IF(N74=0,0,AI74*G$12*Q$12/36000+AI73*G$12*20/36000+AI74*G$12*10/36000)))</f>
        <v>0</v>
      </c>
      <c r="AL74" s="132">
        <f t="shared" ca="1" si="64"/>
        <v>0</v>
      </c>
      <c r="AM74" s="132">
        <f t="shared" ca="1" si="48"/>
        <v>0</v>
      </c>
      <c r="AN74" s="2">
        <f t="shared" ca="1" si="65"/>
        <v>0</v>
      </c>
      <c r="AO74" s="2">
        <f t="shared" ca="1" si="49"/>
        <v>0</v>
      </c>
      <c r="AP74" s="2">
        <f t="shared" ca="1" si="50"/>
        <v>0</v>
      </c>
      <c r="AQ74" s="2">
        <f t="shared" ca="1" si="51"/>
        <v>30</v>
      </c>
      <c r="AR74" s="2">
        <f t="shared" si="52"/>
        <v>20</v>
      </c>
      <c r="AS74" s="2">
        <f t="shared" ca="1" si="66"/>
        <v>30</v>
      </c>
      <c r="AT74" s="2"/>
      <c r="AU74" s="2"/>
      <c r="AV74" s="2"/>
      <c r="AW74" s="2"/>
      <c r="AX74" s="2"/>
      <c r="AY74" s="2">
        <f t="shared" ca="1" si="53"/>
        <v>0</v>
      </c>
      <c r="AZ74" s="2"/>
      <c r="BA74" s="2"/>
      <c r="BB74" s="2"/>
      <c r="BC74" s="2"/>
      <c r="BD74" s="2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4"/>
        <v xml:space="preserve"> </v>
      </c>
      <c r="C75" s="401"/>
      <c r="D75" s="269" t="str">
        <f ca="1">IF(N75=0,IF(N74=1,SUM(D$25:E74)," "),IF(N75=0," ",IF(N76=1,D$25,IF(N76=0,D$10-D$25*(M$14-1)," "))))</f>
        <v xml:space="preserve"> </v>
      </c>
      <c r="E75" s="269"/>
      <c r="F75" s="87" t="str">
        <f ca="1">IF(N75=0,IF(N74=1,SUM(F$25:F74)," "),IF(M$1=1,P75,IF(M$1=2,Q75," ")))</f>
        <v xml:space="preserve"> </v>
      </c>
      <c r="G75" s="87">
        <v>0</v>
      </c>
      <c r="H75" s="87" t="str">
        <f t="shared" ca="1" si="55"/>
        <v xml:space="preserve"> </v>
      </c>
      <c r="I75" s="87">
        <f t="shared" ca="1" si="56"/>
        <v>0</v>
      </c>
      <c r="J75" s="87">
        <f t="shared" ca="1" si="40"/>
        <v>0</v>
      </c>
      <c r="K75" s="87">
        <v>0</v>
      </c>
      <c r="L75" s="87" t="str">
        <f t="shared" ca="1" si="57"/>
        <v xml:space="preserve"> </v>
      </c>
      <c r="M75" s="2">
        <v>51</v>
      </c>
      <c r="N75" s="2">
        <f t="shared" ca="1" si="36"/>
        <v>0</v>
      </c>
      <c r="O75" s="2">
        <f t="shared" ca="1" si="41"/>
        <v>20</v>
      </c>
      <c r="P75" s="134">
        <f t="shared" ca="1" si="20"/>
        <v>0</v>
      </c>
      <c r="Q75" s="134">
        <f t="shared" ca="1" si="21"/>
        <v>0</v>
      </c>
      <c r="R75" s="134">
        <f t="shared" ca="1" si="58"/>
        <v>0</v>
      </c>
      <c r="S75" s="134" t="str">
        <f t="shared" ca="1" si="59"/>
        <v xml:space="preserve"> </v>
      </c>
      <c r="T75" s="134" t="str">
        <f t="shared" ca="1" si="32"/>
        <v xml:space="preserve"> </v>
      </c>
      <c r="U75" s="134">
        <f t="shared" ca="1" si="33"/>
        <v>0</v>
      </c>
      <c r="V75" s="134">
        <f t="shared" ca="1" si="34"/>
        <v>0</v>
      </c>
      <c r="W75" s="134">
        <f t="shared" ca="1" si="60"/>
        <v>0</v>
      </c>
      <c r="X75" s="134">
        <f t="shared" ca="1" si="61"/>
        <v>0</v>
      </c>
      <c r="Y75" s="134">
        <f t="shared" ca="1" si="42"/>
        <v>4.0358827391173691E-12</v>
      </c>
      <c r="Z75" s="134">
        <f t="shared" ca="1" si="35"/>
        <v>0</v>
      </c>
      <c r="AA75" s="134">
        <f t="shared" ca="1" si="26"/>
        <v>0</v>
      </c>
      <c r="AB75" s="134">
        <f t="shared" ca="1" si="37"/>
        <v>0</v>
      </c>
      <c r="AC75" s="134">
        <f t="shared" ca="1" si="43"/>
        <v>0</v>
      </c>
      <c r="AD75" s="134">
        <f t="shared" ca="1" si="44"/>
        <v>0</v>
      </c>
      <c r="AE75" s="134">
        <f t="shared" ca="1" si="62"/>
        <v>0</v>
      </c>
      <c r="AF75" s="134">
        <f t="shared" ca="1" si="45"/>
        <v>0</v>
      </c>
      <c r="AG75" s="134">
        <f t="shared" ca="1" si="63"/>
        <v>0</v>
      </c>
      <c r="AH75" s="134">
        <f t="shared" ca="1" si="46"/>
        <v>0</v>
      </c>
      <c r="AI75" s="134">
        <f t="shared" ca="1" si="47"/>
        <v>0</v>
      </c>
      <c r="AJ75" s="134">
        <f t="shared" ca="1" si="69"/>
        <v>0</v>
      </c>
      <c r="AK75" s="134">
        <f t="shared" ca="1" si="70"/>
        <v>0</v>
      </c>
      <c r="AL75" s="132">
        <f t="shared" ca="1" si="64"/>
        <v>0</v>
      </c>
      <c r="AM75" s="132">
        <f t="shared" ca="1" si="48"/>
        <v>0</v>
      </c>
      <c r="AN75" s="2">
        <f t="shared" ca="1" si="65"/>
        <v>0</v>
      </c>
      <c r="AO75" s="2">
        <f t="shared" ca="1" si="49"/>
        <v>0</v>
      </c>
      <c r="AP75" s="2">
        <f t="shared" ca="1" si="50"/>
        <v>0</v>
      </c>
      <c r="AQ75" s="2">
        <f t="shared" ca="1" si="51"/>
        <v>30</v>
      </c>
      <c r="AR75" s="2">
        <f t="shared" si="52"/>
        <v>20</v>
      </c>
      <c r="AS75" s="2">
        <f t="shared" ca="1" si="66"/>
        <v>30</v>
      </c>
      <c r="AT75" s="2"/>
      <c r="AU75" s="2"/>
      <c r="AV75" s="2"/>
      <c r="AW75" s="2"/>
      <c r="AX75" s="2"/>
      <c r="AY75" s="2">
        <f t="shared" ca="1" si="53"/>
        <v>0</v>
      </c>
      <c r="AZ75" s="2"/>
      <c r="BA75" s="2"/>
      <c r="BB75" s="2"/>
      <c r="BC75" s="2"/>
      <c r="BD75" s="2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4"/>
        <v xml:space="preserve"> </v>
      </c>
      <c r="C76" s="401"/>
      <c r="D76" s="269" t="str">
        <f ca="1">IF(N76=0,IF(N75=1,SUM(D$25:E75)," "),IF(N76=0," ",IF(N77=1,D$25,IF(N77=0,D$10-D$25*(M$14-1)," "))))</f>
        <v xml:space="preserve"> </v>
      </c>
      <c r="E76" s="269"/>
      <c r="F76" s="87" t="str">
        <f ca="1">IF(N76=0,IF(N75=1,SUM(F$25:F75)," "),IF(M$1=1,P76,IF(M$1=2,Q76," ")))</f>
        <v xml:space="preserve"> </v>
      </c>
      <c r="G76" s="87">
        <v>0</v>
      </c>
      <c r="H76" s="87" t="str">
        <f t="shared" ca="1" si="55"/>
        <v xml:space="preserve"> </v>
      </c>
      <c r="I76" s="87">
        <f t="shared" ca="1" si="56"/>
        <v>0</v>
      </c>
      <c r="J76" s="87">
        <f t="shared" ca="1" si="40"/>
        <v>0</v>
      </c>
      <c r="K76" s="87">
        <v>0</v>
      </c>
      <c r="L76" s="87" t="str">
        <f t="shared" ca="1" si="57"/>
        <v xml:space="preserve"> </v>
      </c>
      <c r="M76" s="2">
        <v>52</v>
      </c>
      <c r="N76" s="2">
        <f t="shared" ca="1" si="36"/>
        <v>0</v>
      </c>
      <c r="O76" s="2">
        <f t="shared" ca="1" si="41"/>
        <v>20</v>
      </c>
      <c r="P76" s="134">
        <f t="shared" ca="1" si="20"/>
        <v>0</v>
      </c>
      <c r="Q76" s="134">
        <f t="shared" ca="1" si="21"/>
        <v>0</v>
      </c>
      <c r="R76" s="134">
        <f t="shared" ca="1" si="58"/>
        <v>0</v>
      </c>
      <c r="S76" s="134" t="str">
        <f t="shared" ca="1" si="59"/>
        <v xml:space="preserve"> </v>
      </c>
      <c r="T76" s="134" t="str">
        <f t="shared" ca="1" si="32"/>
        <v xml:space="preserve"> </v>
      </c>
      <c r="U76" s="134">
        <f t="shared" ca="1" si="33"/>
        <v>0</v>
      </c>
      <c r="V76" s="134">
        <f t="shared" ca="1" si="34"/>
        <v>0</v>
      </c>
      <c r="W76" s="134">
        <f t="shared" ca="1" si="60"/>
        <v>0</v>
      </c>
      <c r="X76" s="134">
        <f t="shared" ca="1" si="61"/>
        <v>0</v>
      </c>
      <c r="Y76" s="134">
        <f t="shared" ca="1" si="42"/>
        <v>4.0358827391173691E-12</v>
      </c>
      <c r="Z76" s="134">
        <f t="shared" ca="1" si="35"/>
        <v>0</v>
      </c>
      <c r="AA76" s="134">
        <f t="shared" ca="1" si="26"/>
        <v>0</v>
      </c>
      <c r="AB76" s="134">
        <f t="shared" ca="1" si="37"/>
        <v>0</v>
      </c>
      <c r="AC76" s="134">
        <f t="shared" ca="1" si="43"/>
        <v>0</v>
      </c>
      <c r="AD76" s="134">
        <f t="shared" ca="1" si="44"/>
        <v>0</v>
      </c>
      <c r="AE76" s="134">
        <f t="shared" ca="1" si="62"/>
        <v>0</v>
      </c>
      <c r="AF76" s="134">
        <f t="shared" ca="1" si="45"/>
        <v>0</v>
      </c>
      <c r="AG76" s="134">
        <f t="shared" ca="1" si="63"/>
        <v>0</v>
      </c>
      <c r="AH76" s="134">
        <f t="shared" ca="1" si="46"/>
        <v>0</v>
      </c>
      <c r="AI76" s="134">
        <f t="shared" ca="1" si="47"/>
        <v>0</v>
      </c>
      <c r="AJ76" s="134">
        <f t="shared" ca="1" si="69"/>
        <v>0</v>
      </c>
      <c r="AK76" s="134">
        <f t="shared" ca="1" si="70"/>
        <v>0</v>
      </c>
      <c r="AL76" s="132">
        <f t="shared" ca="1" si="64"/>
        <v>0</v>
      </c>
      <c r="AM76" s="132">
        <f t="shared" ca="1" si="48"/>
        <v>0</v>
      </c>
      <c r="AN76" s="2">
        <f t="shared" ca="1" si="65"/>
        <v>0</v>
      </c>
      <c r="AO76" s="2">
        <f t="shared" ca="1" si="49"/>
        <v>0</v>
      </c>
      <c r="AP76" s="2">
        <f t="shared" ca="1" si="50"/>
        <v>0</v>
      </c>
      <c r="AQ76" s="2">
        <f t="shared" ca="1" si="51"/>
        <v>30</v>
      </c>
      <c r="AR76" s="2">
        <f t="shared" si="52"/>
        <v>20</v>
      </c>
      <c r="AS76" s="2">
        <f t="shared" ca="1" si="66"/>
        <v>30</v>
      </c>
      <c r="AT76" s="2"/>
      <c r="AU76" s="2"/>
      <c r="AV76" s="2"/>
      <c r="AW76" s="2"/>
      <c r="AX76" s="2"/>
      <c r="AY76" s="2">
        <f t="shared" ca="1" si="53"/>
        <v>0</v>
      </c>
      <c r="AZ76" s="2"/>
      <c r="BA76" s="2"/>
      <c r="BB76" s="2"/>
      <c r="BC76" s="2"/>
      <c r="BD76" s="2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4"/>
        <v xml:space="preserve"> </v>
      </c>
      <c r="C77" s="401"/>
      <c r="D77" s="269" t="str">
        <f ca="1">IF(N77=0,IF(N76=1,SUM(D$25:E76)," "),IF(N77=0," ",IF(N78=1,D$25,IF(N78=0,D$10-D$25*(M$14-1)," "))))</f>
        <v xml:space="preserve"> </v>
      </c>
      <c r="E77" s="269"/>
      <c r="F77" s="87" t="str">
        <f ca="1">IF(N77=0,IF(N76=1,SUM(F$25:F76)," "),IF(M$1=1,P77,IF(M$1=2,Q77," ")))</f>
        <v xml:space="preserve"> </v>
      </c>
      <c r="G77" s="87">
        <v>0</v>
      </c>
      <c r="H77" s="87" t="str">
        <f t="shared" ca="1" si="55"/>
        <v xml:space="preserve"> </v>
      </c>
      <c r="I77" s="87">
        <f t="shared" ca="1" si="56"/>
        <v>0</v>
      </c>
      <c r="J77" s="87">
        <f t="shared" ca="1" si="40"/>
        <v>0</v>
      </c>
      <c r="K77" s="87">
        <v>0</v>
      </c>
      <c r="L77" s="87" t="str">
        <f t="shared" ca="1" si="57"/>
        <v xml:space="preserve"> </v>
      </c>
      <c r="M77" s="2">
        <v>53</v>
      </c>
      <c r="N77" s="2">
        <f t="shared" ca="1" si="36"/>
        <v>0</v>
      </c>
      <c r="O77" s="2">
        <f t="shared" ca="1" si="41"/>
        <v>20</v>
      </c>
      <c r="P77" s="134">
        <f t="shared" ca="1" si="20"/>
        <v>0</v>
      </c>
      <c r="Q77" s="134">
        <f t="shared" ca="1" si="21"/>
        <v>0</v>
      </c>
      <c r="R77" s="134">
        <f t="shared" ca="1" si="58"/>
        <v>0</v>
      </c>
      <c r="S77" s="134" t="str">
        <f t="shared" ca="1" si="59"/>
        <v xml:space="preserve"> </v>
      </c>
      <c r="T77" s="134" t="str">
        <f t="shared" ca="1" si="32"/>
        <v xml:space="preserve"> </v>
      </c>
      <c r="U77" s="134">
        <f t="shared" ca="1" si="33"/>
        <v>0</v>
      </c>
      <c r="V77" s="134">
        <f t="shared" ca="1" si="34"/>
        <v>0</v>
      </c>
      <c r="W77" s="134">
        <f t="shared" ca="1" si="60"/>
        <v>0</v>
      </c>
      <c r="X77" s="134">
        <f t="shared" ca="1" si="61"/>
        <v>0</v>
      </c>
      <c r="Y77" s="134">
        <f t="shared" ca="1" si="42"/>
        <v>4.0358827391173691E-12</v>
      </c>
      <c r="Z77" s="134">
        <f t="shared" ca="1" si="35"/>
        <v>0</v>
      </c>
      <c r="AA77" s="134">
        <f t="shared" ca="1" si="26"/>
        <v>0</v>
      </c>
      <c r="AB77" s="134">
        <f t="shared" ca="1" si="37"/>
        <v>0</v>
      </c>
      <c r="AC77" s="134">
        <f t="shared" ca="1" si="43"/>
        <v>0</v>
      </c>
      <c r="AD77" s="134">
        <f t="shared" ca="1" si="44"/>
        <v>0</v>
      </c>
      <c r="AE77" s="134">
        <f t="shared" ca="1" si="62"/>
        <v>0</v>
      </c>
      <c r="AF77" s="134">
        <f t="shared" ca="1" si="45"/>
        <v>0</v>
      </c>
      <c r="AG77" s="134">
        <f t="shared" ca="1" si="63"/>
        <v>0</v>
      </c>
      <c r="AH77" s="134">
        <f t="shared" ca="1" si="46"/>
        <v>0</v>
      </c>
      <c r="AI77" s="134">
        <f t="shared" ca="1" si="47"/>
        <v>0</v>
      </c>
      <c r="AJ77" s="134">
        <f t="shared" ca="1" si="69"/>
        <v>0</v>
      </c>
      <c r="AK77" s="134">
        <f t="shared" ca="1" si="70"/>
        <v>0</v>
      </c>
      <c r="AL77" s="132">
        <f t="shared" ca="1" si="64"/>
        <v>0</v>
      </c>
      <c r="AM77" s="132">
        <f t="shared" ca="1" si="48"/>
        <v>0</v>
      </c>
      <c r="AN77" s="2">
        <f t="shared" ca="1" si="65"/>
        <v>0</v>
      </c>
      <c r="AO77" s="2">
        <f t="shared" ca="1" si="49"/>
        <v>0</v>
      </c>
      <c r="AP77" s="2">
        <f t="shared" ca="1" si="50"/>
        <v>0</v>
      </c>
      <c r="AQ77" s="2">
        <f t="shared" ca="1" si="51"/>
        <v>30</v>
      </c>
      <c r="AR77" s="2">
        <f t="shared" si="52"/>
        <v>20</v>
      </c>
      <c r="AS77" s="2">
        <f t="shared" ca="1" si="66"/>
        <v>30</v>
      </c>
      <c r="AT77" s="2"/>
      <c r="AU77" s="2"/>
      <c r="AV77" s="2"/>
      <c r="AW77" s="2"/>
      <c r="AX77" s="2"/>
      <c r="AY77" s="2">
        <f t="shared" ca="1" si="53"/>
        <v>0</v>
      </c>
      <c r="AZ77" s="2"/>
      <c r="BA77" s="2"/>
      <c r="BB77" s="2"/>
      <c r="BC77" s="2"/>
      <c r="BD77" s="2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4"/>
        <v xml:space="preserve"> </v>
      </c>
      <c r="C78" s="401"/>
      <c r="D78" s="269" t="str">
        <f ca="1">IF(N78=0,IF(N77=1,SUM(D$25:E77)," "),IF(N78=0," ",IF(N79=1,D$25,IF(N79=0,D$10-D$25*(M$14-1)," "))))</f>
        <v xml:space="preserve"> </v>
      </c>
      <c r="E78" s="269"/>
      <c r="F78" s="87" t="str">
        <f ca="1">IF(N78=0,IF(N77=1,SUM(F$25:F77)," "),IF(M$1=1,P78,IF(M$1=2,Q78," ")))</f>
        <v xml:space="preserve"> </v>
      </c>
      <c r="G78" s="87">
        <v>0</v>
      </c>
      <c r="H78" s="87" t="str">
        <f t="shared" ca="1" si="55"/>
        <v xml:space="preserve"> </v>
      </c>
      <c r="I78" s="87">
        <f t="shared" ca="1" si="56"/>
        <v>0</v>
      </c>
      <c r="J78" s="87">
        <f t="shared" ca="1" si="40"/>
        <v>0</v>
      </c>
      <c r="K78" s="87">
        <v>0</v>
      </c>
      <c r="L78" s="87" t="str">
        <f t="shared" ca="1" si="57"/>
        <v xml:space="preserve"> </v>
      </c>
      <c r="M78" s="2">
        <v>54</v>
      </c>
      <c r="N78" s="2">
        <f t="shared" ca="1" si="36"/>
        <v>0</v>
      </c>
      <c r="O78" s="2">
        <f t="shared" ca="1" si="41"/>
        <v>20</v>
      </c>
      <c r="P78" s="134">
        <f t="shared" ca="1" si="20"/>
        <v>0</v>
      </c>
      <c r="Q78" s="134">
        <f t="shared" ca="1" si="21"/>
        <v>0</v>
      </c>
      <c r="R78" s="134">
        <f t="shared" ca="1" si="58"/>
        <v>0</v>
      </c>
      <c r="S78" s="134" t="str">
        <f t="shared" ca="1" si="59"/>
        <v xml:space="preserve"> </v>
      </c>
      <c r="T78" s="134" t="str">
        <f t="shared" ca="1" si="32"/>
        <v xml:space="preserve"> </v>
      </c>
      <c r="U78" s="134">
        <f t="shared" ca="1" si="33"/>
        <v>0</v>
      </c>
      <c r="V78" s="134">
        <f t="shared" ca="1" si="34"/>
        <v>0</v>
      </c>
      <c r="W78" s="134">
        <f t="shared" ca="1" si="60"/>
        <v>0</v>
      </c>
      <c r="X78" s="134">
        <f t="shared" ca="1" si="61"/>
        <v>0</v>
      </c>
      <c r="Y78" s="134">
        <f t="shared" ca="1" si="42"/>
        <v>4.0358827391173691E-12</v>
      </c>
      <c r="Z78" s="134">
        <f t="shared" ca="1" si="35"/>
        <v>0</v>
      </c>
      <c r="AA78" s="134">
        <f t="shared" ca="1" si="26"/>
        <v>0</v>
      </c>
      <c r="AB78" s="134">
        <f t="shared" ca="1" si="37"/>
        <v>0</v>
      </c>
      <c r="AC78" s="134">
        <f t="shared" ca="1" si="43"/>
        <v>0</v>
      </c>
      <c r="AD78" s="134">
        <f t="shared" ca="1" si="44"/>
        <v>0</v>
      </c>
      <c r="AE78" s="134">
        <f t="shared" ca="1" si="62"/>
        <v>0</v>
      </c>
      <c r="AF78" s="134">
        <f t="shared" ca="1" si="45"/>
        <v>0</v>
      </c>
      <c r="AG78" s="134">
        <f t="shared" ca="1" si="63"/>
        <v>0</v>
      </c>
      <c r="AH78" s="134">
        <f t="shared" ca="1" si="46"/>
        <v>0</v>
      </c>
      <c r="AI78" s="134">
        <f t="shared" ca="1" si="47"/>
        <v>0</v>
      </c>
      <c r="AJ78" s="134">
        <f t="shared" ca="1" si="69"/>
        <v>0</v>
      </c>
      <c r="AK78" s="134">
        <f t="shared" ca="1" si="70"/>
        <v>0</v>
      </c>
      <c r="AL78" s="132">
        <f t="shared" ca="1" si="64"/>
        <v>0</v>
      </c>
      <c r="AM78" s="132">
        <f t="shared" ca="1" si="48"/>
        <v>0</v>
      </c>
      <c r="AN78" s="2">
        <f t="shared" ca="1" si="65"/>
        <v>0</v>
      </c>
      <c r="AO78" s="2">
        <f t="shared" ca="1" si="49"/>
        <v>0</v>
      </c>
      <c r="AP78" s="2">
        <f t="shared" ca="1" si="50"/>
        <v>0</v>
      </c>
      <c r="AQ78" s="2">
        <f t="shared" ca="1" si="51"/>
        <v>30</v>
      </c>
      <c r="AR78" s="2">
        <f t="shared" si="52"/>
        <v>20</v>
      </c>
      <c r="AS78" s="2">
        <f t="shared" ca="1" si="66"/>
        <v>30</v>
      </c>
      <c r="AT78" s="2"/>
      <c r="AU78" s="2"/>
      <c r="AV78" s="2"/>
      <c r="AW78" s="2"/>
      <c r="AX78" s="2"/>
      <c r="AY78" s="2">
        <f t="shared" ca="1" si="53"/>
        <v>0</v>
      </c>
      <c r="AZ78" s="2"/>
      <c r="BA78" s="2"/>
      <c r="BB78" s="2"/>
      <c r="BC78" s="2"/>
      <c r="BD78" s="2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4"/>
        <v xml:space="preserve"> </v>
      </c>
      <c r="C79" s="401"/>
      <c r="D79" s="269" t="str">
        <f ca="1">IF(N79=0,IF(N78=1,SUM(D$25:E78)," "),IF(N79=0," ",IF(N80=1,D$25,IF(N80=0,D$10-D$25*(M$14-1)," "))))</f>
        <v xml:space="preserve"> </v>
      </c>
      <c r="E79" s="269"/>
      <c r="F79" s="87" t="str">
        <f ca="1">IF(N79=0,IF(N78=1,SUM(F$25:F78)," "),IF(M$1=1,P79,IF(M$1=2,Q79," ")))</f>
        <v xml:space="preserve"> </v>
      </c>
      <c r="G79" s="87">
        <v>0</v>
      </c>
      <c r="H79" s="87" t="str">
        <f t="shared" ca="1" si="55"/>
        <v xml:space="preserve"> </v>
      </c>
      <c r="I79" s="87">
        <f t="shared" ca="1" si="56"/>
        <v>0</v>
      </c>
      <c r="J79" s="87">
        <f t="shared" ca="1" si="40"/>
        <v>0</v>
      </c>
      <c r="K79" s="87">
        <v>0</v>
      </c>
      <c r="L79" s="87" t="str">
        <f t="shared" ca="1" si="57"/>
        <v xml:space="preserve"> </v>
      </c>
      <c r="M79" s="2">
        <v>55</v>
      </c>
      <c r="N79" s="2">
        <f t="shared" ca="1" si="36"/>
        <v>0</v>
      </c>
      <c r="O79" s="2">
        <f t="shared" ca="1" si="41"/>
        <v>20</v>
      </c>
      <c r="P79" s="134">
        <f t="shared" ca="1" si="20"/>
        <v>0</v>
      </c>
      <c r="Q79" s="134">
        <f t="shared" ca="1" si="21"/>
        <v>0</v>
      </c>
      <c r="R79" s="134">
        <f t="shared" ca="1" si="58"/>
        <v>0</v>
      </c>
      <c r="S79" s="134" t="str">
        <f t="shared" ca="1" si="59"/>
        <v xml:space="preserve"> </v>
      </c>
      <c r="T79" s="134" t="str">
        <f t="shared" ca="1" si="32"/>
        <v xml:space="preserve"> </v>
      </c>
      <c r="U79" s="134">
        <f t="shared" ca="1" si="33"/>
        <v>0</v>
      </c>
      <c r="V79" s="134">
        <f t="shared" ca="1" si="34"/>
        <v>0</v>
      </c>
      <c r="W79" s="134">
        <f t="shared" ca="1" si="60"/>
        <v>0</v>
      </c>
      <c r="X79" s="134">
        <f t="shared" ca="1" si="61"/>
        <v>0</v>
      </c>
      <c r="Y79" s="134">
        <f t="shared" ca="1" si="42"/>
        <v>4.0358827391173691E-12</v>
      </c>
      <c r="Z79" s="134">
        <f t="shared" ca="1" si="35"/>
        <v>0</v>
      </c>
      <c r="AA79" s="134">
        <f t="shared" ca="1" si="26"/>
        <v>0</v>
      </c>
      <c r="AB79" s="134">
        <f t="shared" ca="1" si="37"/>
        <v>0</v>
      </c>
      <c r="AC79" s="134">
        <f t="shared" ca="1" si="43"/>
        <v>0</v>
      </c>
      <c r="AD79" s="134">
        <f t="shared" ca="1" si="44"/>
        <v>0</v>
      </c>
      <c r="AE79" s="134">
        <f t="shared" ca="1" si="62"/>
        <v>0</v>
      </c>
      <c r="AF79" s="134">
        <f t="shared" ca="1" si="45"/>
        <v>0</v>
      </c>
      <c r="AG79" s="134">
        <f t="shared" ca="1" si="63"/>
        <v>0</v>
      </c>
      <c r="AH79" s="134">
        <f t="shared" ca="1" si="46"/>
        <v>0</v>
      </c>
      <c r="AI79" s="134">
        <f t="shared" ca="1" si="47"/>
        <v>0</v>
      </c>
      <c r="AJ79" s="134">
        <f t="shared" ca="1" si="69"/>
        <v>0</v>
      </c>
      <c r="AK79" s="134">
        <f t="shared" ca="1" si="70"/>
        <v>0</v>
      </c>
      <c r="AL79" s="132">
        <f t="shared" ca="1" si="64"/>
        <v>0</v>
      </c>
      <c r="AM79" s="132">
        <f t="shared" ca="1" si="48"/>
        <v>0</v>
      </c>
      <c r="AN79" s="2">
        <f t="shared" ca="1" si="65"/>
        <v>0</v>
      </c>
      <c r="AO79" s="2">
        <f t="shared" ca="1" si="49"/>
        <v>0</v>
      </c>
      <c r="AP79" s="2">
        <f t="shared" ca="1" si="50"/>
        <v>0</v>
      </c>
      <c r="AQ79" s="2">
        <f t="shared" ca="1" si="51"/>
        <v>30</v>
      </c>
      <c r="AR79" s="2">
        <f t="shared" si="52"/>
        <v>20</v>
      </c>
      <c r="AS79" s="2">
        <f t="shared" ca="1" si="66"/>
        <v>30</v>
      </c>
      <c r="AT79" s="2"/>
      <c r="AU79" s="2"/>
      <c r="AV79" s="2"/>
      <c r="AW79" s="2"/>
      <c r="AX79" s="2"/>
      <c r="AY79" s="2">
        <f t="shared" ca="1" si="53"/>
        <v>0</v>
      </c>
      <c r="AZ79" s="2"/>
      <c r="BA79" s="2"/>
      <c r="BB79" s="2"/>
      <c r="BC79" s="2"/>
      <c r="BD79" s="2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4"/>
        <v xml:space="preserve"> </v>
      </c>
      <c r="C80" s="401"/>
      <c r="D80" s="269" t="str">
        <f ca="1">IF(N80=0,IF(N79=1,SUM(D$25:E79)," "),IF(N80=0," ",IF(N81=1,D$25,IF(N81=0,D$10-D$25*(M$14-1)," "))))</f>
        <v xml:space="preserve"> </v>
      </c>
      <c r="E80" s="269"/>
      <c r="F80" s="87" t="str">
        <f ca="1">IF(N80=0,IF(N79=1,SUM(F$25:F79)," "),IF(M$1=1,P80,IF(M$1=2,Q80," ")))</f>
        <v xml:space="preserve"> </v>
      </c>
      <c r="G80" s="87">
        <v>0</v>
      </c>
      <c r="H80" s="87" t="str">
        <f t="shared" ca="1" si="55"/>
        <v xml:space="preserve"> </v>
      </c>
      <c r="I80" s="87">
        <f t="shared" ca="1" si="56"/>
        <v>0</v>
      </c>
      <c r="J80" s="87">
        <f t="shared" ca="1" si="40"/>
        <v>0</v>
      </c>
      <c r="K80" s="87">
        <v>0</v>
      </c>
      <c r="L80" s="87" t="str">
        <f t="shared" ca="1" si="57"/>
        <v xml:space="preserve"> </v>
      </c>
      <c r="M80" s="2">
        <v>56</v>
      </c>
      <c r="N80" s="2">
        <f t="shared" ca="1" si="36"/>
        <v>0</v>
      </c>
      <c r="O80" s="2">
        <f t="shared" ca="1" si="41"/>
        <v>20</v>
      </c>
      <c r="P80" s="134">
        <f t="shared" ca="1" si="20"/>
        <v>0</v>
      </c>
      <c r="Q80" s="134">
        <f t="shared" ca="1" si="21"/>
        <v>0</v>
      </c>
      <c r="R80" s="134">
        <f t="shared" ca="1" si="58"/>
        <v>0</v>
      </c>
      <c r="S80" s="134" t="str">
        <f t="shared" ca="1" si="59"/>
        <v xml:space="preserve"> </v>
      </c>
      <c r="T80" s="134" t="str">
        <f t="shared" ca="1" si="32"/>
        <v xml:space="preserve"> </v>
      </c>
      <c r="U80" s="134">
        <f t="shared" ca="1" si="33"/>
        <v>0</v>
      </c>
      <c r="V80" s="134">
        <f t="shared" ca="1" si="34"/>
        <v>0</v>
      </c>
      <c r="W80" s="134">
        <f t="shared" ca="1" si="60"/>
        <v>0</v>
      </c>
      <c r="X80" s="134">
        <f t="shared" ca="1" si="61"/>
        <v>0</v>
      </c>
      <c r="Y80" s="134">
        <f t="shared" ca="1" si="42"/>
        <v>4.0358827391173691E-12</v>
      </c>
      <c r="Z80" s="134">
        <f t="shared" ca="1" si="35"/>
        <v>0</v>
      </c>
      <c r="AA80" s="134">
        <f t="shared" ca="1" si="26"/>
        <v>0</v>
      </c>
      <c r="AB80" s="134">
        <f t="shared" ca="1" si="37"/>
        <v>0</v>
      </c>
      <c r="AC80" s="134">
        <f t="shared" ca="1" si="43"/>
        <v>0</v>
      </c>
      <c r="AD80" s="134">
        <f t="shared" ca="1" si="44"/>
        <v>0</v>
      </c>
      <c r="AE80" s="134">
        <f t="shared" ca="1" si="62"/>
        <v>0</v>
      </c>
      <c r="AF80" s="134">
        <f t="shared" ca="1" si="45"/>
        <v>0</v>
      </c>
      <c r="AG80" s="134">
        <f t="shared" ca="1" si="63"/>
        <v>0</v>
      </c>
      <c r="AH80" s="134">
        <f t="shared" ca="1" si="46"/>
        <v>0</v>
      </c>
      <c r="AI80" s="134">
        <f t="shared" ca="1" si="47"/>
        <v>0</v>
      </c>
      <c r="AJ80" s="134">
        <f t="shared" ca="1" si="69"/>
        <v>0</v>
      </c>
      <c r="AK80" s="134">
        <f t="shared" ca="1" si="70"/>
        <v>0</v>
      </c>
      <c r="AL80" s="132">
        <f t="shared" ca="1" si="64"/>
        <v>0</v>
      </c>
      <c r="AM80" s="132">
        <f t="shared" ca="1" si="48"/>
        <v>0</v>
      </c>
      <c r="AN80" s="2">
        <f t="shared" ca="1" si="65"/>
        <v>0</v>
      </c>
      <c r="AO80" s="2">
        <f t="shared" ca="1" si="49"/>
        <v>0</v>
      </c>
      <c r="AP80" s="2">
        <f t="shared" ca="1" si="50"/>
        <v>0</v>
      </c>
      <c r="AQ80" s="2">
        <f t="shared" ca="1" si="51"/>
        <v>30</v>
      </c>
      <c r="AR80" s="2">
        <f t="shared" si="52"/>
        <v>20</v>
      </c>
      <c r="AS80" s="2">
        <f t="shared" ca="1" si="66"/>
        <v>30</v>
      </c>
      <c r="AT80" s="2"/>
      <c r="AU80" s="2"/>
      <c r="AV80" s="2"/>
      <c r="AW80" s="2"/>
      <c r="AX80" s="2"/>
      <c r="AY80" s="2">
        <f t="shared" ca="1" si="53"/>
        <v>0</v>
      </c>
      <c r="AZ80" s="2"/>
      <c r="BA80" s="2"/>
      <c r="BB80" s="2"/>
      <c r="BC80" s="2"/>
      <c r="BD80" s="2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4"/>
        <v xml:space="preserve"> </v>
      </c>
      <c r="C81" s="401"/>
      <c r="D81" s="269" t="str">
        <f ca="1">IF(N81=0,IF(N80=1,SUM(D$25:E80)," "),IF(N81=0," ",IF(N82=1,D$25,IF(N82=0,D$10-D$25*(M$14-1)," "))))</f>
        <v xml:space="preserve"> </v>
      </c>
      <c r="E81" s="269"/>
      <c r="F81" s="87" t="str">
        <f ca="1">IF(N81=0,IF(N80=1,SUM(F$25:F80)," "),IF(M$1=1,P81,IF(M$1=2,Q81," ")))</f>
        <v xml:space="preserve"> </v>
      </c>
      <c r="G81" s="87">
        <v>0</v>
      </c>
      <c r="H81" s="87" t="str">
        <f t="shared" ca="1" si="55"/>
        <v xml:space="preserve"> </v>
      </c>
      <c r="I81" s="87">
        <f t="shared" ca="1" si="56"/>
        <v>0</v>
      </c>
      <c r="J81" s="87">
        <f t="shared" ca="1" si="40"/>
        <v>0</v>
      </c>
      <c r="K81" s="87">
        <v>0</v>
      </c>
      <c r="L81" s="87" t="str">
        <f t="shared" ca="1" si="57"/>
        <v xml:space="preserve"> </v>
      </c>
      <c r="M81" s="2">
        <v>57</v>
      </c>
      <c r="N81" s="2">
        <f t="shared" ca="1" si="36"/>
        <v>0</v>
      </c>
      <c r="O81" s="2">
        <f t="shared" ca="1" si="41"/>
        <v>20</v>
      </c>
      <c r="P81" s="134">
        <f t="shared" ca="1" si="20"/>
        <v>0</v>
      </c>
      <c r="Q81" s="134">
        <f t="shared" ca="1" si="21"/>
        <v>0</v>
      </c>
      <c r="R81" s="134">
        <f t="shared" ca="1" si="58"/>
        <v>0</v>
      </c>
      <c r="S81" s="134" t="str">
        <f t="shared" ca="1" si="59"/>
        <v xml:space="preserve"> </v>
      </c>
      <c r="T81" s="134" t="str">
        <f t="shared" ca="1" si="32"/>
        <v xml:space="preserve"> </v>
      </c>
      <c r="U81" s="134">
        <f t="shared" ca="1" si="33"/>
        <v>0</v>
      </c>
      <c r="V81" s="134">
        <f t="shared" ca="1" si="34"/>
        <v>0</v>
      </c>
      <c r="W81" s="134">
        <f t="shared" ca="1" si="60"/>
        <v>0</v>
      </c>
      <c r="X81" s="134">
        <f t="shared" ca="1" si="61"/>
        <v>0</v>
      </c>
      <c r="Y81" s="134">
        <f t="shared" ca="1" si="42"/>
        <v>4.0358827391173691E-12</v>
      </c>
      <c r="Z81" s="134">
        <f t="shared" ca="1" si="35"/>
        <v>0</v>
      </c>
      <c r="AA81" s="134">
        <f t="shared" ca="1" si="26"/>
        <v>0</v>
      </c>
      <c r="AB81" s="134">
        <f t="shared" ca="1" si="37"/>
        <v>0</v>
      </c>
      <c r="AC81" s="134">
        <f t="shared" ca="1" si="43"/>
        <v>0</v>
      </c>
      <c r="AD81" s="134">
        <f t="shared" ca="1" si="44"/>
        <v>0</v>
      </c>
      <c r="AE81" s="134">
        <f t="shared" ca="1" si="62"/>
        <v>0</v>
      </c>
      <c r="AF81" s="134">
        <f t="shared" ca="1" si="45"/>
        <v>0</v>
      </c>
      <c r="AG81" s="134">
        <f t="shared" ca="1" si="63"/>
        <v>0</v>
      </c>
      <c r="AH81" s="134">
        <f t="shared" ca="1" si="46"/>
        <v>0</v>
      </c>
      <c r="AI81" s="134">
        <f t="shared" ca="1" si="47"/>
        <v>0</v>
      </c>
      <c r="AJ81" s="134">
        <f t="shared" ca="1" si="69"/>
        <v>0</v>
      </c>
      <c r="AK81" s="134">
        <f t="shared" ca="1" si="70"/>
        <v>0</v>
      </c>
      <c r="AL81" s="132">
        <f t="shared" ca="1" si="64"/>
        <v>0</v>
      </c>
      <c r="AM81" s="132">
        <f t="shared" ca="1" si="48"/>
        <v>0</v>
      </c>
      <c r="AN81" s="2">
        <f t="shared" ca="1" si="65"/>
        <v>0</v>
      </c>
      <c r="AO81" s="2">
        <f t="shared" ca="1" si="49"/>
        <v>0</v>
      </c>
      <c r="AP81" s="2">
        <f t="shared" ca="1" si="50"/>
        <v>0</v>
      </c>
      <c r="AQ81" s="2">
        <f t="shared" ca="1" si="51"/>
        <v>30</v>
      </c>
      <c r="AR81" s="2">
        <f t="shared" si="52"/>
        <v>20</v>
      </c>
      <c r="AS81" s="2">
        <f t="shared" ca="1" si="66"/>
        <v>30</v>
      </c>
      <c r="AT81" s="2"/>
      <c r="AU81" s="2"/>
      <c r="AV81" s="2"/>
      <c r="AW81" s="2"/>
      <c r="AX81" s="2"/>
      <c r="AY81" s="2">
        <f t="shared" ca="1" si="53"/>
        <v>0</v>
      </c>
      <c r="AZ81" s="2"/>
      <c r="BA81" s="2"/>
      <c r="BB81" s="2"/>
      <c r="BC81" s="2"/>
      <c r="BD81" s="2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4"/>
        <v xml:space="preserve"> </v>
      </c>
      <c r="C82" s="401"/>
      <c r="D82" s="269" t="str">
        <f ca="1">IF(N82=0,IF(N81=1,SUM(D$25:E81)," "),IF(N82=0," ",IF(N83=1,D$25,IF(N83=0,D$10-D$25*(M$14-1)," "))))</f>
        <v xml:space="preserve"> </v>
      </c>
      <c r="E82" s="269"/>
      <c r="F82" s="87" t="str">
        <f ca="1">IF(N82=0,IF(N81=1,SUM(F$25:F81)," "),IF(M$1=1,P82,IF(M$1=2,Q82," ")))</f>
        <v xml:space="preserve"> </v>
      </c>
      <c r="G82" s="87">
        <v>0</v>
      </c>
      <c r="H82" s="87" t="str">
        <f t="shared" ca="1" si="55"/>
        <v xml:space="preserve"> </v>
      </c>
      <c r="I82" s="87">
        <f t="shared" ca="1" si="56"/>
        <v>0</v>
      </c>
      <c r="J82" s="87">
        <f t="shared" ca="1" si="40"/>
        <v>0</v>
      </c>
      <c r="K82" s="87">
        <v>0</v>
      </c>
      <c r="L82" s="87" t="str">
        <f t="shared" ca="1" si="57"/>
        <v xml:space="preserve"> </v>
      </c>
      <c r="M82" s="2">
        <v>58</v>
      </c>
      <c r="N82" s="2">
        <f t="shared" ca="1" si="36"/>
        <v>0</v>
      </c>
      <c r="O82" s="2">
        <f t="shared" ca="1" si="41"/>
        <v>20</v>
      </c>
      <c r="P82" s="134">
        <f t="shared" ca="1" si="20"/>
        <v>0</v>
      </c>
      <c r="Q82" s="134">
        <f t="shared" ca="1" si="21"/>
        <v>0</v>
      </c>
      <c r="R82" s="134">
        <f t="shared" ca="1" si="58"/>
        <v>0</v>
      </c>
      <c r="S82" s="134" t="str">
        <f t="shared" ca="1" si="59"/>
        <v xml:space="preserve"> </v>
      </c>
      <c r="T82" s="134" t="str">
        <f t="shared" ca="1" si="32"/>
        <v xml:space="preserve"> </v>
      </c>
      <c r="U82" s="134">
        <f t="shared" ca="1" si="33"/>
        <v>0</v>
      </c>
      <c r="V82" s="134">
        <f t="shared" ca="1" si="34"/>
        <v>0</v>
      </c>
      <c r="W82" s="134">
        <f t="shared" ca="1" si="60"/>
        <v>0</v>
      </c>
      <c r="X82" s="134">
        <f t="shared" ca="1" si="61"/>
        <v>0</v>
      </c>
      <c r="Y82" s="134">
        <f t="shared" ca="1" si="42"/>
        <v>4.0358827391173691E-12</v>
      </c>
      <c r="Z82" s="134">
        <f t="shared" ca="1" si="35"/>
        <v>0</v>
      </c>
      <c r="AA82" s="134">
        <f t="shared" ca="1" si="26"/>
        <v>0</v>
      </c>
      <c r="AB82" s="134">
        <f t="shared" ca="1" si="37"/>
        <v>0</v>
      </c>
      <c r="AC82" s="134">
        <f t="shared" ca="1" si="43"/>
        <v>0</v>
      </c>
      <c r="AD82" s="134">
        <f t="shared" ca="1" si="44"/>
        <v>0</v>
      </c>
      <c r="AE82" s="134">
        <f t="shared" ca="1" si="62"/>
        <v>0</v>
      </c>
      <c r="AF82" s="134">
        <f t="shared" ca="1" si="45"/>
        <v>0</v>
      </c>
      <c r="AG82" s="134">
        <f t="shared" ca="1" si="63"/>
        <v>0</v>
      </c>
      <c r="AH82" s="134">
        <f t="shared" ca="1" si="46"/>
        <v>0</v>
      </c>
      <c r="AI82" s="134">
        <f t="shared" ca="1" si="47"/>
        <v>0</v>
      </c>
      <c r="AJ82" s="134">
        <f t="shared" ca="1" si="69"/>
        <v>0</v>
      </c>
      <c r="AK82" s="134">
        <f t="shared" ca="1" si="70"/>
        <v>0</v>
      </c>
      <c r="AL82" s="132">
        <f t="shared" ca="1" si="64"/>
        <v>0</v>
      </c>
      <c r="AM82" s="132">
        <f t="shared" ca="1" si="48"/>
        <v>0</v>
      </c>
      <c r="AN82" s="2">
        <f t="shared" ca="1" si="65"/>
        <v>0</v>
      </c>
      <c r="AO82" s="2">
        <f t="shared" ca="1" si="49"/>
        <v>0</v>
      </c>
      <c r="AP82" s="2">
        <f t="shared" ca="1" si="50"/>
        <v>0</v>
      </c>
      <c r="AQ82" s="2">
        <f t="shared" ca="1" si="51"/>
        <v>30</v>
      </c>
      <c r="AR82" s="2">
        <f t="shared" si="52"/>
        <v>20</v>
      </c>
      <c r="AS82" s="2">
        <f t="shared" ca="1" si="66"/>
        <v>30</v>
      </c>
      <c r="AT82" s="2"/>
      <c r="AU82" s="2"/>
      <c r="AV82" s="2"/>
      <c r="AW82" s="2"/>
      <c r="AX82" s="2"/>
      <c r="AY82" s="2">
        <f t="shared" ca="1" si="53"/>
        <v>0</v>
      </c>
      <c r="AZ82" s="2"/>
      <c r="BA82" s="2"/>
      <c r="BB82" s="2"/>
      <c r="BC82" s="2"/>
      <c r="BD82" s="2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4"/>
        <v xml:space="preserve"> </v>
      </c>
      <c r="C83" s="401"/>
      <c r="D83" s="269" t="str">
        <f ca="1">IF(N83=0,IF(N82=1,SUM(D$25:E82)," "),IF(N83=0," ",IF(N84=1,D$25,IF(N84=0,D$10-D$25*(M$14-1)," "))))</f>
        <v xml:space="preserve"> </v>
      </c>
      <c r="E83" s="269"/>
      <c r="F83" s="87" t="str">
        <f ca="1">IF(N83=0,IF(N82=1,SUM(F$25:F82)," "),IF(M$1=1,P83,IF(M$1=2,Q83," ")))</f>
        <v xml:space="preserve"> </v>
      </c>
      <c r="G83" s="87">
        <v>0</v>
      </c>
      <c r="H83" s="87" t="str">
        <f t="shared" ca="1" si="55"/>
        <v xml:space="preserve"> </v>
      </c>
      <c r="I83" s="87">
        <f t="shared" ca="1" si="56"/>
        <v>0</v>
      </c>
      <c r="J83" s="87">
        <f t="shared" ca="1" si="40"/>
        <v>0</v>
      </c>
      <c r="K83" s="87">
        <v>0</v>
      </c>
      <c r="L83" s="87" t="str">
        <f t="shared" ca="1" si="57"/>
        <v xml:space="preserve"> </v>
      </c>
      <c r="M83" s="2">
        <v>59</v>
      </c>
      <c r="N83" s="2">
        <f t="shared" ca="1" si="36"/>
        <v>0</v>
      </c>
      <c r="O83" s="2">
        <f t="shared" ca="1" si="41"/>
        <v>20</v>
      </c>
      <c r="P83" s="134">
        <f t="shared" ca="1" si="20"/>
        <v>0</v>
      </c>
      <c r="Q83" s="134">
        <f t="shared" ca="1" si="21"/>
        <v>0</v>
      </c>
      <c r="R83" s="134">
        <f t="shared" ca="1" si="58"/>
        <v>0</v>
      </c>
      <c r="S83" s="134" t="str">
        <f t="shared" ca="1" si="59"/>
        <v xml:space="preserve"> </v>
      </c>
      <c r="T83" s="134" t="str">
        <f t="shared" ca="1" si="32"/>
        <v xml:space="preserve"> </v>
      </c>
      <c r="U83" s="134">
        <f t="shared" ca="1" si="33"/>
        <v>0</v>
      </c>
      <c r="V83" s="134">
        <f t="shared" ca="1" si="34"/>
        <v>0</v>
      </c>
      <c r="W83" s="134">
        <f t="shared" ca="1" si="60"/>
        <v>0</v>
      </c>
      <c r="X83" s="134">
        <f t="shared" ca="1" si="61"/>
        <v>0</v>
      </c>
      <c r="Y83" s="134">
        <f t="shared" ca="1" si="42"/>
        <v>4.0358827391173691E-12</v>
      </c>
      <c r="Z83" s="134">
        <f t="shared" ca="1" si="35"/>
        <v>0</v>
      </c>
      <c r="AA83" s="134">
        <f t="shared" ca="1" si="26"/>
        <v>0</v>
      </c>
      <c r="AB83" s="134">
        <f t="shared" ca="1" si="37"/>
        <v>0</v>
      </c>
      <c r="AC83" s="134">
        <f t="shared" ca="1" si="43"/>
        <v>0</v>
      </c>
      <c r="AD83" s="134">
        <f t="shared" ca="1" si="44"/>
        <v>0</v>
      </c>
      <c r="AE83" s="134">
        <f t="shared" ca="1" si="62"/>
        <v>0</v>
      </c>
      <c r="AF83" s="134">
        <f t="shared" ca="1" si="45"/>
        <v>0</v>
      </c>
      <c r="AG83" s="134">
        <f t="shared" ca="1" si="63"/>
        <v>0</v>
      </c>
      <c r="AH83" s="134">
        <f t="shared" ca="1" si="46"/>
        <v>0</v>
      </c>
      <c r="AI83" s="134">
        <f t="shared" ca="1" si="47"/>
        <v>0</v>
      </c>
      <c r="AJ83" s="134">
        <f t="shared" ca="1" si="69"/>
        <v>0</v>
      </c>
      <c r="AK83" s="134">
        <f t="shared" ca="1" si="70"/>
        <v>0</v>
      </c>
      <c r="AL83" s="132">
        <f t="shared" ca="1" si="64"/>
        <v>0</v>
      </c>
      <c r="AM83" s="132">
        <f t="shared" ca="1" si="48"/>
        <v>0</v>
      </c>
      <c r="AN83" s="2">
        <f t="shared" ca="1" si="65"/>
        <v>0</v>
      </c>
      <c r="AO83" s="2">
        <f t="shared" ca="1" si="49"/>
        <v>0</v>
      </c>
      <c r="AP83" s="2">
        <f t="shared" ca="1" si="50"/>
        <v>0</v>
      </c>
      <c r="AQ83" s="2">
        <f t="shared" ca="1" si="51"/>
        <v>30</v>
      </c>
      <c r="AR83" s="2">
        <f t="shared" si="52"/>
        <v>20</v>
      </c>
      <c r="AS83" s="2">
        <f t="shared" ca="1" si="66"/>
        <v>30</v>
      </c>
      <c r="AT83" s="2"/>
      <c r="AU83" s="2"/>
      <c r="AV83" s="2"/>
      <c r="AW83" s="2"/>
      <c r="AX83" s="2"/>
      <c r="AY83" s="2">
        <f t="shared" ca="1" si="53"/>
        <v>0</v>
      </c>
      <c r="AZ83" s="2"/>
      <c r="BA83" s="2"/>
      <c r="BB83" s="2"/>
      <c r="BC83" s="2"/>
      <c r="BD83" s="2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4"/>
        <v xml:space="preserve"> </v>
      </c>
      <c r="C84" s="401"/>
      <c r="D84" s="269" t="str">
        <f ca="1">IF(N84=0,IF(N83=1,SUM(D$25:E83)," "),IF(N84=0," ",IF(N85=1,D$25,IF(N85=0,D$10-D$25*(M$14-1)," "))))</f>
        <v xml:space="preserve"> </v>
      </c>
      <c r="E84" s="269"/>
      <c r="F84" s="87" t="str">
        <f ca="1">IF(N84=0,IF(N83=1,SUM(F$25:F83)," "),IF(M$1=1,P84,IF(M$1=2,Q84," ")))</f>
        <v xml:space="preserve"> </v>
      </c>
      <c r="G84" s="87">
        <v>0</v>
      </c>
      <c r="H84" s="87" t="str">
        <f t="shared" ca="1" si="55"/>
        <v xml:space="preserve"> </v>
      </c>
      <c r="I84" s="87">
        <f t="shared" ca="1" si="56"/>
        <v>0</v>
      </c>
      <c r="J84" s="87">
        <f t="shared" ca="1" si="40"/>
        <v>0</v>
      </c>
      <c r="K84" s="87">
        <v>0</v>
      </c>
      <c r="L84" s="87" t="str">
        <f t="shared" ca="1" si="57"/>
        <v xml:space="preserve"> </v>
      </c>
      <c r="M84" s="2">
        <v>60</v>
      </c>
      <c r="N84" s="2">
        <f t="shared" ca="1" si="36"/>
        <v>0</v>
      </c>
      <c r="O84" s="2">
        <f t="shared" ca="1" si="41"/>
        <v>20</v>
      </c>
      <c r="P84" s="134">
        <f t="shared" ca="1" si="20"/>
        <v>0</v>
      </c>
      <c r="Q84" s="134">
        <f t="shared" ca="1" si="21"/>
        <v>0</v>
      </c>
      <c r="R84" s="134">
        <f t="shared" ca="1" si="58"/>
        <v>0</v>
      </c>
      <c r="S84" s="134" t="str">
        <f t="shared" ca="1" si="59"/>
        <v xml:space="preserve"> </v>
      </c>
      <c r="T84" s="134" t="str">
        <f t="shared" ca="1" si="32"/>
        <v xml:space="preserve"> </v>
      </c>
      <c r="U84" s="134">
        <f ca="1">IF(N85=1,R83*D11*20/36000+R84*D11*10/36000,IF(N85=0,IF(N84=0,0,R84*D11*Q12/36000+R83*D11*20/36000+R84*D11*10/36000)))</f>
        <v>0</v>
      </c>
      <c r="V84" s="134">
        <f ca="1">IF(N85=1,R83*D11*20/36000+R84*D11*10/36000,IF(N85=0,IF(N84=0,0,R84*D11*Q12/36000+R83*D11*20/36000+R84*D11*10/36000)))</f>
        <v>0</v>
      </c>
      <c r="W84" s="134">
        <f t="shared" ca="1" si="60"/>
        <v>0</v>
      </c>
      <c r="X84" s="134">
        <f t="shared" ca="1" si="61"/>
        <v>0</v>
      </c>
      <c r="Y84" s="134">
        <f t="shared" ca="1" si="42"/>
        <v>4.0358827391173691E-12</v>
      </c>
      <c r="Z84" s="134">
        <f t="shared" ca="1" si="35"/>
        <v>0</v>
      </c>
      <c r="AA84" s="134">
        <f t="shared" ca="1" si="26"/>
        <v>0</v>
      </c>
      <c r="AB84" s="134">
        <f t="shared" ca="1" si="37"/>
        <v>0</v>
      </c>
      <c r="AC84" s="134">
        <f t="shared" ca="1" si="43"/>
        <v>0</v>
      </c>
      <c r="AD84" s="134">
        <f t="shared" ca="1" si="44"/>
        <v>0</v>
      </c>
      <c r="AE84" s="134">
        <f t="shared" ca="1" si="62"/>
        <v>0</v>
      </c>
      <c r="AF84" s="134">
        <f t="shared" ca="1" si="45"/>
        <v>0</v>
      </c>
      <c r="AG84" s="134">
        <f t="shared" ca="1" si="63"/>
        <v>0</v>
      </c>
      <c r="AH84" s="134">
        <f t="shared" ca="1" si="46"/>
        <v>0</v>
      </c>
      <c r="AI84" s="134">
        <f t="shared" ca="1" si="47"/>
        <v>0</v>
      </c>
      <c r="AJ84" s="134">
        <f t="shared" ca="1" si="69"/>
        <v>0</v>
      </c>
      <c r="AK84" s="134">
        <f t="shared" ca="1" si="70"/>
        <v>0</v>
      </c>
      <c r="AL84" s="132">
        <f t="shared" ca="1" si="64"/>
        <v>0</v>
      </c>
      <c r="AM84" s="132">
        <f t="shared" ca="1" si="48"/>
        <v>0</v>
      </c>
      <c r="AN84" s="2">
        <f t="shared" ca="1" si="65"/>
        <v>0</v>
      </c>
      <c r="AO84" s="2">
        <f t="shared" ca="1" si="49"/>
        <v>0</v>
      </c>
      <c r="AP84" s="2">
        <f t="shared" ca="1" si="50"/>
        <v>0</v>
      </c>
      <c r="AQ84" s="2">
        <f t="shared" ca="1" si="51"/>
        <v>30</v>
      </c>
      <c r="AR84" s="2">
        <f t="shared" si="52"/>
        <v>20</v>
      </c>
      <c r="AS84" s="2">
        <f t="shared" ca="1" si="66"/>
        <v>30</v>
      </c>
      <c r="AT84" s="2"/>
      <c r="AU84" s="2"/>
      <c r="AV84" s="2"/>
      <c r="AW84" s="2"/>
      <c r="AX84" s="2"/>
      <c r="AY84" s="2">
        <f t="shared" ca="1" si="53"/>
        <v>0</v>
      </c>
      <c r="AZ84" s="2"/>
      <c r="BA84" s="2"/>
      <c r="BB84" s="2"/>
      <c r="BC84" s="2"/>
      <c r="BD84" s="2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4"/>
        <v xml:space="preserve"> </v>
      </c>
      <c r="C85" s="401"/>
      <c r="D85" s="269" t="str">
        <f ca="1">IF(N85=0,IF(N84=1,SUM(D$25:E84)," "),IF(N85=0," ",IF(N86=1,D$25,IF(N86=0,D$10-D$25*(M$14-1)," "))))</f>
        <v xml:space="preserve"> </v>
      </c>
      <c r="E85" s="269"/>
      <c r="F85" s="87" t="str">
        <f ca="1">IF(N85=0,IF(N84=1,SUM(F$25:F84)," "),IF(M$1=1,P85,IF(M$1=2,Q85," ")))</f>
        <v xml:space="preserve"> </v>
      </c>
      <c r="G85" s="87">
        <v>0</v>
      </c>
      <c r="H85" s="87" t="str">
        <f t="shared" ca="1" si="55"/>
        <v xml:space="preserve"> </v>
      </c>
      <c r="I85" s="87">
        <f t="shared" ca="1" si="56"/>
        <v>0</v>
      </c>
      <c r="J85" s="87">
        <f t="shared" ca="1" si="40"/>
        <v>0</v>
      </c>
      <c r="K85" s="87">
        <v>0</v>
      </c>
      <c r="L85" s="87" t="str">
        <f t="shared" ca="1" si="57"/>
        <v xml:space="preserve"> </v>
      </c>
      <c r="M85" s="2">
        <v>61</v>
      </c>
      <c r="N85" s="2">
        <f t="shared" ca="1" si="36"/>
        <v>0</v>
      </c>
      <c r="O85" s="2">
        <f t="shared" ca="1" si="41"/>
        <v>20</v>
      </c>
      <c r="P85" s="134">
        <f t="shared" ca="1" si="20"/>
        <v>0</v>
      </c>
      <c r="Q85" s="134">
        <f t="shared" ca="1" si="21"/>
        <v>0</v>
      </c>
      <c r="R85" s="134">
        <f t="shared" ca="1" si="58"/>
        <v>0</v>
      </c>
      <c r="S85" s="134" t="str">
        <f t="shared" ca="1" si="59"/>
        <v xml:space="preserve"> </v>
      </c>
      <c r="T85" s="134" t="str">
        <f t="shared" ca="1" si="32"/>
        <v xml:space="preserve"> </v>
      </c>
      <c r="U85" s="134">
        <f t="shared" ca="1" si="33"/>
        <v>0</v>
      </c>
      <c r="V85" s="134">
        <f t="shared" ca="1" si="34"/>
        <v>0</v>
      </c>
      <c r="W85" s="134">
        <f ca="1">IF(N86=1,D10*D$11*20/36000+D10*D$11*10/36000,IF(N86=0,IF(N85=0,0,D10*D$11*Q$12/36000)))</f>
        <v>0</v>
      </c>
      <c r="X85" s="134">
        <f t="shared" ca="1" si="61"/>
        <v>0</v>
      </c>
      <c r="Y85" s="134">
        <f t="shared" ca="1" si="42"/>
        <v>4.0358827391173691E-12</v>
      </c>
      <c r="Z85" s="134">
        <f t="shared" ca="1" si="35"/>
        <v>0</v>
      </c>
      <c r="AA85" s="134">
        <f t="shared" ca="1" si="26"/>
        <v>0</v>
      </c>
      <c r="AB85" s="134">
        <f ca="1">R85*Q$12</f>
        <v>0</v>
      </c>
      <c r="AC85" s="134">
        <f t="shared" ca="1" si="43"/>
        <v>0</v>
      </c>
      <c r="AD85" s="134">
        <f t="shared" ca="1" si="44"/>
        <v>0</v>
      </c>
      <c r="AE85" s="134">
        <f ca="1">IF(N86=1,D10*G$12*20/36000+D10*G$12*10/36000,IF(N86=0,IF(N85=0,0,D10*G$12*Q$12/36000)))</f>
        <v>0</v>
      </c>
      <c r="AF85" s="134">
        <f t="shared" ca="1" si="45"/>
        <v>0</v>
      </c>
      <c r="AG85" s="134">
        <f ca="1">IF(N86=1,Y84*G$12*20/36000+Y85*G$12*10/36000,IF(N86=0,IF(N85=0,0,Y85*G$12*Q$12/36000)))</f>
        <v>0</v>
      </c>
      <c r="AH85" s="134">
        <f t="shared" ca="1" si="46"/>
        <v>0</v>
      </c>
      <c r="AI85" s="134">
        <f t="shared" ca="1" si="47"/>
        <v>0</v>
      </c>
      <c r="AJ85" s="134">
        <f ca="1">IF(N86=1,AI84*G$12*20/36000+AI85*G$12*10/36000,IF(N86=0,IF(N85=0,0,AI85*G$12*Q$12/36000)))</f>
        <v>0</v>
      </c>
      <c r="AK85" s="134">
        <f ca="1">IF(N86=1,AI84*G$12*20/36000+AI85*G$12*10/36000,IF(N86=0,IF(N85=0,0,AI85*G$12*Q$12/36000)))</f>
        <v>0</v>
      </c>
      <c r="AL85" s="132">
        <f t="shared" ca="1" si="64"/>
        <v>0</v>
      </c>
      <c r="AM85" s="132">
        <f t="shared" ca="1" si="48"/>
        <v>0</v>
      </c>
      <c r="AN85" s="2">
        <f t="shared" ca="1" si="65"/>
        <v>0</v>
      </c>
      <c r="AO85" s="2">
        <f t="shared" ca="1" si="49"/>
        <v>0</v>
      </c>
      <c r="AP85" s="2">
        <f t="shared" ca="1" si="50"/>
        <v>0</v>
      </c>
      <c r="AQ85" s="2">
        <f t="shared" ca="1" si="51"/>
        <v>30</v>
      </c>
      <c r="AR85" s="2">
        <f t="shared" si="52"/>
        <v>20</v>
      </c>
      <c r="AS85" s="2">
        <f t="shared" ca="1" si="66"/>
        <v>30</v>
      </c>
      <c r="AT85" s="2"/>
      <c r="AU85" s="2"/>
      <c r="AV85" s="2"/>
      <c r="AW85" s="2"/>
      <c r="AX85" s="2"/>
      <c r="AY85" s="2">
        <f t="shared" ca="1" si="53"/>
        <v>0</v>
      </c>
      <c r="AZ85" s="2"/>
      <c r="BA85" s="2"/>
      <c r="BB85" s="2"/>
      <c r="BC85" s="2"/>
      <c r="BD85" s="2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5"/>
        <v xml:space="preserve"> </v>
      </c>
      <c r="I86" s="66"/>
      <c r="J86" s="66"/>
      <c r="K86" s="66"/>
      <c r="L86" s="66"/>
      <c r="M86" s="135">
        <f>IF(A94=0,0,62000)</f>
        <v>0</v>
      </c>
      <c r="N86" s="135"/>
      <c r="O86" s="135"/>
      <c r="P86" s="136">
        <f ca="1">SUM(P25:P85)</f>
        <v>4238.4184561111115</v>
      </c>
      <c r="Q86" s="136">
        <f ca="1">SUM(Q25:Q85)</f>
        <v>4238.4184561111115</v>
      </c>
      <c r="R86" s="136">
        <f ca="1">SUM(R25:R85)</f>
        <v>171503.7600000001</v>
      </c>
      <c r="S86" s="136"/>
      <c r="T86" s="136"/>
      <c r="U86" s="136">
        <f ca="1">SUM(U25:U85)</f>
        <v>4238.4184561111115</v>
      </c>
      <c r="V86" s="136">
        <f ca="1">SUM(V25:V85)</f>
        <v>4238.4184561111115</v>
      </c>
      <c r="W86" s="136">
        <f ca="1">SUM(W25:W85)</f>
        <v>8112.1111111111159</v>
      </c>
      <c r="X86" s="136">
        <f ca="1">SUM(X25:X85)</f>
        <v>8150</v>
      </c>
      <c r="Y86" s="136"/>
      <c r="Z86" s="136"/>
      <c r="AA86" s="136"/>
      <c r="AB86" s="136">
        <f ca="1">SUM(AB25:AB85)</f>
        <v>5254188.6800000006</v>
      </c>
      <c r="AC86" s="136">
        <f ca="1">SUM(AC25:AC85)</f>
        <v>0</v>
      </c>
      <c r="AD86" s="136">
        <f ca="1">SUM(AD25:AD85)</f>
        <v>0</v>
      </c>
      <c r="AE86" s="136">
        <f ca="1">SUM(AE25:AE85)</f>
        <v>0</v>
      </c>
      <c r="AF86" s="136">
        <f ca="1">SUM(AF25:AF85)</f>
        <v>0</v>
      </c>
      <c r="AG86" s="136"/>
      <c r="AH86" s="136"/>
      <c r="AI86" s="136">
        <f ca="1">SUM(AI25:AI85)</f>
        <v>171503.7600000001</v>
      </c>
      <c r="AJ86" s="136">
        <f ca="1">SUM(AJ25:AJ85)</f>
        <v>0</v>
      </c>
      <c r="AK86" s="136">
        <f ca="1">SUM(AK25:AK85)</f>
        <v>0</v>
      </c>
      <c r="AL86" s="136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</row>
    <row r="87" spans="1:141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9"/>
      <c r="N87" s="29" t="s">
        <v>145</v>
      </c>
      <c r="O87" s="29" t="s">
        <v>145</v>
      </c>
      <c r="P87" s="29"/>
      <c r="Q87" s="29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9"/>
      <c r="P89" s="29"/>
      <c r="Q89" s="29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0"/>
      <c r="N90" s="30"/>
      <c r="O90" s="30"/>
      <c r="P90" s="30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2"/>
      <c r="N92" s="29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9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</row>
    <row r="93" spans="1:141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2"/>
      <c r="N93" s="29" t="s">
        <v>145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2"/>
      <c r="N94" s="300" t="s">
        <v>80</v>
      </c>
      <c r="O94" s="300"/>
      <c r="P94" s="300" t="s">
        <v>38</v>
      </c>
      <c r="Q94" s="300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</row>
    <row r="95" spans="1:141" s="19" customFormat="1" ht="12.75" hidden="1" customHeight="1">
      <c r="A95" s="31"/>
      <c r="B95" s="302" t="s">
        <v>87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2"/>
      <c r="N95" s="2" t="s">
        <v>39</v>
      </c>
      <c r="O95" s="2" t="s">
        <v>40</v>
      </c>
      <c r="P95" s="2" t="s">
        <v>39</v>
      </c>
      <c r="Q95" s="2" t="s">
        <v>40</v>
      </c>
      <c r="R95" s="2" t="s">
        <v>41</v>
      </c>
      <c r="S95" s="2"/>
      <c r="T95" s="2"/>
      <c r="U95" s="2" t="s">
        <v>42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</row>
    <row r="96" spans="1:141" s="34" customFormat="1" ht="25.5" hidden="1" customHeight="1">
      <c r="A96" s="32">
        <f t="shared" ref="A96:A103" si="71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137"/>
      <c r="N96" s="138" t="s">
        <v>43</v>
      </c>
      <c r="O96" s="138" t="s">
        <v>43</v>
      </c>
      <c r="P96" s="138" t="s">
        <v>43</v>
      </c>
      <c r="Q96" s="138" t="s">
        <v>43</v>
      </c>
      <c r="R96" s="138" t="s">
        <v>43</v>
      </c>
      <c r="S96" s="138"/>
      <c r="T96" s="138"/>
      <c r="U96" s="138" t="s">
        <v>43</v>
      </c>
      <c r="V96" s="138" t="s">
        <v>43</v>
      </c>
      <c r="W96" s="138"/>
      <c r="X96" s="138"/>
      <c r="Y96" s="138"/>
      <c r="Z96" s="138"/>
      <c r="AA96" s="138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</row>
    <row r="97" spans="1:71" s="34" customFormat="1" ht="25.5" hidden="1" customHeight="1">
      <c r="A97" s="32">
        <f t="shared" si="71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137"/>
      <c r="N97" s="139" t="s">
        <v>44</v>
      </c>
      <c r="O97" s="139" t="s">
        <v>120</v>
      </c>
      <c r="P97" s="139" t="s">
        <v>44</v>
      </c>
      <c r="Q97" s="139" t="s">
        <v>120</v>
      </c>
      <c r="R97" s="139" t="s">
        <v>119</v>
      </c>
      <c r="S97" s="139"/>
      <c r="T97" s="139"/>
      <c r="U97" s="139" t="s">
        <v>45</v>
      </c>
      <c r="V97" s="139" t="s">
        <v>45</v>
      </c>
      <c r="W97" s="139"/>
      <c r="X97" s="139"/>
      <c r="Y97" s="139"/>
      <c r="Z97" s="139"/>
      <c r="AA97" s="139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</row>
    <row r="98" spans="1:71" s="34" customFormat="1" ht="25.5" hidden="1" customHeight="1">
      <c r="A98" s="32">
        <f t="shared" si="71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137"/>
      <c r="N98" s="139" t="s">
        <v>46</v>
      </c>
      <c r="O98" s="139" t="s">
        <v>46</v>
      </c>
      <c r="P98" s="139" t="s">
        <v>46</v>
      </c>
      <c r="Q98" s="139" t="s">
        <v>46</v>
      </c>
      <c r="R98" s="139" t="s">
        <v>47</v>
      </c>
      <c r="S98" s="139"/>
      <c r="T98" s="139"/>
      <c r="U98" s="138" t="s">
        <v>48</v>
      </c>
      <c r="V98" s="138" t="s">
        <v>48</v>
      </c>
      <c r="W98" s="138"/>
      <c r="X98" s="138"/>
      <c r="Y98" s="138"/>
      <c r="Z98" s="138"/>
      <c r="AA98" s="138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</row>
    <row r="99" spans="1:71" s="34" customFormat="1" ht="25.5" hidden="1" customHeight="1">
      <c r="A99" s="32">
        <f t="shared" si="71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137"/>
      <c r="N99" s="139" t="s">
        <v>83</v>
      </c>
      <c r="O99" s="139" t="s">
        <v>83</v>
      </c>
      <c r="P99" s="139" t="s">
        <v>83</v>
      </c>
      <c r="Q99" s="139" t="s">
        <v>83</v>
      </c>
      <c r="R99" s="140" t="s">
        <v>49</v>
      </c>
      <c r="S99" s="140"/>
      <c r="T99" s="140"/>
      <c r="U99" s="139" t="s">
        <v>98</v>
      </c>
      <c r="V99" s="139" t="s">
        <v>98</v>
      </c>
      <c r="W99" s="139"/>
      <c r="X99" s="139"/>
      <c r="Y99" s="139"/>
      <c r="Z99" s="139"/>
      <c r="AA99" s="139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</row>
    <row r="100" spans="1:71" s="34" customFormat="1" ht="25.5" hidden="1" customHeight="1">
      <c r="A100" s="32">
        <f t="shared" si="71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137"/>
      <c r="N100" s="139" t="s">
        <v>52</v>
      </c>
      <c r="O100" s="139" t="s">
        <v>52</v>
      </c>
      <c r="P100" s="139" t="s">
        <v>52</v>
      </c>
      <c r="Q100" s="139" t="s">
        <v>52</v>
      </c>
      <c r="R100" s="139" t="s">
        <v>122</v>
      </c>
      <c r="S100" s="139"/>
      <c r="T100" s="139"/>
      <c r="U100" s="139" t="s">
        <v>54</v>
      </c>
      <c r="V100" s="139" t="s">
        <v>55</v>
      </c>
      <c r="W100" s="139"/>
      <c r="X100" s="139"/>
      <c r="Y100" s="139"/>
      <c r="Z100" s="139"/>
      <c r="AA100" s="139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</row>
    <row r="101" spans="1:71" s="34" customFormat="1" ht="25.5" hidden="1" customHeight="1">
      <c r="A101" s="32">
        <f t="shared" si="71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137"/>
      <c r="N101" s="139" t="s">
        <v>57</v>
      </c>
      <c r="O101" s="139" t="s">
        <v>57</v>
      </c>
      <c r="P101" s="139" t="s">
        <v>56</v>
      </c>
      <c r="Q101" s="139" t="s">
        <v>57</v>
      </c>
      <c r="R101" s="139" t="s">
        <v>53</v>
      </c>
      <c r="S101" s="139"/>
      <c r="T101" s="139"/>
      <c r="U101" s="139" t="s">
        <v>106</v>
      </c>
      <c r="V101" s="139" t="s">
        <v>106</v>
      </c>
      <c r="W101" s="139"/>
      <c r="X101" s="139"/>
      <c r="Y101" s="139"/>
      <c r="Z101" s="139"/>
      <c r="AA101" s="139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</row>
    <row r="102" spans="1:71" s="34" customFormat="1" ht="25.5" hidden="1" customHeight="1">
      <c r="A102" s="32">
        <f t="shared" si="71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137"/>
      <c r="N102" s="139" t="s">
        <v>60</v>
      </c>
      <c r="O102" s="139" t="s">
        <v>121</v>
      </c>
      <c r="P102" s="139" t="s">
        <v>60</v>
      </c>
      <c r="Q102" s="139" t="s">
        <v>121</v>
      </c>
      <c r="R102" s="139" t="s">
        <v>58</v>
      </c>
      <c r="S102" s="139"/>
      <c r="T102" s="139"/>
      <c r="U102" s="138" t="s">
        <v>61</v>
      </c>
      <c r="V102" s="138" t="s">
        <v>62</v>
      </c>
      <c r="W102" s="138"/>
      <c r="X102" s="138"/>
      <c r="Y102" s="138"/>
      <c r="Z102" s="138"/>
      <c r="AA102" s="138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</row>
    <row r="103" spans="1:71" s="34" customFormat="1" ht="25.5" hidden="1" customHeight="1">
      <c r="A103" s="32">
        <f t="shared" si="71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137"/>
      <c r="N103" s="139" t="s">
        <v>63</v>
      </c>
      <c r="O103" s="139" t="s">
        <v>63</v>
      </c>
      <c r="P103" s="139" t="s">
        <v>63</v>
      </c>
      <c r="Q103" s="139" t="s">
        <v>63</v>
      </c>
      <c r="R103" s="139" t="s">
        <v>125</v>
      </c>
      <c r="S103" s="139"/>
      <c r="T103" s="139"/>
      <c r="U103" s="139" t="s">
        <v>36</v>
      </c>
      <c r="V103" s="138" t="s">
        <v>61</v>
      </c>
      <c r="W103" s="138"/>
      <c r="X103" s="138"/>
      <c r="Y103" s="138"/>
      <c r="Z103" s="138"/>
      <c r="AA103" s="138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</row>
    <row r="104" spans="1:71" s="34" customFormat="1" ht="25.5" hidden="1" customHeight="1">
      <c r="A104" s="32"/>
      <c r="B104" s="299" t="str">
        <f t="shared" ref="B104:B120" si="72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137"/>
      <c r="N104" s="139" t="s">
        <v>123</v>
      </c>
      <c r="O104" s="139" t="s">
        <v>123</v>
      </c>
      <c r="P104" s="139" t="s">
        <v>123</v>
      </c>
      <c r="Q104" s="139" t="s">
        <v>123</v>
      </c>
      <c r="R104" s="139" t="s">
        <v>123</v>
      </c>
      <c r="S104" s="141"/>
      <c r="T104" s="141"/>
      <c r="U104" s="139"/>
      <c r="V104" s="138"/>
      <c r="W104" s="138"/>
      <c r="X104" s="138"/>
      <c r="Y104" s="138"/>
      <c r="Z104" s="138"/>
      <c r="AA104" s="138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</row>
    <row r="105" spans="1:71" s="34" customFormat="1" ht="25.5" hidden="1" customHeight="1">
      <c r="A105" s="32">
        <f t="shared" ref="A105:A120" si="73">IF(LEFT(B105,1)="I",1,0)</f>
        <v>0</v>
      </c>
      <c r="B105" s="299" t="str">
        <f t="shared" si="72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137"/>
      <c r="N105" s="139" t="s">
        <v>124</v>
      </c>
      <c r="O105" s="139" t="s">
        <v>124</v>
      </c>
      <c r="P105" s="139" t="s">
        <v>124</v>
      </c>
      <c r="Q105" s="139" t="s">
        <v>124</v>
      </c>
      <c r="R105" s="139" t="s">
        <v>126</v>
      </c>
      <c r="S105" s="139"/>
      <c r="T105" s="139"/>
      <c r="U105" s="139" t="s">
        <v>36</v>
      </c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</row>
    <row r="106" spans="1:71" s="34" customFormat="1" ht="25.5" hidden="1" customHeight="1">
      <c r="A106" s="32">
        <f t="shared" si="73"/>
        <v>0</v>
      </c>
      <c r="B106" s="299" t="str">
        <f t="shared" si="72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137"/>
      <c r="N106" s="139" t="s">
        <v>122</v>
      </c>
      <c r="O106" s="139" t="s">
        <v>122</v>
      </c>
      <c r="P106" s="139" t="s">
        <v>122</v>
      </c>
      <c r="Q106" s="139" t="s">
        <v>122</v>
      </c>
      <c r="R106" s="139" t="s">
        <v>127</v>
      </c>
      <c r="S106" s="139"/>
      <c r="T106" s="139"/>
      <c r="U106" s="139" t="s">
        <v>36</v>
      </c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</row>
    <row r="107" spans="1:71" s="34" customFormat="1" ht="25.5" hidden="1" customHeight="1">
      <c r="A107" s="32">
        <f t="shared" si="73"/>
        <v>0</v>
      </c>
      <c r="B107" s="299" t="str">
        <f t="shared" si="72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137"/>
      <c r="N107" s="139" t="s">
        <v>91</v>
      </c>
      <c r="O107" s="139" t="s">
        <v>91</v>
      </c>
      <c r="P107" s="139" t="s">
        <v>91</v>
      </c>
      <c r="Q107" s="139" t="s">
        <v>91</v>
      </c>
      <c r="R107" s="138" t="s">
        <v>48</v>
      </c>
      <c r="S107" s="138"/>
      <c r="T107" s="138"/>
      <c r="U107" s="139" t="s">
        <v>36</v>
      </c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</row>
    <row r="108" spans="1:71" s="34" customFormat="1" ht="25.5" hidden="1" customHeight="1">
      <c r="A108" s="32">
        <f t="shared" si="73"/>
        <v>0</v>
      </c>
      <c r="B108" s="299" t="str">
        <f t="shared" si="72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137"/>
      <c r="N108" s="139" t="s">
        <v>58</v>
      </c>
      <c r="O108" s="139" t="s">
        <v>58</v>
      </c>
      <c r="P108" s="139" t="s">
        <v>58</v>
      </c>
      <c r="Q108" s="139" t="s">
        <v>58</v>
      </c>
      <c r="R108" s="139" t="s">
        <v>98</v>
      </c>
      <c r="S108" s="139"/>
      <c r="T108" s="139"/>
      <c r="U108" s="139" t="s">
        <v>36</v>
      </c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</row>
    <row r="109" spans="1:71" s="34" customFormat="1" ht="25.5" hidden="1" customHeight="1">
      <c r="A109" s="32">
        <f t="shared" si="73"/>
        <v>0</v>
      </c>
      <c r="B109" s="299" t="str">
        <f t="shared" si="72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137"/>
      <c r="N109" s="139" t="s">
        <v>65</v>
      </c>
      <c r="O109" s="139" t="s">
        <v>125</v>
      </c>
      <c r="P109" s="139" t="s">
        <v>65</v>
      </c>
      <c r="Q109" s="139" t="s">
        <v>125</v>
      </c>
      <c r="R109" s="139" t="s">
        <v>66</v>
      </c>
      <c r="S109" s="139"/>
      <c r="T109" s="139"/>
      <c r="U109" s="137" t="s">
        <v>36</v>
      </c>
      <c r="V109" s="138" t="s">
        <v>48</v>
      </c>
      <c r="W109" s="138"/>
      <c r="X109" s="138"/>
      <c r="Y109" s="138"/>
      <c r="Z109" s="138"/>
      <c r="AA109" s="138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</row>
    <row r="110" spans="1:71" s="34" customFormat="1" ht="25.5" hidden="1" customHeight="1">
      <c r="A110" s="32">
        <f t="shared" si="73"/>
        <v>0</v>
      </c>
      <c r="B110" s="299" t="str">
        <f t="shared" si="72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137"/>
      <c r="N110" s="139" t="s">
        <v>67</v>
      </c>
      <c r="O110" s="139" t="s">
        <v>126</v>
      </c>
      <c r="P110" s="139" t="s">
        <v>67</v>
      </c>
      <c r="Q110" s="139" t="s">
        <v>126</v>
      </c>
      <c r="R110" s="139" t="s">
        <v>106</v>
      </c>
      <c r="S110" s="139"/>
      <c r="T110" s="139"/>
      <c r="U110" s="137" t="s">
        <v>36</v>
      </c>
      <c r="V110" s="139" t="s">
        <v>98</v>
      </c>
      <c r="W110" s="139"/>
      <c r="X110" s="139"/>
      <c r="Y110" s="139"/>
      <c r="Z110" s="139"/>
      <c r="AA110" s="139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</row>
    <row r="111" spans="1:71" s="34" customFormat="1" ht="25.5" hidden="1" customHeight="1">
      <c r="A111" s="32">
        <f t="shared" si="73"/>
        <v>0</v>
      </c>
      <c r="B111" s="299" t="str">
        <f t="shared" si="72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137"/>
      <c r="N111" s="139" t="s">
        <v>68</v>
      </c>
      <c r="O111" s="139" t="s">
        <v>127</v>
      </c>
      <c r="P111" s="139" t="s">
        <v>68</v>
      </c>
      <c r="Q111" s="139" t="s">
        <v>127</v>
      </c>
      <c r="R111" s="138" t="s">
        <v>61</v>
      </c>
      <c r="S111" s="138"/>
      <c r="T111" s="138"/>
      <c r="U111" s="137" t="s">
        <v>36</v>
      </c>
      <c r="V111" s="139" t="s">
        <v>54</v>
      </c>
      <c r="W111" s="139"/>
      <c r="X111" s="139"/>
      <c r="Y111" s="139"/>
      <c r="Z111" s="139"/>
      <c r="AA111" s="139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</row>
    <row r="112" spans="1:71" s="34" customFormat="1" ht="25.5" hidden="1" customHeight="1">
      <c r="A112" s="32">
        <f t="shared" si="73"/>
        <v>0</v>
      </c>
      <c r="B112" s="299" t="str">
        <f t="shared" si="72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137"/>
      <c r="N112" s="139" t="s">
        <v>113</v>
      </c>
      <c r="O112" s="139" t="s">
        <v>116</v>
      </c>
      <c r="P112" s="139" t="s">
        <v>113</v>
      </c>
      <c r="Q112" s="139" t="s">
        <v>116</v>
      </c>
      <c r="R112" s="137" t="s">
        <v>36</v>
      </c>
      <c r="S112" s="137"/>
      <c r="T112" s="137"/>
      <c r="U112" s="137" t="s">
        <v>36</v>
      </c>
      <c r="V112" s="139" t="s">
        <v>73</v>
      </c>
      <c r="W112" s="139"/>
      <c r="X112" s="139"/>
      <c r="Y112" s="139"/>
      <c r="Z112" s="139"/>
      <c r="AA112" s="139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</row>
    <row r="113" spans="1:71" s="34" customFormat="1" ht="25.5" hidden="1" customHeight="1">
      <c r="A113" s="32">
        <f t="shared" si="73"/>
        <v>0</v>
      </c>
      <c r="B113" s="299" t="str">
        <f t="shared" si="72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137"/>
      <c r="N113" s="139" t="s">
        <v>114</v>
      </c>
      <c r="O113" s="139" t="s">
        <v>128</v>
      </c>
      <c r="P113" s="139" t="s">
        <v>114</v>
      </c>
      <c r="Q113" s="139" t="s">
        <v>128</v>
      </c>
      <c r="R113" s="139" t="s">
        <v>36</v>
      </c>
      <c r="S113" s="139"/>
      <c r="T113" s="139"/>
      <c r="U113" s="139" t="s">
        <v>36</v>
      </c>
      <c r="V113" s="139" t="s">
        <v>105</v>
      </c>
      <c r="W113" s="139"/>
      <c r="X113" s="139"/>
      <c r="Y113" s="139"/>
      <c r="Z113" s="139"/>
      <c r="AA113" s="139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</row>
    <row r="114" spans="1:71" s="34" customFormat="1" ht="25.5" hidden="1" customHeight="1">
      <c r="A114" s="32">
        <f t="shared" si="73"/>
        <v>0</v>
      </c>
      <c r="B114" s="299" t="str">
        <f t="shared" si="72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137"/>
      <c r="N114" s="139" t="s">
        <v>115</v>
      </c>
      <c r="O114" s="139" t="s">
        <v>94</v>
      </c>
      <c r="P114" s="139" t="s">
        <v>115</v>
      </c>
      <c r="Q114" s="139" t="s">
        <v>94</v>
      </c>
      <c r="R114" s="138" t="s">
        <v>36</v>
      </c>
      <c r="S114" s="138"/>
      <c r="T114" s="138"/>
      <c r="U114" s="138" t="s">
        <v>36</v>
      </c>
      <c r="V114" s="137" t="s">
        <v>36</v>
      </c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</row>
    <row r="115" spans="1:71" s="34" customFormat="1" ht="25.5" hidden="1" customHeight="1">
      <c r="A115" s="32">
        <f t="shared" si="73"/>
        <v>1</v>
      </c>
      <c r="B115" s="299" t="str">
        <f t="shared" si="72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137"/>
      <c r="N115" s="138" t="s">
        <v>48</v>
      </c>
      <c r="O115" s="138" t="s">
        <v>48</v>
      </c>
      <c r="P115" s="138" t="s">
        <v>48</v>
      </c>
      <c r="Q115" s="138" t="s">
        <v>48</v>
      </c>
      <c r="R115" s="138" t="s">
        <v>36</v>
      </c>
      <c r="S115" s="138"/>
      <c r="T115" s="138"/>
      <c r="U115" s="138" t="s">
        <v>36</v>
      </c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</row>
    <row r="116" spans="1:71" s="34" customFormat="1" ht="25.5" hidden="1" customHeight="1">
      <c r="A116" s="32">
        <f t="shared" si="73"/>
        <v>0</v>
      </c>
      <c r="B116" s="299" t="str">
        <f t="shared" si="72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137"/>
      <c r="N116" s="139" t="s">
        <v>98</v>
      </c>
      <c r="O116" s="139" t="s">
        <v>98</v>
      </c>
      <c r="P116" s="139" t="s">
        <v>98</v>
      </c>
      <c r="Q116" s="139" t="s">
        <v>98</v>
      </c>
      <c r="R116" s="138" t="s">
        <v>36</v>
      </c>
      <c r="S116" s="138"/>
      <c r="T116" s="138"/>
      <c r="U116" s="138" t="s">
        <v>36</v>
      </c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</row>
    <row r="117" spans="1:71" s="34" customFormat="1" ht="25.5" hidden="1" customHeight="1">
      <c r="A117" s="32">
        <f t="shared" si="73"/>
        <v>0</v>
      </c>
      <c r="B117" s="299" t="str">
        <f t="shared" si="72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137"/>
      <c r="N117" s="139" t="s">
        <v>81</v>
      </c>
      <c r="O117" s="139" t="s">
        <v>81</v>
      </c>
      <c r="P117" s="139" t="s">
        <v>78</v>
      </c>
      <c r="Q117" s="139" t="s">
        <v>78</v>
      </c>
      <c r="R117" s="138" t="s">
        <v>36</v>
      </c>
      <c r="S117" s="138"/>
      <c r="T117" s="138"/>
      <c r="U117" s="138" t="s">
        <v>36</v>
      </c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</row>
    <row r="118" spans="1:71" s="34" customFormat="1" ht="25.5" hidden="1" customHeight="1">
      <c r="A118" s="32">
        <f t="shared" si="73"/>
        <v>0</v>
      </c>
      <c r="B118" s="299" t="str">
        <f t="shared" si="72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137"/>
      <c r="N118" s="139" t="s">
        <v>82</v>
      </c>
      <c r="O118" s="139" t="s">
        <v>82</v>
      </c>
      <c r="P118" s="139" t="s">
        <v>106</v>
      </c>
      <c r="Q118" s="139" t="s">
        <v>106</v>
      </c>
      <c r="R118" s="138" t="s">
        <v>36</v>
      </c>
      <c r="S118" s="138"/>
      <c r="T118" s="138"/>
      <c r="U118" s="138" t="s">
        <v>36</v>
      </c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</row>
    <row r="119" spans="1:71" s="34" customFormat="1" ht="25.5" hidden="1" customHeight="1">
      <c r="A119" s="32">
        <f t="shared" si="73"/>
        <v>0</v>
      </c>
      <c r="B119" s="299" t="str">
        <f t="shared" si="72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137"/>
      <c r="N119" s="139" t="s">
        <v>105</v>
      </c>
      <c r="O119" s="139" t="s">
        <v>146</v>
      </c>
      <c r="P119" s="138" t="s">
        <v>61</v>
      </c>
      <c r="Q119" s="138" t="s">
        <v>61</v>
      </c>
      <c r="R119" s="138" t="s">
        <v>36</v>
      </c>
      <c r="S119" s="138"/>
      <c r="T119" s="138"/>
      <c r="U119" s="138" t="s">
        <v>36</v>
      </c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</row>
    <row r="120" spans="1:71" s="34" customFormat="1" ht="25.5" hidden="1" customHeight="1">
      <c r="A120" s="32">
        <f t="shared" si="73"/>
        <v>1</v>
      </c>
      <c r="B120" s="299" t="str">
        <f t="shared" si="72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137"/>
      <c r="N120" s="138" t="s">
        <v>61</v>
      </c>
      <c r="O120" s="138" t="s">
        <v>61</v>
      </c>
      <c r="P120" s="138" t="s">
        <v>36</v>
      </c>
      <c r="Q120" s="138" t="s">
        <v>36</v>
      </c>
      <c r="R120" s="138" t="s">
        <v>36</v>
      </c>
      <c r="S120" s="138"/>
      <c r="T120" s="138"/>
      <c r="U120" s="138" t="s">
        <v>36</v>
      </c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</row>
    <row r="121" spans="1:71" s="34" customFormat="1" ht="39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137"/>
      <c r="N121" s="138"/>
      <c r="O121" s="138"/>
      <c r="P121" s="138"/>
      <c r="Q121" s="138"/>
      <c r="R121" s="138"/>
      <c r="S121" s="138"/>
      <c r="T121" s="138"/>
      <c r="U121" s="138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</row>
    <row r="122" spans="1:71" s="34" customFormat="1" ht="32.25" customHeight="1">
      <c r="A122" s="32"/>
      <c r="B122" s="385" t="s">
        <v>202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137"/>
      <c r="N122" s="138"/>
      <c r="O122" s="138"/>
      <c r="P122" s="138"/>
      <c r="Q122" s="138"/>
      <c r="R122" s="138"/>
      <c r="S122" s="138"/>
      <c r="T122" s="138"/>
      <c r="U122" s="138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</row>
    <row r="123" spans="1:71" s="34" customFormat="1" ht="43.5" customHeight="1">
      <c r="A123" s="32"/>
      <c r="B123" s="385" t="s">
        <v>213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137"/>
      <c r="N123" s="138"/>
      <c r="O123" s="138"/>
      <c r="P123" s="138"/>
      <c r="Q123" s="138"/>
      <c r="R123" s="138"/>
      <c r="S123" s="138"/>
      <c r="T123" s="138"/>
      <c r="U123" s="138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</row>
    <row r="124" spans="1:71" s="34" customFormat="1" ht="70.5" customHeight="1">
      <c r="A124" s="32"/>
      <c r="B124" s="385" t="s">
        <v>211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137"/>
      <c r="N124" s="138"/>
      <c r="O124" s="138"/>
      <c r="P124" s="138"/>
      <c r="Q124" s="138"/>
      <c r="R124" s="138"/>
      <c r="S124" s="138"/>
      <c r="T124" s="138"/>
      <c r="U124" s="138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</row>
    <row r="125" spans="1:71" s="34" customFormat="1" ht="24.7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137"/>
      <c r="N125" s="138"/>
      <c r="O125" s="138"/>
      <c r="P125" s="138"/>
      <c r="Q125" s="138"/>
      <c r="R125" s="138"/>
      <c r="S125" s="138"/>
      <c r="T125" s="138"/>
      <c r="U125" s="138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</row>
    <row r="126" spans="1:71" s="34" customFormat="1" ht="43.5" customHeight="1">
      <c r="A126" s="32"/>
      <c r="B126" s="385" t="s">
        <v>156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137"/>
      <c r="N126" s="138"/>
      <c r="O126" s="138"/>
      <c r="P126" s="138"/>
      <c r="Q126" s="138"/>
      <c r="R126" s="138"/>
      <c r="S126" s="138"/>
      <c r="T126" s="138"/>
      <c r="U126" s="138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</row>
    <row r="127" spans="1:71" s="34" customFormat="1" ht="52.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137"/>
      <c r="N127" s="138"/>
      <c r="O127" s="138"/>
      <c r="P127" s="138"/>
      <c r="Q127" s="138"/>
      <c r="R127" s="138"/>
      <c r="S127" s="138"/>
      <c r="T127" s="138"/>
      <c r="U127" s="138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</row>
    <row r="128" spans="1:71" s="34" customFormat="1" ht="42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137"/>
      <c r="N128" s="138"/>
      <c r="O128" s="138"/>
      <c r="P128" s="138"/>
      <c r="Q128" s="138"/>
      <c r="R128" s="138"/>
      <c r="S128" s="138"/>
      <c r="T128" s="138"/>
      <c r="U128" s="138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</row>
    <row r="129" spans="1:71" s="34" customFormat="1" ht="37.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137"/>
      <c r="N129" s="138"/>
      <c r="O129" s="138"/>
      <c r="P129" s="138"/>
      <c r="Q129" s="138"/>
      <c r="R129" s="138"/>
      <c r="S129" s="138"/>
      <c r="T129" s="138"/>
      <c r="U129" s="138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</row>
    <row r="130" spans="1:71" s="34" customFormat="1" ht="28.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137"/>
      <c r="N130" s="138"/>
      <c r="O130" s="138"/>
      <c r="P130" s="138"/>
      <c r="Q130" s="138"/>
      <c r="R130" s="138"/>
      <c r="S130" s="138"/>
      <c r="T130" s="138"/>
      <c r="U130" s="138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</row>
    <row r="131" spans="1:71" s="34" customFormat="1" ht="37.5" customHeight="1">
      <c r="A131" s="32"/>
      <c r="B131" s="434" t="s">
        <v>194</v>
      </c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137"/>
      <c r="N131" s="138"/>
      <c r="O131" s="138"/>
      <c r="P131" s="138"/>
      <c r="Q131" s="138"/>
      <c r="R131" s="138"/>
      <c r="S131" s="138"/>
      <c r="T131" s="138"/>
      <c r="U131" s="138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</row>
    <row r="132" spans="1:71" s="34" customFormat="1" ht="46.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137"/>
      <c r="N132" s="138"/>
      <c r="O132" s="138"/>
      <c r="P132" s="138"/>
      <c r="Q132" s="138"/>
      <c r="R132" s="138"/>
      <c r="S132" s="138"/>
      <c r="T132" s="138"/>
      <c r="U132" s="138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</row>
    <row r="133" spans="1:71" s="34" customFormat="1" ht="32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137"/>
      <c r="N133" s="138"/>
      <c r="O133" s="138"/>
      <c r="P133" s="138"/>
      <c r="Q133" s="138"/>
      <c r="R133" s="138"/>
      <c r="S133" s="138"/>
      <c r="T133" s="138"/>
      <c r="U133" s="138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</row>
    <row r="134" spans="1:71" s="34" customFormat="1" ht="20.25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137"/>
      <c r="N134" s="138"/>
      <c r="O134" s="138"/>
      <c r="P134" s="138"/>
      <c r="Q134" s="138"/>
      <c r="R134" s="138"/>
      <c r="S134" s="138"/>
      <c r="T134" s="138"/>
      <c r="U134" s="138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</row>
    <row r="135" spans="1:71" s="34" customFormat="1" ht="12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137"/>
      <c r="N135" s="138"/>
      <c r="O135" s="138"/>
      <c r="P135" s="138"/>
      <c r="Q135" s="138"/>
      <c r="R135" s="138"/>
      <c r="S135" s="138"/>
      <c r="T135" s="138"/>
      <c r="U135" s="138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</row>
    <row r="136" spans="1:71" s="34" customFormat="1" ht="24.7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175</v>
      </c>
      <c r="J136" s="391"/>
      <c r="K136" s="391"/>
      <c r="L136" s="392"/>
      <c r="M136" s="137"/>
      <c r="N136" s="138"/>
      <c r="O136" s="138"/>
      <c r="P136" s="138"/>
      <c r="Q136" s="138"/>
      <c r="R136" s="138"/>
      <c r="S136" s="138"/>
      <c r="T136" s="138"/>
      <c r="U136" s="138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</row>
    <row r="137" spans="1:71" s="34" customFormat="1" ht="44.2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204</v>
      </c>
      <c r="J137" s="391"/>
      <c r="K137" s="391"/>
      <c r="L137" s="392"/>
      <c r="M137" s="137"/>
      <c r="N137" s="138"/>
      <c r="O137" s="138"/>
      <c r="P137" s="138"/>
      <c r="Q137" s="138"/>
      <c r="R137" s="138"/>
      <c r="S137" s="138"/>
      <c r="T137" s="138"/>
      <c r="U137" s="138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</row>
    <row r="138" spans="1:71" s="34" customFormat="1" ht="54.75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203</v>
      </c>
      <c r="J138" s="391"/>
      <c r="K138" s="391"/>
      <c r="L138" s="392"/>
      <c r="M138" s="137"/>
      <c r="N138" s="138"/>
      <c r="O138" s="138"/>
      <c r="P138" s="138"/>
      <c r="Q138" s="138"/>
      <c r="R138" s="138"/>
      <c r="S138" s="138"/>
      <c r="T138" s="138"/>
      <c r="U138" s="138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</row>
    <row r="139" spans="1:71" s="34" customFormat="1" ht="53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203</v>
      </c>
      <c r="J139" s="391"/>
      <c r="K139" s="391"/>
      <c r="L139" s="392"/>
      <c r="M139" s="137"/>
      <c r="N139" s="138"/>
      <c r="O139" s="138"/>
      <c r="P139" s="138"/>
      <c r="Q139" s="138"/>
      <c r="R139" s="138"/>
      <c r="S139" s="138"/>
      <c r="T139" s="138"/>
      <c r="U139" s="138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</row>
    <row r="140" spans="1:71" s="34" customFormat="1" ht="20.2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137"/>
      <c r="N140" s="138"/>
      <c r="O140" s="138"/>
      <c r="P140" s="138"/>
      <c r="Q140" s="138"/>
      <c r="R140" s="138"/>
      <c r="S140" s="138"/>
      <c r="T140" s="138"/>
      <c r="U140" s="138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</row>
    <row r="141" spans="1:71" s="34" customFormat="1" ht="19.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137"/>
      <c r="N141" s="138"/>
      <c r="O141" s="138"/>
      <c r="P141" s="138"/>
      <c r="Q141" s="138"/>
      <c r="R141" s="138"/>
      <c r="S141" s="138"/>
      <c r="T141" s="138"/>
      <c r="U141" s="138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</row>
    <row r="142" spans="1:71" s="34" customFormat="1" ht="20.2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137"/>
      <c r="N142" s="138"/>
      <c r="O142" s="138"/>
      <c r="P142" s="138"/>
      <c r="Q142" s="138"/>
      <c r="R142" s="138"/>
      <c r="S142" s="138"/>
      <c r="T142" s="138"/>
      <c r="U142" s="138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</row>
    <row r="143" spans="1:71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137"/>
      <c r="N143" s="138"/>
      <c r="O143" s="138"/>
      <c r="P143" s="138"/>
      <c r="Q143" s="138"/>
      <c r="R143" s="138"/>
      <c r="S143" s="138"/>
      <c r="T143" s="138"/>
      <c r="U143" s="138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</row>
    <row r="144" spans="1:71" s="34" customFormat="1" ht="44.25" customHeight="1">
      <c r="A144" s="32"/>
      <c r="B144" s="390" t="s">
        <v>173</v>
      </c>
      <c r="C144" s="391"/>
      <c r="D144" s="391"/>
      <c r="E144" s="391"/>
      <c r="F144" s="391"/>
      <c r="G144" s="391"/>
      <c r="H144" s="392"/>
      <c r="I144" s="390" t="s">
        <v>208</v>
      </c>
      <c r="J144" s="391"/>
      <c r="K144" s="391"/>
      <c r="L144" s="392"/>
      <c r="M144" s="137"/>
      <c r="N144" s="138"/>
      <c r="O144" s="138"/>
      <c r="P144" s="138"/>
      <c r="Q144" s="138"/>
      <c r="R144" s="138"/>
      <c r="S144" s="138"/>
      <c r="T144" s="138"/>
      <c r="U144" s="138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</row>
    <row r="145" spans="1:71" s="34" customFormat="1" ht="50.25" customHeight="1">
      <c r="A145" s="32"/>
      <c r="B145" s="390" t="s">
        <v>171</v>
      </c>
      <c r="C145" s="391"/>
      <c r="D145" s="391"/>
      <c r="E145" s="391"/>
      <c r="F145" s="391"/>
      <c r="G145" s="391"/>
      <c r="H145" s="392"/>
      <c r="I145" s="390" t="s">
        <v>205</v>
      </c>
      <c r="J145" s="391"/>
      <c r="K145" s="391"/>
      <c r="L145" s="392"/>
      <c r="M145" s="137"/>
      <c r="N145" s="138"/>
      <c r="O145" s="138"/>
      <c r="P145" s="138"/>
      <c r="Q145" s="138"/>
      <c r="R145" s="138"/>
      <c r="S145" s="138"/>
      <c r="T145" s="138"/>
      <c r="U145" s="138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</row>
    <row r="146" spans="1:71" s="34" customFormat="1" ht="58.5" customHeight="1">
      <c r="A146" s="32"/>
      <c r="B146" s="387" t="s">
        <v>184</v>
      </c>
      <c r="C146" s="388"/>
      <c r="D146" s="388"/>
      <c r="E146" s="388"/>
      <c r="F146" s="388"/>
      <c r="G146" s="388"/>
      <c r="H146" s="389"/>
      <c r="I146" s="390" t="s">
        <v>206</v>
      </c>
      <c r="J146" s="391"/>
      <c r="K146" s="391"/>
      <c r="L146" s="392"/>
      <c r="M146" s="137"/>
      <c r="N146" s="138"/>
      <c r="O146" s="138"/>
      <c r="P146" s="138"/>
      <c r="Q146" s="138"/>
      <c r="R146" s="138"/>
      <c r="S146" s="138"/>
      <c r="T146" s="138"/>
      <c r="U146" s="138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</row>
    <row r="147" spans="1:71" s="34" customFormat="1" ht="60.75" customHeight="1">
      <c r="A147" s="32"/>
      <c r="B147" s="390" t="s">
        <v>172</v>
      </c>
      <c r="C147" s="391"/>
      <c r="D147" s="391"/>
      <c r="E147" s="391"/>
      <c r="F147" s="391"/>
      <c r="G147" s="391"/>
      <c r="H147" s="392"/>
      <c r="I147" s="390" t="s">
        <v>207</v>
      </c>
      <c r="J147" s="391"/>
      <c r="K147" s="391"/>
      <c r="L147" s="392"/>
      <c r="M147" s="137"/>
      <c r="N147" s="138"/>
      <c r="O147" s="138"/>
      <c r="P147" s="138"/>
      <c r="Q147" s="138"/>
      <c r="R147" s="138"/>
      <c r="S147" s="138"/>
      <c r="T147" s="138"/>
      <c r="U147" s="138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</row>
    <row r="148" spans="1:71" s="34" customFormat="1" ht="72.7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137"/>
      <c r="N148" s="138"/>
      <c r="O148" s="138"/>
      <c r="P148" s="138"/>
      <c r="Q148" s="138"/>
      <c r="R148" s="138"/>
      <c r="S148" s="138"/>
      <c r="T148" s="138"/>
      <c r="U148" s="138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</row>
    <row r="149" spans="1:71" s="34" customFormat="1" ht="35.2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137"/>
      <c r="N149" s="138"/>
      <c r="O149" s="138"/>
      <c r="P149" s="138"/>
      <c r="Q149" s="138"/>
      <c r="R149" s="138"/>
      <c r="S149" s="138"/>
      <c r="T149" s="138"/>
      <c r="U149" s="138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</row>
    <row r="150" spans="1:71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71" ht="16.5" thickBot="1">
      <c r="A151" s="2"/>
      <c r="B151" s="396">
        <f ca="1">IF(A151=0,TODAY(),A151)</f>
        <v>45294</v>
      </c>
      <c r="C151" s="396"/>
      <c r="D151" s="398"/>
      <c r="E151" s="398"/>
      <c r="F151" s="398"/>
      <c r="G151" s="385" t="str">
        <f>D7</f>
        <v>Иванов И.И.</v>
      </c>
      <c r="H151" s="385"/>
      <c r="I151" s="123"/>
      <c r="J151" s="123"/>
      <c r="K151" s="123"/>
      <c r="L151" s="123"/>
    </row>
    <row r="152" spans="1:7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7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7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7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7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7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71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7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7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C7A8" sheet="1"/>
  <mergeCells count="234">
    <mergeCell ref="I147:L147"/>
    <mergeCell ref="B145:H145"/>
    <mergeCell ref="I145:L145"/>
    <mergeCell ref="B146:H146"/>
    <mergeCell ref="I146:L146"/>
    <mergeCell ref="B147:H147"/>
    <mergeCell ref="B118:L118"/>
    <mergeCell ref="H158:R158"/>
    <mergeCell ref="B150:L150"/>
    <mergeCell ref="B148:L148"/>
    <mergeCell ref="B149:L149"/>
    <mergeCell ref="B151:C151"/>
    <mergeCell ref="D151:F151"/>
    <mergeCell ref="G151:H151"/>
    <mergeCell ref="B132:L132"/>
    <mergeCell ref="B128:L128"/>
    <mergeCell ref="B139:H139"/>
    <mergeCell ref="I139:L139"/>
    <mergeCell ref="B138:H138"/>
    <mergeCell ref="B144:H144"/>
    <mergeCell ref="I144:L144"/>
    <mergeCell ref="B142:L142"/>
    <mergeCell ref="B143:H143"/>
    <mergeCell ref="B140:L140"/>
    <mergeCell ref="I143:L143"/>
    <mergeCell ref="B133:L133"/>
    <mergeCell ref="B125:L125"/>
    <mergeCell ref="B126:L126"/>
    <mergeCell ref="B141:L141"/>
    <mergeCell ref="B137:H137"/>
    <mergeCell ref="I137:L137"/>
    <mergeCell ref="B119:L119"/>
    <mergeCell ref="B134:L134"/>
    <mergeCell ref="B136:H136"/>
    <mergeCell ref="I136:L136"/>
    <mergeCell ref="B123:L123"/>
    <mergeCell ref="B130:L130"/>
    <mergeCell ref="B120:L120"/>
    <mergeCell ref="B129:L129"/>
    <mergeCell ref="B131:L131"/>
    <mergeCell ref="B135:L135"/>
    <mergeCell ref="I138:L138"/>
    <mergeCell ref="B107:L107"/>
    <mergeCell ref="B108:L108"/>
    <mergeCell ref="B117:L117"/>
    <mergeCell ref="B115:L115"/>
    <mergeCell ref="B127:L127"/>
    <mergeCell ref="B122:L122"/>
    <mergeCell ref="B124:L124"/>
    <mergeCell ref="B121:L121"/>
    <mergeCell ref="P94:Q94"/>
    <mergeCell ref="B96:H96"/>
    <mergeCell ref="B116:L116"/>
    <mergeCell ref="B113:L113"/>
    <mergeCell ref="B114:L114"/>
    <mergeCell ref="B111:L111"/>
    <mergeCell ref="B100:L100"/>
    <mergeCell ref="B110:L110"/>
    <mergeCell ref="B95:J95"/>
    <mergeCell ref="B98:L98"/>
    <mergeCell ref="B112:L112"/>
    <mergeCell ref="B106:L106"/>
    <mergeCell ref="B97:L97"/>
    <mergeCell ref="B105:L105"/>
    <mergeCell ref="B109:L109"/>
    <mergeCell ref="B101:L101"/>
    <mergeCell ref="B104:L104"/>
    <mergeCell ref="B102:L102"/>
    <mergeCell ref="B103:L103"/>
    <mergeCell ref="B99:L99"/>
    <mergeCell ref="B71:C71"/>
    <mergeCell ref="D71:E71"/>
    <mergeCell ref="D77:E77"/>
    <mergeCell ref="B75:C75"/>
    <mergeCell ref="D73:E73"/>
    <mergeCell ref="B74:C74"/>
    <mergeCell ref="D74:E74"/>
    <mergeCell ref="B77:C77"/>
    <mergeCell ref="B72:C72"/>
    <mergeCell ref="D72:E72"/>
    <mergeCell ref="B70:C70"/>
    <mergeCell ref="D78:E78"/>
    <mergeCell ref="B76:C76"/>
    <mergeCell ref="D76:E76"/>
    <mergeCell ref="D75:E75"/>
    <mergeCell ref="B78:C78"/>
    <mergeCell ref="D70:E70"/>
    <mergeCell ref="B81:C81"/>
    <mergeCell ref="D81:E81"/>
    <mergeCell ref="N94:O94"/>
    <mergeCell ref="B80:C80"/>
    <mergeCell ref="D80:E80"/>
    <mergeCell ref="B79:C79"/>
    <mergeCell ref="D79:E79"/>
    <mergeCell ref="D83:E83"/>
    <mergeCell ref="B85:C85"/>
    <mergeCell ref="B73:C73"/>
    <mergeCell ref="B92:L92"/>
    <mergeCell ref="B82:C82"/>
    <mergeCell ref="D82:E82"/>
    <mergeCell ref="B93:L93"/>
    <mergeCell ref="B89:H89"/>
    <mergeCell ref="D84:E84"/>
    <mergeCell ref="D85:E85"/>
    <mergeCell ref="D86:E86"/>
    <mergeCell ref="B84:C84"/>
    <mergeCell ref="B87:L87"/>
    <mergeCell ref="B83:C83"/>
    <mergeCell ref="B86:C86"/>
    <mergeCell ref="B61:C61"/>
    <mergeCell ref="D61:E61"/>
    <mergeCell ref="B62:C62"/>
    <mergeCell ref="D62:E62"/>
    <mergeCell ref="B66:C66"/>
    <mergeCell ref="B69:C69"/>
    <mergeCell ref="D68:E68"/>
    <mergeCell ref="B63:C63"/>
    <mergeCell ref="D63:E63"/>
    <mergeCell ref="B65:C65"/>
    <mergeCell ref="D69:E69"/>
    <mergeCell ref="D67:E67"/>
    <mergeCell ref="B68:C68"/>
    <mergeCell ref="D66:E66"/>
    <mergeCell ref="D65:E65"/>
    <mergeCell ref="B64:C64"/>
    <mergeCell ref="D64:E64"/>
    <mergeCell ref="B67:C67"/>
    <mergeCell ref="B60:C60"/>
    <mergeCell ref="D60:E60"/>
    <mergeCell ref="B59:C59"/>
    <mergeCell ref="D59:E59"/>
    <mergeCell ref="D55:E55"/>
    <mergeCell ref="B57:C57"/>
    <mergeCell ref="D57:E57"/>
    <mergeCell ref="B56:C56"/>
    <mergeCell ref="D56:E56"/>
    <mergeCell ref="B58:C58"/>
    <mergeCell ref="D58:E58"/>
    <mergeCell ref="B55:C55"/>
    <mergeCell ref="I23:L23"/>
    <mergeCell ref="D19:F19"/>
    <mergeCell ref="B13:C13"/>
    <mergeCell ref="D54:E54"/>
    <mergeCell ref="B29:C29"/>
    <mergeCell ref="B27:C27"/>
    <mergeCell ref="B30:C30"/>
    <mergeCell ref="B31:C31"/>
    <mergeCell ref="D20:F20"/>
    <mergeCell ref="D21:F21"/>
    <mergeCell ref="B18:C18"/>
    <mergeCell ref="B17:C17"/>
    <mergeCell ref="D26:E26"/>
    <mergeCell ref="D24:E24"/>
    <mergeCell ref="D25:E25"/>
    <mergeCell ref="D27:E27"/>
    <mergeCell ref="B23:C24"/>
    <mergeCell ref="D23:H23"/>
    <mergeCell ref="B25:C25"/>
    <mergeCell ref="B26:C26"/>
    <mergeCell ref="D16:E16"/>
    <mergeCell ref="B28:C28"/>
    <mergeCell ref="B33:C33"/>
    <mergeCell ref="D38:E38"/>
    <mergeCell ref="M12:P12"/>
    <mergeCell ref="D12:E12"/>
    <mergeCell ref="D17:F17"/>
    <mergeCell ref="B16:C16"/>
    <mergeCell ref="B12:C12"/>
    <mergeCell ref="D15:E15"/>
    <mergeCell ref="D13:F13"/>
    <mergeCell ref="D22:E22"/>
    <mergeCell ref="N1:Q1"/>
    <mergeCell ref="B7:C7"/>
    <mergeCell ref="D7:F7"/>
    <mergeCell ref="B5:I5"/>
    <mergeCell ref="F1:H4"/>
    <mergeCell ref="M11:P11"/>
    <mergeCell ref="B8:C8"/>
    <mergeCell ref="D8:F8"/>
    <mergeCell ref="B11:C11"/>
    <mergeCell ref="B10:C10"/>
    <mergeCell ref="D10:E10"/>
    <mergeCell ref="D11:E11"/>
    <mergeCell ref="B14:C14"/>
    <mergeCell ref="B15:C15"/>
    <mergeCell ref="D14:E14"/>
    <mergeCell ref="D18:F18"/>
    <mergeCell ref="D32:E32"/>
    <mergeCell ref="D33:E33"/>
    <mergeCell ref="D29:E29"/>
    <mergeCell ref="D34:E34"/>
    <mergeCell ref="B35:C35"/>
    <mergeCell ref="D35:E35"/>
    <mergeCell ref="D28:E28"/>
    <mergeCell ref="B32:C32"/>
    <mergeCell ref="B34:C34"/>
    <mergeCell ref="D30:E30"/>
    <mergeCell ref="D31:E31"/>
    <mergeCell ref="B38:C38"/>
    <mergeCell ref="B36:C36"/>
    <mergeCell ref="D36:E36"/>
    <mergeCell ref="D37:E37"/>
    <mergeCell ref="B37:C37"/>
    <mergeCell ref="B44:C44"/>
    <mergeCell ref="D44:E44"/>
    <mergeCell ref="B41:C41"/>
    <mergeCell ref="D41:E41"/>
    <mergeCell ref="B53:C53"/>
    <mergeCell ref="B54:C54"/>
    <mergeCell ref="B50:C50"/>
    <mergeCell ref="D53:E53"/>
    <mergeCell ref="D50:E50"/>
    <mergeCell ref="B51:C51"/>
    <mergeCell ref="B52:C52"/>
    <mergeCell ref="D52:E52"/>
    <mergeCell ref="D51:E51"/>
    <mergeCell ref="B45:C45"/>
    <mergeCell ref="D45:E45"/>
    <mergeCell ref="B42:C42"/>
    <mergeCell ref="D42:E42"/>
    <mergeCell ref="D43:E43"/>
    <mergeCell ref="D40:E40"/>
    <mergeCell ref="B40:C40"/>
    <mergeCell ref="D39:E39"/>
    <mergeCell ref="B49:C49"/>
    <mergeCell ref="D49:E49"/>
    <mergeCell ref="B47:C47"/>
    <mergeCell ref="D47:E47"/>
    <mergeCell ref="B48:C48"/>
    <mergeCell ref="D48:E48"/>
    <mergeCell ref="B46:C46"/>
    <mergeCell ref="D46:E46"/>
    <mergeCell ref="B43:C43"/>
    <mergeCell ref="B39:C39"/>
  </mergeCells>
  <phoneticPr fontId="22" type="noConversion"/>
  <conditionalFormatting sqref="B26:C85 D48:F85 H48:H85">
    <cfRule type="expression" dxfId="656" priority="2" stopIfTrue="1">
      <formula>$N26</formula>
    </cfRule>
  </conditionalFormatting>
  <conditionalFormatting sqref="B25:H25">
    <cfRule type="expression" dxfId="655" priority="8" stopIfTrue="1">
      <formula>$N$25</formula>
    </cfRule>
  </conditionalFormatting>
  <conditionalFormatting sqref="B96:I120">
    <cfRule type="expression" dxfId="654" priority="6" stopIfTrue="1">
      <formula>A96</formula>
    </cfRule>
  </conditionalFormatting>
  <conditionalFormatting sqref="D12">
    <cfRule type="expression" dxfId="653" priority="34" stopIfTrue="1">
      <formula>$A$24</formula>
    </cfRule>
  </conditionalFormatting>
  <conditionalFormatting sqref="D10:E10">
    <cfRule type="cellIs" dxfId="652" priority="1" stopIfTrue="1" operator="greaterThan">
      <formula>7000</formula>
    </cfRule>
  </conditionalFormatting>
  <conditionalFormatting sqref="D45:F45 H45">
    <cfRule type="expression" dxfId="651" priority="31" stopIfTrue="1">
      <formula>$N$45</formula>
    </cfRule>
  </conditionalFormatting>
  <conditionalFormatting sqref="D46:F46 H46">
    <cfRule type="expression" dxfId="650" priority="32" stopIfTrue="1">
      <formula>$N$46</formula>
    </cfRule>
  </conditionalFormatting>
  <conditionalFormatting sqref="D47:F47 H47">
    <cfRule type="expression" dxfId="649" priority="33" stopIfTrue="1">
      <formula>$N$47</formula>
    </cfRule>
  </conditionalFormatting>
  <conditionalFormatting sqref="D26:H26">
    <cfRule type="expression" dxfId="648" priority="9" stopIfTrue="1">
      <formula>$N$26</formula>
    </cfRule>
  </conditionalFormatting>
  <conditionalFormatting sqref="D27:H27">
    <cfRule type="expression" dxfId="647" priority="10" stopIfTrue="1">
      <formula>$N$27</formula>
    </cfRule>
  </conditionalFormatting>
  <conditionalFormatting sqref="D28:H28">
    <cfRule type="expression" dxfId="646" priority="11" stopIfTrue="1">
      <formula>$N$28</formula>
    </cfRule>
  </conditionalFormatting>
  <conditionalFormatting sqref="D29:H29">
    <cfRule type="expression" dxfId="645" priority="12" stopIfTrue="1">
      <formula>$N$29</formula>
    </cfRule>
  </conditionalFormatting>
  <conditionalFormatting sqref="D30:H30">
    <cfRule type="expression" dxfId="644" priority="13" stopIfTrue="1">
      <formula>$N$30</formula>
    </cfRule>
  </conditionalFormatting>
  <conditionalFormatting sqref="D31:H31">
    <cfRule type="expression" dxfId="643" priority="14" stopIfTrue="1">
      <formula>$N$31</formula>
    </cfRule>
  </conditionalFormatting>
  <conditionalFormatting sqref="D32:H32">
    <cfRule type="expression" dxfId="642" priority="15" stopIfTrue="1">
      <formula>$N$32</formula>
    </cfRule>
  </conditionalFormatting>
  <conditionalFormatting sqref="D33:H33">
    <cfRule type="expression" dxfId="641" priority="16" stopIfTrue="1">
      <formula>$N$33</formula>
    </cfRule>
  </conditionalFormatting>
  <conditionalFormatting sqref="D34:H34">
    <cfRule type="expression" dxfId="640" priority="17" stopIfTrue="1">
      <formula>$N$34</formula>
    </cfRule>
  </conditionalFormatting>
  <conditionalFormatting sqref="D35:H35">
    <cfRule type="expression" dxfId="639" priority="18" stopIfTrue="1">
      <formula>$N$35</formula>
    </cfRule>
  </conditionalFormatting>
  <conditionalFormatting sqref="D36:H36">
    <cfRule type="expression" dxfId="638" priority="19" stopIfTrue="1">
      <formula>$N$36</formula>
    </cfRule>
  </conditionalFormatting>
  <conditionalFormatting sqref="D37:H37">
    <cfRule type="expression" dxfId="637" priority="20" stopIfTrue="1">
      <formula>$N$37</formula>
    </cfRule>
  </conditionalFormatting>
  <conditionalFormatting sqref="D38:H38">
    <cfRule type="expression" dxfId="636" priority="21" stopIfTrue="1">
      <formula>$N$38</formula>
    </cfRule>
  </conditionalFormatting>
  <conditionalFormatting sqref="D39:H39">
    <cfRule type="expression" dxfId="635" priority="22" stopIfTrue="1">
      <formula>$N$39</formula>
    </cfRule>
  </conditionalFormatting>
  <conditionalFormatting sqref="D40:H40">
    <cfRule type="expression" dxfId="634" priority="23" stopIfTrue="1">
      <formula>$N$40</formula>
    </cfRule>
  </conditionalFormatting>
  <conditionalFormatting sqref="D41:H41">
    <cfRule type="expression" dxfId="633" priority="24" stopIfTrue="1">
      <formula>$N$41</formula>
    </cfRule>
  </conditionalFormatting>
  <conditionalFormatting sqref="D42:H42">
    <cfRule type="expression" dxfId="632" priority="25" stopIfTrue="1">
      <formula>$N$42</formula>
    </cfRule>
  </conditionalFormatting>
  <conditionalFormatting sqref="D43:H43">
    <cfRule type="expression" dxfId="631" priority="29" stopIfTrue="1">
      <formula>$N$43</formula>
    </cfRule>
  </conditionalFormatting>
  <conditionalFormatting sqref="D44:H44 G45:G85">
    <cfRule type="expression" dxfId="630" priority="30" stopIfTrue="1">
      <formula>$N$44</formula>
    </cfRule>
  </conditionalFormatting>
  <conditionalFormatting sqref="F10 D11:E11">
    <cfRule type="expression" dxfId="629" priority="26" stopIfTrue="1">
      <formula>$M$5</formula>
    </cfRule>
  </conditionalFormatting>
  <conditionalFormatting sqref="G10:L10">
    <cfRule type="expression" dxfId="628" priority="28" stopIfTrue="1">
      <formula>$A$1</formula>
    </cfRule>
  </conditionalFormatting>
  <conditionalFormatting sqref="I24:K24">
    <cfRule type="expression" dxfId="627" priority="39" stopIfTrue="1">
      <formula>$D$15</formula>
    </cfRule>
  </conditionalFormatting>
  <conditionalFormatting sqref="I23:L23 L24">
    <cfRule type="expression" dxfId="626" priority="40" stopIfTrue="1">
      <formula>$D$15</formula>
    </cfRule>
  </conditionalFormatting>
  <conditionalFormatting sqref="I25:L85">
    <cfRule type="expression" dxfId="625" priority="3" stopIfTrue="1">
      <formula>$AY25</formula>
    </cfRule>
  </conditionalFormatting>
  <conditionalFormatting sqref="J96:J120">
    <cfRule type="expression" dxfId="624" priority="7" stopIfTrue="1">
      <formula>H96</formula>
    </cfRule>
  </conditionalFormatting>
  <conditionalFormatting sqref="K96:K120">
    <cfRule type="expression" dxfId="623" priority="5" stopIfTrue="1">
      <formula>H96</formula>
    </cfRule>
  </conditionalFormatting>
  <conditionalFormatting sqref="L96:L120">
    <cfRule type="expression" dxfId="622" priority="4" stopIfTrue="1">
      <formula>H96</formula>
    </cfRule>
  </conditionalFormatting>
  <dataValidations count="2">
    <dataValidation type="list" allowBlank="1" showInputMessage="1" showErrorMessage="1" sqref="D14:E14" xr:uid="{00000000-0002-0000-0300-000000000000}">
      <formula1>$AC$11:$AC$14</formula1>
    </dataValidation>
    <dataValidation type="list" allowBlank="1" showInputMessage="1" showErrorMessage="1" sqref="D15:E15" xr:uid="{00000000-0002-0000-0300-000001000000}">
      <formula1>$AD$10:$AD$11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K176"/>
  <sheetViews>
    <sheetView topLeftCell="A53" zoomScale="90" zoomScaleNormal="100" workbookViewId="0">
      <selection activeCell="B136" sqref="B136:H136"/>
    </sheetView>
  </sheetViews>
  <sheetFormatPr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6.5703125" style="21" customWidth="1"/>
    <col min="7" max="7" width="16.5703125" style="21" hidden="1" customWidth="1"/>
    <col min="8" max="8" width="20.5703125" style="21" customWidth="1"/>
    <col min="9" max="10" width="16.5703125" style="21" customWidth="1"/>
    <col min="11" max="11" width="16.5703125" style="21" hidden="1" customWidth="1"/>
    <col min="12" max="12" width="21.7109375" style="21" customWidth="1"/>
    <col min="13" max="38" width="20.7109375" style="4" customWidth="1"/>
    <col min="39" max="39" width="3.28515625" style="4" bestFit="1" customWidth="1"/>
    <col min="40" max="41" width="5.5703125" style="4" bestFit="1" customWidth="1"/>
    <col min="42" max="42" width="2.140625" style="4" bestFit="1" customWidth="1"/>
    <col min="43" max="45" width="3.28515625" style="4" bestFit="1" customWidth="1"/>
    <col min="46" max="46" width="0" style="4" hidden="1" customWidth="1"/>
    <col min="47" max="47" width="8.85546875" style="4" bestFit="1" customWidth="1"/>
    <col min="48" max="48" width="11" style="4" bestFit="1" customWidth="1"/>
    <col min="49" max="51" width="2.140625" style="4" bestFit="1" customWidth="1"/>
    <col min="52" max="56" width="9.140625" style="4"/>
    <col min="57" max="66" width="9.140625" style="19"/>
    <col min="67" max="141" width="9.140625" style="20"/>
    <col min="142" max="16384" width="9.140625" style="21"/>
  </cols>
  <sheetData>
    <row r="1" spans="1:30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30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30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30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30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30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0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30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30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AD9" s="4">
        <v>0</v>
      </c>
    </row>
    <row r="10" spans="1:30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49">
        <v>70000000</v>
      </c>
      <c r="E10" s="450"/>
      <c r="F10" s="11" t="s">
        <v>189</v>
      </c>
      <c r="G10" s="12" t="s">
        <v>7</v>
      </c>
      <c r="H10" s="13">
        <f ca="1">F22+G22+A92+D10</f>
        <v>94558340</v>
      </c>
      <c r="I10" s="40"/>
      <c r="J10" s="40"/>
      <c r="K10" s="40"/>
      <c r="L10" s="40"/>
      <c r="T10" s="4">
        <f>IF(D14=12,IF(D15&lt;=6,0,1),0)</f>
        <v>0</v>
      </c>
      <c r="AC10" s="4">
        <v>12</v>
      </c>
      <c r="AD10" s="4">
        <v>6</v>
      </c>
    </row>
    <row r="11" spans="1:30" ht="14.25">
      <c r="A11" s="7"/>
      <c r="B11" s="408" t="s">
        <v>8</v>
      </c>
      <c r="C11" s="409"/>
      <c r="D11" s="413">
        <v>60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">
        <f ca="1">IF(DAY(D16)=31,31,30)</f>
        <v>30</v>
      </c>
      <c r="AC11" s="4">
        <v>24</v>
      </c>
      <c r="AD11" s="4">
        <v>12</v>
      </c>
    </row>
    <row r="12" spans="1:30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2</v>
      </c>
      <c r="AC12" s="4">
        <v>36</v>
      </c>
      <c r="AD12" s="4">
        <v>6</v>
      </c>
    </row>
    <row r="13" spans="1:30" ht="29.2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AC13" s="4">
        <v>48</v>
      </c>
    </row>
    <row r="14" spans="1:30" ht="15" customHeight="1">
      <c r="A14" s="17">
        <f ca="1">IF(DAY(D16)&lt;=21,D14,D14+1)</f>
        <v>12</v>
      </c>
      <c r="B14" s="408" t="s">
        <v>13</v>
      </c>
      <c r="C14" s="409"/>
      <c r="D14" s="413">
        <v>12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12</v>
      </c>
      <c r="AC14" s="4">
        <v>60</v>
      </c>
    </row>
    <row r="15" spans="1:30" ht="15" customHeight="1">
      <c r="A15" s="82"/>
      <c r="B15" s="309" t="s">
        <v>139</v>
      </c>
      <c r="C15" s="310"/>
      <c r="D15" s="355">
        <v>6</v>
      </c>
      <c r="E15" s="356"/>
      <c r="F15" s="14" t="str">
        <f>IF(D15&gt;4,"месяцев",IF(D15&gt;1,"месяца",IF(D15=1,"месяц","месяцев")))</f>
        <v>месяцев</v>
      </c>
      <c r="G15" s="4"/>
      <c r="H15" s="4"/>
      <c r="I15" s="4"/>
      <c r="J15" s="4"/>
      <c r="K15" s="4"/>
      <c r="L15" s="4"/>
    </row>
    <row r="16" spans="1:30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6</v>
      </c>
    </row>
    <row r="17" spans="1:141" ht="13.5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>
      <c r="A20" s="4"/>
      <c r="B20" s="4"/>
      <c r="C20" s="4"/>
      <c r="D20" s="272" t="s">
        <v>17</v>
      </c>
      <c r="E20" s="272"/>
      <c r="F20" s="272"/>
      <c r="G20" s="4"/>
      <c r="H20" s="4"/>
      <c r="I20" s="4"/>
      <c r="J20" s="4"/>
      <c r="K20" s="4"/>
      <c r="L20" s="4"/>
    </row>
    <row r="21" spans="1:14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>
      <c r="A22" s="4"/>
      <c r="B22" s="4"/>
      <c r="C22" s="4"/>
      <c r="D22" s="404">
        <f ca="1">SUM(D25:E85)</f>
        <v>140000000</v>
      </c>
      <c r="E22" s="272"/>
      <c r="F22" s="22">
        <f ca="1">SUM(F25:F86)/2</f>
        <v>24558340</v>
      </c>
      <c r="G22" s="22">
        <v>0</v>
      </c>
      <c r="H22" s="22">
        <f ca="1">SUM(H25:H72)</f>
        <v>189116680</v>
      </c>
      <c r="I22" s="22"/>
      <c r="J22" s="22"/>
      <c r="K22" s="22"/>
      <c r="L22" s="22"/>
    </row>
    <row r="23" spans="1:141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рублей",IF(AW25&lt;=5,ROUND(AU25,0)-AW25,ROUND(AU25,0)+AX25)," ")))</f>
        <v>5833330</v>
      </c>
      <c r="E25" s="443"/>
      <c r="F25" s="84">
        <f ca="1">IF(M1=1,P25,IF(M1=2,Q25," "))</f>
        <v>3150000</v>
      </c>
      <c r="G25" s="84">
        <v>0</v>
      </c>
      <c r="H25" s="84">
        <f ca="1">SUM(D25:G25)+A87</f>
        <v>8983330</v>
      </c>
      <c r="I25" s="84">
        <f ca="1">T25</f>
        <v>5833330</v>
      </c>
      <c r="J25" s="84">
        <f t="shared" ref="J25:J56" ca="1" si="0">AA25</f>
        <v>3150000</v>
      </c>
      <c r="K25" s="84">
        <v>0</v>
      </c>
      <c r="L25" s="84">
        <f ca="1">SUM(I25:K25)+A87</f>
        <v>8983330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3150000</v>
      </c>
      <c r="Q25" s="22">
        <f t="shared" ref="Q25:Q56" ca="1" si="3">IF(V25&lt;&gt;0,IF(VALUE(RIGHT(ROUND(V25,0)))&lt;=5,ROUND(V25,0)-VALUE(RIGHT(ROUND(V25,0))),ROUND(V25,0)+10-VALUE(RIGHT(ROUND(V25,0)))),0)</f>
        <v>3150000</v>
      </c>
      <c r="R25" s="22">
        <f>D10</f>
        <v>70000000</v>
      </c>
      <c r="S25" s="22">
        <f ca="1">IF(N25=0,0,IF(F10="USD",ROUND(D10/M14,2),IF(F10="бел. рублей",IF(AW25&lt;=5,ROUND(AU25,0)-AW25,ROUND(AU25,0)+AX25)," ")))</f>
        <v>5833330</v>
      </c>
      <c r="T25" s="22">
        <f ca="1">IF(N25=0,0,IF(F10="USD",ROUND(D10/M14,2),IF(F10="бел. рублей",IF(AW25&lt;=5,ROUND(AU25,0)-AW25,ROUND(AU25,0)+AX25)," ")))</f>
        <v>5833330</v>
      </c>
      <c r="U25" s="22">
        <f ca="1">R25*Q11*D11/36000</f>
        <v>3150000</v>
      </c>
      <c r="V25" s="22">
        <f ca="1">R25*Q11*D11/36000</f>
        <v>3150000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3150000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3150000</v>
      </c>
      <c r="Y25" s="22">
        <f t="shared" ref="Y25:Y56" si="4">IF(M25&lt;=(D$15+1),D$10,Y24-I24)</f>
        <v>70000000</v>
      </c>
      <c r="Z25" s="22">
        <f ca="1">Y25*Q11*D11/36000</f>
        <v>3150000</v>
      </c>
      <c r="AA25" s="22">
        <f t="shared" ref="AA25:AA56" ca="1" si="5">IF(Z25&lt;&gt;0,IF(VALUE(RIGHT(ROUND(Z25,0)))&lt;=5,ROUND(Z25,0)-VALUE(RIGHT(ROUND(Z25,0))),ROUND(Z25,0)+10-VALUE(RIGHT(ROUND(Z25,0)))),0)</f>
        <v>3150000</v>
      </c>
      <c r="AB25" s="22">
        <f ca="1">R25*Q11</f>
        <v>1890000000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70000000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2</v>
      </c>
      <c r="AM25" s="69">
        <f t="shared" ref="AM25:AM56" ca="1" si="11">IF(AL25=13,1,AL25)</f>
        <v>2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29</v>
      </c>
      <c r="AR25" s="4">
        <f t="shared" ref="AR25:AR56" si="15">IF(C$24=30,AQ25,20)</f>
        <v>20</v>
      </c>
      <c r="AS25" s="4"/>
      <c r="AT25" s="4"/>
      <c r="AU25" s="4">
        <f ca="1">IF(N25=0,0,IF(F10="USD",ROUND(D10/M14,2),IF(F10="бел. рублей",ROUND(D10/M14,0)," ")))</f>
        <v>5833333</v>
      </c>
      <c r="AV25" s="69" t="str">
        <f ca="1">RIGHT(AU25)</f>
        <v>3</v>
      </c>
      <c r="AW25" s="4">
        <f ca="1">VALUE(AV25)</f>
        <v>3</v>
      </c>
      <c r="AX25" s="4">
        <f ca="1">10-AW25</f>
        <v>7</v>
      </c>
      <c r="AY25" s="4">
        <f t="shared" ref="AY25:AY56" ca="1" si="16">IF(D$15=0,0,IF(N25=1,1,0))</f>
        <v>1</v>
      </c>
      <c r="AZ25" s="4"/>
      <c r="BA25" s="4"/>
      <c r="BB25" s="4"/>
      <c r="BC25" s="4"/>
      <c r="BD25" s="4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5833330</v>
      </c>
      <c r="E26" s="443"/>
      <c r="F26" s="84">
        <f ca="1">IF(N26=0,IF(N25=1,F25," "),IF(M1=1,P26,IF(M1=2,Q26," ")))</f>
        <v>3402780</v>
      </c>
      <c r="G26" s="84">
        <v>0</v>
      </c>
      <c r="H26" s="84">
        <f t="shared" ref="H26:H57" ca="1" si="19">IF(SUM(D26:G26)=0," ",SUM(D26:G26))</f>
        <v>9236110</v>
      </c>
      <c r="I26" s="84">
        <f t="shared" ref="I26:I57" ca="1" si="20">IF(N26=1,IF(N27=1,IF(M26&lt;=D$15,T26,AV$26),D$10-AV$26*M$16+AV$26),0)</f>
        <v>6363640</v>
      </c>
      <c r="J26" s="84">
        <f t="shared" ca="1" si="0"/>
        <v>3500000</v>
      </c>
      <c r="K26" s="84">
        <v>0</v>
      </c>
      <c r="L26" s="84">
        <f t="shared" ref="L26:L57" ca="1" si="21">IF(SUM(I26:K26)=0," ",SUM(I26:K26))</f>
        <v>9863640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3402780</v>
      </c>
      <c r="Q26" s="22">
        <f t="shared" ca="1" si="3"/>
        <v>3402780</v>
      </c>
      <c r="R26" s="22">
        <f t="shared" ref="R26:R57" ca="1" si="23">IF(N26=0,0,R25-D25)</f>
        <v>64166670</v>
      </c>
      <c r="S26" s="22">
        <f t="shared" ref="S26:S57" si="24">IF(M26&lt;=D$15,D$10/(D$14-M25),D26)</f>
        <v>6363636.3636363633</v>
      </c>
      <c r="T26" s="22">
        <f t="shared" ref="T26:T57" si="25">IF(S26&lt;&gt;0,IF(VALUE(RIGHT(ROUND(S26,0)))&lt;=5,ROUND(S26,0)-VALUE(RIGHT(ROUND(S26,0))),ROUND(S26,0)+10-VALUE(RIGHT(ROUND(S26,0)))),0)</f>
        <v>6363640</v>
      </c>
      <c r="U26" s="22">
        <f ca="1">IF(N27=1,R25*D11*20/36000+R26*D11*10/36000,IF(N27=0,IF(N26=0,0,R26*D11*Q12/36000+R25*D11*20/36000+R26*D11*10/36000)))</f>
        <v>3402777.8333333335</v>
      </c>
      <c r="V26" s="22">
        <f ca="1">IF(N27=1,R25*D11*20/36000+R26*D11*10/36000,IF(N27=0,IF(N26=0,0,R26*D11*Q12/36000+R25*D11*20/36000+R26*D11*10/36000)))</f>
        <v>3402777.8333333335</v>
      </c>
      <c r="W26" s="22">
        <f t="shared" ref="W26:W57" ca="1" si="26">IF(N27=1,$D$10*$D$11*20/36000+$D$10*$D$11*10/36000,IF(N27=0,IF(N26=0,0,$D$10*$D$11*$Q$12/36000+$D$10*$D$11*20/36000+$D$10*$D$11*10/36000)))</f>
        <v>3500000</v>
      </c>
      <c r="X26" s="22">
        <f t="shared" ref="X26:X57" ca="1" si="27">IF(W26&lt;&gt;0,IF(VALUE(RIGHT(ROUND(W26,0)))&lt;=5,ROUND(W26,0)-VALUE(RIGHT(ROUND(W26,0))),ROUND(W26,0)+10-VALUE(RIGHT(ROUND(W26,0)))),0)</f>
        <v>3500000</v>
      </c>
      <c r="Y26" s="22">
        <f t="shared" si="4"/>
        <v>70000000</v>
      </c>
      <c r="Z26" s="22">
        <f ca="1">IF(N27=1,Y25*D$11*20/36000+Y26*D$11*10/36000,IF(N27=0,IF(N26=0,0,Y26*D$11*Q$12/36000+Y25*D$11*20/36000+Y26*D$11*10/36000)))</f>
        <v>3500000</v>
      </c>
      <c r="AA26" s="22">
        <f t="shared" ca="1" si="5"/>
        <v>3500000</v>
      </c>
      <c r="AB26" s="22">
        <f ca="1">IF(R27=0,R26*Q12,(R25*20+R26*10))</f>
        <v>2041666700</v>
      </c>
      <c r="AC26" s="22">
        <f t="shared" ca="1" si="6"/>
        <v>0</v>
      </c>
      <c r="AD26" s="22">
        <f t="shared" ca="1" si="7"/>
        <v>0</v>
      </c>
      <c r="AE26" s="22">
        <f t="shared" ref="AE26:AE57" ca="1" si="28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29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64166670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0">IF(N26=0,0,MONTH(B25)+1)</f>
        <v>3</v>
      </c>
      <c r="AM26" s="69">
        <f t="shared" ca="1" si="11"/>
        <v>3</v>
      </c>
      <c r="AN26" s="4">
        <f t="shared" ref="AN26:AN57" ca="1" si="31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29</v>
      </c>
      <c r="AT26" s="4"/>
      <c r="AU26" s="4">
        <f ca="1">ROUNDUP(D$10/(A$14-D$15),0)</f>
        <v>11666667</v>
      </c>
      <c r="AV26" s="22">
        <f ca="1">IF(AU26&lt;&gt;0,IF(VALUE(RIGHT(ROUND(AU26,0)))&lt;=5,ROUND(AU26,0)-VALUE(RIGHT(ROUND(AU26,0))),ROUND(AU26,0)+10-VALUE(RIGHT(ROUND(AU26,0)))),0)</f>
        <v>11666670</v>
      </c>
      <c r="AW26" s="4"/>
      <c r="AX26" s="4"/>
      <c r="AY26" s="4">
        <f t="shared" ca="1" si="16"/>
        <v>1</v>
      </c>
      <c r="AZ26" s="4"/>
      <c r="BA26" s="4"/>
      <c r="BB26" s="4"/>
      <c r="BC26" s="4"/>
      <c r="BD26" s="4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45402</v>
      </c>
      <c r="C27" s="401"/>
      <c r="D27" s="443">
        <f ca="1">IF(N27=0,IF(N26=1,D25+D26," "),IF(N27=0,0,IF(N28=1,D25,IF(N28=0,D10-D25*(M14-1)," "))))</f>
        <v>5833330</v>
      </c>
      <c r="E27" s="443"/>
      <c r="F27" s="84">
        <f ca="1">IF(N27=0,IF(N26=1,F25+F26," "),IF(M1=1,P27,IF(M1=2,Q27," ")))</f>
        <v>3111110</v>
      </c>
      <c r="G27" s="84">
        <v>0</v>
      </c>
      <c r="H27" s="84">
        <f t="shared" ca="1" si="19"/>
        <v>8944440</v>
      </c>
      <c r="I27" s="84">
        <f t="shared" ca="1" si="20"/>
        <v>7000000</v>
      </c>
      <c r="J27" s="84">
        <f t="shared" ca="1" si="0"/>
        <v>3500000</v>
      </c>
      <c r="K27" s="84">
        <v>0</v>
      </c>
      <c r="L27" s="84">
        <f t="shared" ca="1" si="21"/>
        <v>10500000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3111110</v>
      </c>
      <c r="Q27" s="22">
        <f t="shared" ca="1" si="3"/>
        <v>3111110</v>
      </c>
      <c r="R27" s="22">
        <f t="shared" ca="1" si="23"/>
        <v>58333340</v>
      </c>
      <c r="S27" s="22">
        <f t="shared" si="24"/>
        <v>7000000</v>
      </c>
      <c r="T27" s="22">
        <f t="shared" si="25"/>
        <v>7000000</v>
      </c>
      <c r="U27" s="22">
        <f ca="1">IF(N28=1,R26*D11*20/36000+R27*D11*10/36000,IF(N28=0,IF(N27=0,0,R27*D11*Q12/36000+R26*D11*20/36000+R27*D11*10/36000)))</f>
        <v>3111111.3333333335</v>
      </c>
      <c r="V27" s="22">
        <f ca="1">IF(N28=1,R26*D11*20/36000+R27*D11*10/36000,IF(N28=0,IF(N27=0,0,R27*D11*Q12/36000+R26*D11*20/36000+R27*D11*10/36000)))</f>
        <v>3111111.3333333335</v>
      </c>
      <c r="W27" s="22">
        <f t="shared" ca="1" si="26"/>
        <v>3500000</v>
      </c>
      <c r="X27" s="22">
        <f t="shared" ca="1" si="27"/>
        <v>3500000</v>
      </c>
      <c r="Y27" s="22">
        <f t="shared" si="4"/>
        <v>70000000</v>
      </c>
      <c r="Z27" s="22">
        <f ca="1">IF(N28=1,Y26*D$11*20/36000+Y27*D$11*10/36000,IF(N28=0,IF(N27=0,0,Y27*D$11*Q$12/36000+Y26*D$11*20/36000+Y27*D$11*10/36000)))</f>
        <v>3500000</v>
      </c>
      <c r="AA27" s="22">
        <f t="shared" ca="1" si="5"/>
        <v>3500000</v>
      </c>
      <c r="AB27" s="22">
        <f ca="1">IF(R28=0,R27*Q12,(R26*20+R27*10))</f>
        <v>1866666800</v>
      </c>
      <c r="AC27" s="22">
        <f t="shared" ca="1" si="6"/>
        <v>0</v>
      </c>
      <c r="AD27" s="22">
        <f t="shared" ca="1" si="7"/>
        <v>0</v>
      </c>
      <c r="AE27" s="22">
        <f t="shared" ca="1" si="28"/>
        <v>0</v>
      </c>
      <c r="AF27" s="22">
        <f t="shared" ca="1" si="8"/>
        <v>0</v>
      </c>
      <c r="AG27" s="22">
        <f t="shared" ca="1" si="29"/>
        <v>0</v>
      </c>
      <c r="AH27" s="22">
        <f t="shared" ca="1" si="9"/>
        <v>0</v>
      </c>
      <c r="AI27" s="22">
        <f t="shared" ca="1" si="10"/>
        <v>58333340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0"/>
        <v>4</v>
      </c>
      <c r="AM27" s="69">
        <f t="shared" ca="1" si="11"/>
        <v>4</v>
      </c>
      <c r="AN27" s="4">
        <f t="shared" ca="1" si="31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4"/>
      <c r="AU27" s="4"/>
      <c r="AV27" s="4"/>
      <c r="AW27" s="4"/>
      <c r="AX27" s="4"/>
      <c r="AY27" s="4">
        <f t="shared" ca="1" si="16"/>
        <v>1</v>
      </c>
      <c r="AZ27" s="4"/>
      <c r="BA27" s="4"/>
      <c r="BB27" s="4"/>
      <c r="BC27" s="4"/>
      <c r="BD27" s="4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45432</v>
      </c>
      <c r="C28" s="401"/>
      <c r="D28" s="443">
        <f ca="1">IF(N28=0,IF(N27=1,D25+D26+D27," "),IF(N28=0,0,IF(N29=1,D25,IF(N29=0,D10-D25*(M14-1)," "))))</f>
        <v>5833330</v>
      </c>
      <c r="E28" s="443"/>
      <c r="F28" s="84">
        <f ca="1">IF(N28=0,IF(N27=1,F25+F26+F27," "),IF(M1=1,P28,IF(M1=2,Q28," ")))</f>
        <v>2819440</v>
      </c>
      <c r="G28" s="84">
        <v>0</v>
      </c>
      <c r="H28" s="84">
        <f t="shared" ca="1" si="19"/>
        <v>8652770</v>
      </c>
      <c r="I28" s="84">
        <f t="shared" ca="1" si="20"/>
        <v>7777780</v>
      </c>
      <c r="J28" s="84">
        <f t="shared" ca="1" si="0"/>
        <v>3500000</v>
      </c>
      <c r="K28" s="84">
        <v>0</v>
      </c>
      <c r="L28" s="84">
        <f t="shared" ca="1" si="21"/>
        <v>11277780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2819440</v>
      </c>
      <c r="Q28" s="22">
        <f t="shared" ca="1" si="3"/>
        <v>2819440</v>
      </c>
      <c r="R28" s="22">
        <f t="shared" ca="1" si="23"/>
        <v>52500010</v>
      </c>
      <c r="S28" s="22">
        <f t="shared" si="24"/>
        <v>7777777.777777778</v>
      </c>
      <c r="T28" s="22">
        <f t="shared" si="25"/>
        <v>7777780</v>
      </c>
      <c r="U28" s="22">
        <f ca="1">IF(N29=1,R27*D11*20/36000+R28*D11*10/36000,IF(N29=0,IF(N28=0,0,R28*D11*Q12/36000+R27*D11*20/36000+R28*D11*10/36000)))</f>
        <v>2819444.8333333335</v>
      </c>
      <c r="V28" s="22">
        <f ca="1">IF(N29=1,R27*D11*20/36000+R28*D11*10/36000,IF(N29=0,IF(N28=0,0,R28*D11*Q12/36000+R27*D11*20/36000+R28*D11*10/36000)))</f>
        <v>2819444.8333333335</v>
      </c>
      <c r="W28" s="22">
        <f t="shared" ca="1" si="26"/>
        <v>3500000</v>
      </c>
      <c r="X28" s="22">
        <f t="shared" ca="1" si="27"/>
        <v>3500000</v>
      </c>
      <c r="Y28" s="22">
        <f t="shared" si="4"/>
        <v>70000000</v>
      </c>
      <c r="Z28" s="22">
        <f ca="1">IF(N29=1,Y27*D$11*20/36000+Y28*D$11*10/36000,IF(N29=0,IF(N28=0,0,Y28*D$11*Q$12/36000+Y27*D$11*20/36000+Y28*D$11*10/36000)))</f>
        <v>3500000</v>
      </c>
      <c r="AA28" s="22">
        <f t="shared" ca="1" si="5"/>
        <v>3500000</v>
      </c>
      <c r="AB28" s="22">
        <f ca="1">IF(R29=0,R28*Q12,(R27*20+R28*10))</f>
        <v>1691666900</v>
      </c>
      <c r="AC28" s="22">
        <f t="shared" ca="1" si="6"/>
        <v>0</v>
      </c>
      <c r="AD28" s="22">
        <f t="shared" ca="1" si="7"/>
        <v>0</v>
      </c>
      <c r="AE28" s="22">
        <f t="shared" ca="1" si="28"/>
        <v>0</v>
      </c>
      <c r="AF28" s="22">
        <f t="shared" ca="1" si="8"/>
        <v>0</v>
      </c>
      <c r="AG28" s="22">
        <f t="shared" ca="1" si="29"/>
        <v>0</v>
      </c>
      <c r="AH28" s="22">
        <f t="shared" ca="1" si="9"/>
        <v>0</v>
      </c>
      <c r="AI28" s="22">
        <f t="shared" ca="1" si="10"/>
        <v>52500010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0"/>
        <v>5</v>
      </c>
      <c r="AM28" s="69">
        <f t="shared" ca="1" si="11"/>
        <v>5</v>
      </c>
      <c r="AN28" s="4">
        <f t="shared" ca="1" si="31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4"/>
      <c r="AU28" s="4"/>
      <c r="AV28" s="4"/>
      <c r="AW28" s="4"/>
      <c r="AX28" s="4"/>
      <c r="AY28" s="4">
        <f t="shared" ca="1" si="16"/>
        <v>1</v>
      </c>
      <c r="AZ28" s="4"/>
      <c r="BA28" s="4"/>
      <c r="BB28" s="4"/>
      <c r="BC28" s="4"/>
      <c r="BD28" s="4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45463</v>
      </c>
      <c r="C29" s="401"/>
      <c r="D29" s="443">
        <f ca="1">IF(N29=0,IF(N28=1,D25+D26+D27+D28," "),IF(N29=0,0,IF(N30=1,D25,IF(N30=0,D10-D25*(M14-1)," "))))</f>
        <v>5833330</v>
      </c>
      <c r="E29" s="443"/>
      <c r="F29" s="84">
        <f ca="1">IF(N29=0,IF(N28=1,F25+F26+F27+F28," "),IF(M1=1,P29,IF(M1=2,Q29," ")))</f>
        <v>2527780</v>
      </c>
      <c r="G29" s="84">
        <v>0</v>
      </c>
      <c r="H29" s="84">
        <f t="shared" ca="1" si="19"/>
        <v>8361110</v>
      </c>
      <c r="I29" s="84">
        <f t="shared" ca="1" si="20"/>
        <v>8750000</v>
      </c>
      <c r="J29" s="84">
        <f t="shared" ca="1" si="0"/>
        <v>3500000</v>
      </c>
      <c r="K29" s="84">
        <v>0</v>
      </c>
      <c r="L29" s="84">
        <f t="shared" ca="1" si="21"/>
        <v>12250000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2527780</v>
      </c>
      <c r="Q29" s="22">
        <f t="shared" ca="1" si="3"/>
        <v>2527780</v>
      </c>
      <c r="R29" s="22">
        <f t="shared" ca="1" si="23"/>
        <v>46666680</v>
      </c>
      <c r="S29" s="22">
        <f t="shared" si="24"/>
        <v>8750000</v>
      </c>
      <c r="T29" s="22">
        <f t="shared" si="25"/>
        <v>8750000</v>
      </c>
      <c r="U29" s="22">
        <f ca="1">IF(N30=1,R28*D11*20/36000+R29*D11*10/36000,IF(N30=0,IF(N29=0,0,R29*D11*Q12/36000+R28*D11*20/36000+R29*D11*10/36000)))</f>
        <v>2527778.333333333</v>
      </c>
      <c r="V29" s="22">
        <f ca="1">IF(N30=1,R28*D11*20/36000+R29*D11*10/36000,IF(N30=0,IF(N29=0,0,R29*D11*Q12/36000+R28*D11*20/36000+R29*D11*10/36000)))</f>
        <v>2527778.333333333</v>
      </c>
      <c r="W29" s="22">
        <f t="shared" ca="1" si="26"/>
        <v>3500000</v>
      </c>
      <c r="X29" s="22">
        <f t="shared" ca="1" si="27"/>
        <v>3500000</v>
      </c>
      <c r="Y29" s="22">
        <f t="shared" si="4"/>
        <v>70000000</v>
      </c>
      <c r="Z29" s="22">
        <f ca="1">IF(N30=1,Y28*D$11*20/36000+Y29*D$11*10/36000,IF(N30=0,IF(N29=0,0,Y29*D$11*Q$12/36000+Y28*D$11*20/36000+Y29*D$11*10/36000)))</f>
        <v>3500000</v>
      </c>
      <c r="AA29" s="22">
        <f t="shared" ca="1" si="5"/>
        <v>3500000</v>
      </c>
      <c r="AB29" s="22">
        <f ca="1">IF(R30=0,R29*Q12,(R28*20+R29*10))</f>
        <v>1516667000</v>
      </c>
      <c r="AC29" s="22">
        <f t="shared" ca="1" si="6"/>
        <v>0</v>
      </c>
      <c r="AD29" s="22">
        <f t="shared" ca="1" si="7"/>
        <v>0</v>
      </c>
      <c r="AE29" s="22">
        <f t="shared" ca="1" si="28"/>
        <v>0</v>
      </c>
      <c r="AF29" s="22">
        <f t="shared" ca="1" si="8"/>
        <v>0</v>
      </c>
      <c r="AG29" s="22">
        <f t="shared" ca="1" si="29"/>
        <v>0</v>
      </c>
      <c r="AH29" s="22">
        <f t="shared" ca="1" si="9"/>
        <v>0</v>
      </c>
      <c r="AI29" s="22">
        <f t="shared" ca="1" si="10"/>
        <v>46666680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0"/>
        <v>6</v>
      </c>
      <c r="AM29" s="69">
        <f t="shared" ca="1" si="11"/>
        <v>6</v>
      </c>
      <c r="AN29" s="4">
        <f t="shared" ca="1" si="31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4"/>
      <c r="AU29" s="4"/>
      <c r="AV29" s="4"/>
      <c r="AW29" s="4"/>
      <c r="AX29" s="4"/>
      <c r="AY29" s="4">
        <f t="shared" ca="1" si="16"/>
        <v>1</v>
      </c>
      <c r="AZ29" s="4"/>
      <c r="BA29" s="4"/>
      <c r="BB29" s="4"/>
      <c r="BC29" s="4"/>
      <c r="BD29" s="4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45493</v>
      </c>
      <c r="C30" s="401"/>
      <c r="D30" s="443">
        <f ca="1">IF(N30=0,IF(N29=1,D25+D26+D27+D28+D29," "),IF(N30=0,0,IF(N31=1,D25,IF(N31=0,D10-D25*(M14-1)," "))))</f>
        <v>5833330</v>
      </c>
      <c r="E30" s="443"/>
      <c r="F30" s="84">
        <f ca="1">IF(N30=0,IF(N29=1,F25+F26+F27+F28+F29," "),IF(M1=1,P30,IF(M1=2,Q30," ")))</f>
        <v>2236110</v>
      </c>
      <c r="G30" s="84">
        <v>0</v>
      </c>
      <c r="H30" s="84">
        <f t="shared" ca="1" si="19"/>
        <v>8069440</v>
      </c>
      <c r="I30" s="84">
        <f t="shared" ca="1" si="20"/>
        <v>10000000</v>
      </c>
      <c r="J30" s="84">
        <f t="shared" ca="1" si="0"/>
        <v>3500000</v>
      </c>
      <c r="K30" s="84">
        <v>0</v>
      </c>
      <c r="L30" s="84">
        <f t="shared" ca="1" si="21"/>
        <v>13500000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2236110</v>
      </c>
      <c r="Q30" s="22">
        <f t="shared" ca="1" si="3"/>
        <v>2236110</v>
      </c>
      <c r="R30" s="22">
        <f t="shared" ca="1" si="23"/>
        <v>40833350</v>
      </c>
      <c r="S30" s="22">
        <f t="shared" si="24"/>
        <v>10000000</v>
      </c>
      <c r="T30" s="22">
        <f t="shared" si="25"/>
        <v>10000000</v>
      </c>
      <c r="U30" s="22">
        <f ca="1">IF(N31=1,R29*D11*20/36000+R30*D11*10/36000,IF(N31=0,IF(N30=0,0,R30*D11*Q12/36000+R29*D11*20/36000+R30*D11*10/36000)))</f>
        <v>2236111.8333333335</v>
      </c>
      <c r="V30" s="22">
        <f ca="1">IF(N31=1,R29*D11*20/36000+R30*D11*10/36000,IF(N31=0,IF(N30=0,0,R30*D11*Q12/36000+R29*D11*20/36000+R30*D11*10/36000)))</f>
        <v>2236111.8333333335</v>
      </c>
      <c r="W30" s="22">
        <f t="shared" ca="1" si="26"/>
        <v>3500000</v>
      </c>
      <c r="X30" s="22">
        <f t="shared" ca="1" si="27"/>
        <v>3500000</v>
      </c>
      <c r="Y30" s="22">
        <f t="shared" si="4"/>
        <v>70000000</v>
      </c>
      <c r="Z30" s="22">
        <f ca="1">IF(N31=1,Y29*D$11*20/36000+Y30*D$11*10/36000,IF(N31=0,IF(N30=0,0,Y30*D$11*Q$12/36000+Y29*D$11*20/36000+Y30*D$11*10/36000)))</f>
        <v>3500000</v>
      </c>
      <c r="AA30" s="22">
        <f t="shared" ca="1" si="5"/>
        <v>3500000</v>
      </c>
      <c r="AB30" s="22">
        <f ca="1">IF(R31=0,R30*Q12,(R29*20+R30*10))</f>
        <v>1341667100</v>
      </c>
      <c r="AC30" s="22">
        <f t="shared" ca="1" si="6"/>
        <v>0</v>
      </c>
      <c r="AD30" s="22">
        <f t="shared" ca="1" si="7"/>
        <v>0</v>
      </c>
      <c r="AE30" s="22">
        <f t="shared" ca="1" si="28"/>
        <v>0</v>
      </c>
      <c r="AF30" s="22">
        <f t="shared" ca="1" si="8"/>
        <v>0</v>
      </c>
      <c r="AG30" s="22">
        <f t="shared" ca="1" si="29"/>
        <v>0</v>
      </c>
      <c r="AH30" s="22">
        <f t="shared" ca="1" si="9"/>
        <v>0</v>
      </c>
      <c r="AI30" s="22">
        <f t="shared" ca="1" si="10"/>
        <v>40833350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0"/>
        <v>7</v>
      </c>
      <c r="AM30" s="69">
        <f t="shared" ca="1" si="11"/>
        <v>7</v>
      </c>
      <c r="AN30" s="4">
        <f t="shared" ca="1" si="31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4"/>
      <c r="AU30" s="4"/>
      <c r="AV30" s="4"/>
      <c r="AW30" s="4"/>
      <c r="AX30" s="4"/>
      <c r="AY30" s="4">
        <f t="shared" ca="1" si="16"/>
        <v>1</v>
      </c>
      <c r="AZ30" s="4"/>
      <c r="BA30" s="4"/>
      <c r="BB30" s="4"/>
      <c r="BC30" s="4"/>
      <c r="BD30" s="4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45524</v>
      </c>
      <c r="C31" s="401"/>
      <c r="D31" s="443">
        <f ca="1">IF(N31=0,IF(N30=1,D25+D26+D27+D28+D29+D30," "),IF(N31=0," ",IF(N32=1,D25,IF(N32=0,D10-D25*(M14-1)," "))))</f>
        <v>5833330</v>
      </c>
      <c r="E31" s="443"/>
      <c r="F31" s="84">
        <f ca="1">IF(N31=0,IF(N30=1,F25+F26+F27+F28+F29+F30," "),IF(M1=1,P31,IF(M1=2,Q31," ")))</f>
        <v>1944440</v>
      </c>
      <c r="G31" s="84">
        <v>0</v>
      </c>
      <c r="H31" s="84">
        <f t="shared" ca="1" si="19"/>
        <v>7777770</v>
      </c>
      <c r="I31" s="84">
        <f t="shared" ca="1" si="20"/>
        <v>11666670</v>
      </c>
      <c r="J31" s="84">
        <f t="shared" ca="1" si="0"/>
        <v>3500000</v>
      </c>
      <c r="K31" s="84">
        <v>0</v>
      </c>
      <c r="L31" s="84">
        <f t="shared" ca="1" si="21"/>
        <v>15166670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1944440</v>
      </c>
      <c r="Q31" s="22">
        <f t="shared" ca="1" si="3"/>
        <v>1944440</v>
      </c>
      <c r="R31" s="22">
        <f t="shared" ca="1" si="23"/>
        <v>35000020</v>
      </c>
      <c r="S31" s="22">
        <f t="shared" ca="1" si="24"/>
        <v>5833330</v>
      </c>
      <c r="T31" s="22">
        <f t="shared" ca="1" si="25"/>
        <v>5833330</v>
      </c>
      <c r="U31" s="22">
        <f ca="1">IF(N32=1,R30*D$11*20/36000+R31*D$11*10/36000,IF(N32=0,IF(N31=0,0,IF(D$16&gt;20,R30*D$11*20/36000+R31*D$11*(Q$12-20)/36000,R31*D$11*Q$12/36000))))</f>
        <v>1944445.3333333335</v>
      </c>
      <c r="V31" s="22">
        <f ca="1">IF(N32=1,R30*D$11*20/36000+R31*D$11*10/36000,IF(N32=0,IF(N31=0,0,IF(D$16&gt;20,R30*D$11*20/36000+R31*D$11*(Q$12-20)/36000,R31*D$11*Q$12/36000))))</f>
        <v>1944445.3333333335</v>
      </c>
      <c r="W31" s="22">
        <f t="shared" ca="1" si="26"/>
        <v>3500000</v>
      </c>
      <c r="X31" s="22">
        <f t="shared" ca="1" si="27"/>
        <v>3500000</v>
      </c>
      <c r="Y31" s="22">
        <f t="shared" si="4"/>
        <v>70000000</v>
      </c>
      <c r="Z31" s="22">
        <f t="shared" ref="Z31:Z62" ca="1" si="33">IF(N32=1,Y30*D$11*20/36000+Y31*D$11*10/36000,IF(N32=0,IF(N31=0,0,IF(D$16&gt;20,Y30*D$11*20/36000+Y31*D$11*(Q$12-20)/36000,Y31*D$11*Q$12/36000))))</f>
        <v>3500000</v>
      </c>
      <c r="AA31" s="22">
        <f t="shared" ca="1" si="5"/>
        <v>3500000</v>
      </c>
      <c r="AB31" s="22">
        <f ca="1">IF(R32=0,R31*Q12,(R30*20+R31*10))</f>
        <v>1166667200</v>
      </c>
      <c r="AC31" s="22">
        <f t="shared" ca="1" si="6"/>
        <v>0</v>
      </c>
      <c r="AD31" s="22">
        <f t="shared" ca="1" si="7"/>
        <v>0</v>
      </c>
      <c r="AE31" s="22">
        <f t="shared" ca="1" si="28"/>
        <v>0</v>
      </c>
      <c r="AF31" s="22">
        <f t="shared" ca="1" si="8"/>
        <v>0</v>
      </c>
      <c r="AG31" s="22">
        <f t="shared" ca="1" si="29"/>
        <v>0</v>
      </c>
      <c r="AH31" s="22">
        <f t="shared" ca="1" si="9"/>
        <v>0</v>
      </c>
      <c r="AI31" s="22">
        <f t="shared" ca="1" si="10"/>
        <v>35000020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0"/>
        <v>8</v>
      </c>
      <c r="AM31" s="69">
        <f t="shared" ca="1" si="11"/>
        <v>8</v>
      </c>
      <c r="AN31" s="4">
        <f t="shared" ca="1" si="31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2"/>
        <v>30</v>
      </c>
      <c r="AT31" s="4"/>
      <c r="AU31" s="4"/>
      <c r="AV31" s="4"/>
      <c r="AW31" s="4"/>
      <c r="AX31" s="4"/>
      <c r="AY31" s="4">
        <f t="shared" ca="1" si="16"/>
        <v>1</v>
      </c>
      <c r="AZ31" s="4"/>
      <c r="BA31" s="4"/>
      <c r="BB31" s="4"/>
      <c r="BC31" s="4"/>
      <c r="BD31" s="4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45555</v>
      </c>
      <c r="C32" s="401"/>
      <c r="D32" s="443">
        <f ca="1">IF(N32=0,IF(N31=1,D25+D26+D27+D28+D29+D30+D31," "),IF(N32=0," ",IF(N33=1,D25,IF(N33=0,D10-D25*(M14-1)," "))))</f>
        <v>5833330</v>
      </c>
      <c r="E32" s="443"/>
      <c r="F32" s="84">
        <f ca="1">IF(N32=0,IF(N31=1,F25+F26+F27+F28+F29+F30+F31," "),IF(M1=1,P32,IF(M1=2,Q32," ")))</f>
        <v>1652780</v>
      </c>
      <c r="G32" s="84">
        <v>0</v>
      </c>
      <c r="H32" s="84">
        <f t="shared" ca="1" si="19"/>
        <v>7486110</v>
      </c>
      <c r="I32" s="84">
        <f t="shared" ca="1" si="20"/>
        <v>11666670</v>
      </c>
      <c r="J32" s="84">
        <f t="shared" ca="1" si="0"/>
        <v>3305560</v>
      </c>
      <c r="K32" s="84">
        <v>0</v>
      </c>
      <c r="L32" s="84">
        <f t="shared" ca="1" si="21"/>
        <v>14972230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1652780</v>
      </c>
      <c r="Q32" s="22">
        <f t="shared" ca="1" si="3"/>
        <v>1652780</v>
      </c>
      <c r="R32" s="22">
        <f t="shared" ca="1" si="23"/>
        <v>29166690</v>
      </c>
      <c r="S32" s="22">
        <f t="shared" ca="1" si="24"/>
        <v>5833330</v>
      </c>
      <c r="T32" s="22">
        <f t="shared" ca="1" si="25"/>
        <v>5833330</v>
      </c>
      <c r="U32" s="22">
        <f ca="1">IF(N33=1,R31*D$11*20/36000+R32*D$11*10/36000,IF(N33=0,IF(N32=0,0,IF(D$16&gt;20,R31*D$11*20/36000+R32*D$11*(Q$12-20)/36000,R32*D$11*Q$12/36000))))</f>
        <v>1652778.8333333333</v>
      </c>
      <c r="V32" s="22">
        <f ca="1">IF(N33=1,R31*D$11*20/36000+R32*D$11*10/36000,IF(N33=0,IF(N32=0,0,IF(D$16&gt;20,R31*D$11*20/36000+R32*D$11*(Q$12-20)/36000,R32*D$11*Q$12/36000))))</f>
        <v>1652778.8333333333</v>
      </c>
      <c r="W32" s="22">
        <f t="shared" ca="1" si="26"/>
        <v>3500000</v>
      </c>
      <c r="X32" s="22">
        <f t="shared" ca="1" si="27"/>
        <v>3500000</v>
      </c>
      <c r="Y32" s="22">
        <f t="shared" ca="1" si="4"/>
        <v>58333330</v>
      </c>
      <c r="Z32" s="22">
        <f t="shared" ca="1" si="33"/>
        <v>3305555.5</v>
      </c>
      <c r="AA32" s="22">
        <f t="shared" ca="1" si="5"/>
        <v>3305560</v>
      </c>
      <c r="AB32" s="22">
        <f ca="1">IF(R33=0,R32*Q12,(R31*20+R32*10))</f>
        <v>991667300</v>
      </c>
      <c r="AC32" s="22">
        <f t="shared" ca="1" si="6"/>
        <v>0</v>
      </c>
      <c r="AD32" s="22">
        <f t="shared" ca="1" si="7"/>
        <v>0</v>
      </c>
      <c r="AE32" s="22">
        <f t="shared" ca="1" si="28"/>
        <v>0</v>
      </c>
      <c r="AF32" s="22">
        <f t="shared" ca="1" si="8"/>
        <v>0</v>
      </c>
      <c r="AG32" s="22">
        <f t="shared" ca="1" si="29"/>
        <v>0</v>
      </c>
      <c r="AH32" s="22">
        <f t="shared" ca="1" si="9"/>
        <v>0</v>
      </c>
      <c r="AI32" s="22">
        <f t="shared" ca="1" si="10"/>
        <v>29166690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0"/>
        <v>9</v>
      </c>
      <c r="AM32" s="69">
        <f t="shared" ca="1" si="11"/>
        <v>9</v>
      </c>
      <c r="AN32" s="4">
        <f t="shared" ca="1" si="31"/>
        <v>2024</v>
      </c>
      <c r="AO32" s="4">
        <f t="shared" ca="1" si="12"/>
        <v>2024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2"/>
        <v>30</v>
      </c>
      <c r="AT32" s="4"/>
      <c r="AU32" s="4"/>
      <c r="AV32" s="4"/>
      <c r="AW32" s="4"/>
      <c r="AX32" s="4"/>
      <c r="AY32" s="4">
        <f t="shared" ca="1" si="16"/>
        <v>1</v>
      </c>
      <c r="AZ32" s="4"/>
      <c r="BA32" s="4"/>
      <c r="BB32" s="4"/>
      <c r="BC32" s="4"/>
      <c r="BD32" s="4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45585</v>
      </c>
      <c r="C33" s="401"/>
      <c r="D33" s="443">
        <f ca="1">IF(N33=0,IF(N32=1,D25+D26+D27+D28+D29+D30+D31+D32," "),IF(N33=0," ",IF(N34=1,D25,IF(N34=0,D10-D25*(M14-1)," "))))</f>
        <v>5833330</v>
      </c>
      <c r="E33" s="443"/>
      <c r="F33" s="84">
        <f ca="1">IF(N33=0,IF(N32=1,F25+F26+F27+F28+F29+F30+F31+F32," "),IF(M1=1,P33,IF(M1=2,Q33," ")))</f>
        <v>1361110</v>
      </c>
      <c r="G33" s="84">
        <v>0</v>
      </c>
      <c r="H33" s="84">
        <f t="shared" ca="1" si="19"/>
        <v>7194440</v>
      </c>
      <c r="I33" s="84">
        <f t="shared" ca="1" si="20"/>
        <v>11666670</v>
      </c>
      <c r="J33" s="84">
        <f t="shared" ca="1" si="0"/>
        <v>2722220</v>
      </c>
      <c r="K33" s="84">
        <v>0</v>
      </c>
      <c r="L33" s="84">
        <f t="shared" ca="1" si="21"/>
        <v>14388890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1361110</v>
      </c>
      <c r="Q33" s="22">
        <f t="shared" ca="1" si="3"/>
        <v>1361110</v>
      </c>
      <c r="R33" s="22">
        <f t="shared" ca="1" si="23"/>
        <v>23333360</v>
      </c>
      <c r="S33" s="22">
        <f t="shared" ca="1" si="24"/>
        <v>5833330</v>
      </c>
      <c r="T33" s="22">
        <f t="shared" ca="1" si="25"/>
        <v>5833330</v>
      </c>
      <c r="U33" s="22">
        <f ca="1">IF(N34=1,R32*D$11*20/36000+R33*D$11*10/36000,IF(N34=0,IF(N33=0,0,IF(D$16&gt;20,R32*D$11*20/36000+R33*D$11*(Q$12-20)/36000,R33*D$11*Q$12/36000))))</f>
        <v>1361112.3333333333</v>
      </c>
      <c r="V33" s="22">
        <f ca="1">IF(N34=1,R32*D$11*20/36000+R33*D$11*10/36000,IF(N34=0,IF(N33=0,0,IF(D$16&gt;20,R32*D$11*20/36000+R33*D$11*(Q$12-20)/36000,R33*D$11*Q$12/36000))))</f>
        <v>1361112.3333333333</v>
      </c>
      <c r="W33" s="22">
        <f t="shared" ca="1" si="26"/>
        <v>3500000</v>
      </c>
      <c r="X33" s="22">
        <f t="shared" ca="1" si="27"/>
        <v>3500000</v>
      </c>
      <c r="Y33" s="22">
        <f t="shared" ca="1" si="4"/>
        <v>46666660</v>
      </c>
      <c r="Z33" s="22">
        <f t="shared" ca="1" si="33"/>
        <v>2722222</v>
      </c>
      <c r="AA33" s="22">
        <f t="shared" ca="1" si="5"/>
        <v>2722220</v>
      </c>
      <c r="AB33" s="22">
        <f ca="1">IF(R34=0,R33*Q12,(R32*20+R33*10))</f>
        <v>816667400</v>
      </c>
      <c r="AC33" s="22">
        <f t="shared" ca="1" si="6"/>
        <v>0</v>
      </c>
      <c r="AD33" s="22">
        <f t="shared" ca="1" si="7"/>
        <v>0</v>
      </c>
      <c r="AE33" s="22">
        <f t="shared" ca="1" si="28"/>
        <v>0</v>
      </c>
      <c r="AF33" s="22">
        <f t="shared" ca="1" si="8"/>
        <v>0</v>
      </c>
      <c r="AG33" s="22">
        <f t="shared" ca="1" si="29"/>
        <v>0</v>
      </c>
      <c r="AH33" s="22">
        <f t="shared" ca="1" si="9"/>
        <v>0</v>
      </c>
      <c r="AI33" s="22">
        <f t="shared" ca="1" si="10"/>
        <v>23333360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0"/>
        <v>10</v>
      </c>
      <c r="AM33" s="69">
        <f t="shared" ca="1" si="11"/>
        <v>10</v>
      </c>
      <c r="AN33" s="4">
        <f t="shared" ca="1" si="31"/>
        <v>2024</v>
      </c>
      <c r="AO33" s="4">
        <f t="shared" ca="1" si="12"/>
        <v>2024</v>
      </c>
      <c r="AP33" s="4">
        <f t="shared" ca="1" si="13"/>
        <v>1</v>
      </c>
      <c r="AQ33" s="4">
        <f t="shared" ca="1" si="14"/>
        <v>30</v>
      </c>
      <c r="AR33" s="4">
        <f t="shared" si="15"/>
        <v>20</v>
      </c>
      <c r="AS33" s="4">
        <f t="shared" ca="1" si="32"/>
        <v>30</v>
      </c>
      <c r="AT33" s="4"/>
      <c r="AU33" s="4"/>
      <c r="AV33" s="4"/>
      <c r="AW33" s="4"/>
      <c r="AX33" s="4"/>
      <c r="AY33" s="4">
        <f t="shared" ca="1" si="16"/>
        <v>1</v>
      </c>
      <c r="AZ33" s="4"/>
      <c r="BA33" s="4"/>
      <c r="BB33" s="4"/>
      <c r="BC33" s="4"/>
      <c r="BD33" s="4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45616</v>
      </c>
      <c r="C34" s="401"/>
      <c r="D34" s="443">
        <f ca="1">IF(N34=0,IF(N33=1,D25+D26+D27+D28+D29+D30+D31+D32+D33," "),IF(N34=0," ",IF(N35=1,D25,IF(N35=0,D10-D25*(M14-1)," "))))</f>
        <v>5833330</v>
      </c>
      <c r="E34" s="443"/>
      <c r="F34" s="84">
        <f ca="1">IF(N34=0,IF(N33=1,F25+F26+F27+F28+F29+F30+F31+F32+F33," "),IF(M1=1,P34,IF(M1=2,Q34," ")))</f>
        <v>1069450</v>
      </c>
      <c r="G34" s="84">
        <v>0</v>
      </c>
      <c r="H34" s="84">
        <f t="shared" ca="1" si="19"/>
        <v>6902780</v>
      </c>
      <c r="I34" s="84">
        <f t="shared" ca="1" si="20"/>
        <v>11666670</v>
      </c>
      <c r="J34" s="84">
        <f t="shared" ca="1" si="0"/>
        <v>2138890</v>
      </c>
      <c r="K34" s="84">
        <v>0</v>
      </c>
      <c r="L34" s="84">
        <f t="shared" ca="1" si="21"/>
        <v>13805560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1069450</v>
      </c>
      <c r="Q34" s="22">
        <f t="shared" ca="1" si="3"/>
        <v>1069450</v>
      </c>
      <c r="R34" s="22">
        <f t="shared" ca="1" si="23"/>
        <v>17500030</v>
      </c>
      <c r="S34" s="22">
        <f t="shared" ca="1" si="24"/>
        <v>5833330</v>
      </c>
      <c r="T34" s="22">
        <f t="shared" ca="1" si="25"/>
        <v>5833330</v>
      </c>
      <c r="U34" s="22">
        <f ca="1">IF(N35=1,R33*D$11*20/36000+R34*D$11*10/36000,IF(N35=0,IF(N34=0,0,IF(D$16&gt;20,R33*D$11*20/36000+R34*D$11*(Q$12-20)/36000,R34*D$11*Q$12/36000))))</f>
        <v>1069445.8333333333</v>
      </c>
      <c r="V34" s="22">
        <f ca="1">IF(N35=1,R33*D$11*20/36000+R34*D$11*10/36000,IF(N35=0,IF(N34=0,0,IF(D$16&gt;20,R33*D$11*20/36000+R34*D$11*(Q$12-20)/36000,R34*D$11*Q$12/36000))))</f>
        <v>1069445.8333333333</v>
      </c>
      <c r="W34" s="22">
        <f t="shared" ca="1" si="26"/>
        <v>3500000</v>
      </c>
      <c r="X34" s="22">
        <f t="shared" ca="1" si="27"/>
        <v>3500000</v>
      </c>
      <c r="Y34" s="22">
        <f t="shared" ca="1" si="4"/>
        <v>34999990</v>
      </c>
      <c r="Z34" s="22">
        <f t="shared" ca="1" si="33"/>
        <v>2138888.5</v>
      </c>
      <c r="AA34" s="22">
        <f t="shared" ca="1" si="5"/>
        <v>2138890</v>
      </c>
      <c r="AB34" s="22">
        <f ca="1">IF(R35=0,R34*Q12,(R33*20+R34*10))</f>
        <v>641667500</v>
      </c>
      <c r="AC34" s="22">
        <f t="shared" ca="1" si="6"/>
        <v>0</v>
      </c>
      <c r="AD34" s="22">
        <f t="shared" ca="1" si="7"/>
        <v>0</v>
      </c>
      <c r="AE34" s="22">
        <f t="shared" ca="1" si="28"/>
        <v>0</v>
      </c>
      <c r="AF34" s="22">
        <f t="shared" ca="1" si="8"/>
        <v>0</v>
      </c>
      <c r="AG34" s="22">
        <f t="shared" ca="1" si="29"/>
        <v>0</v>
      </c>
      <c r="AH34" s="22">
        <f t="shared" ca="1" si="9"/>
        <v>0</v>
      </c>
      <c r="AI34" s="22">
        <f t="shared" ca="1" si="10"/>
        <v>17500030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0"/>
        <v>11</v>
      </c>
      <c r="AM34" s="69">
        <f t="shared" ca="1" si="11"/>
        <v>11</v>
      </c>
      <c r="AN34" s="4">
        <f t="shared" ca="1" si="31"/>
        <v>2024</v>
      </c>
      <c r="AO34" s="4">
        <f t="shared" ca="1" si="12"/>
        <v>2024</v>
      </c>
      <c r="AP34" s="4">
        <f t="shared" ca="1" si="13"/>
        <v>1</v>
      </c>
      <c r="AQ34" s="4">
        <f t="shared" ca="1" si="14"/>
        <v>30</v>
      </c>
      <c r="AR34" s="4">
        <f t="shared" si="15"/>
        <v>20</v>
      </c>
      <c r="AS34" s="4">
        <f t="shared" ca="1" si="32"/>
        <v>30</v>
      </c>
      <c r="AT34" s="4"/>
      <c r="AU34" s="4"/>
      <c r="AV34" s="4"/>
      <c r="AW34" s="4"/>
      <c r="AX34" s="4"/>
      <c r="AY34" s="4">
        <f t="shared" ca="1" si="16"/>
        <v>1</v>
      </c>
      <c r="AZ34" s="4"/>
      <c r="BA34" s="4"/>
      <c r="BB34" s="4"/>
      <c r="BC34" s="4"/>
      <c r="BD34" s="4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45646</v>
      </c>
      <c r="C35" s="401"/>
      <c r="D35" s="443">
        <f ca="1">IF(N35=0,IF(N34=1,D25+D26+D27+D28+D29+D30+D31+D32+D33+D34," "),IF(N35=0," ",IF(N36=1,D25,IF(N36=0,D10-D25*(M14-1)," "))))</f>
        <v>5833330</v>
      </c>
      <c r="E35" s="443"/>
      <c r="F35" s="84">
        <f ca="1">IF(N35=0,IF(N34=1,F25+F26+F27+F28+F29+F30+F31+F32+F33+F34," "),IF(M1=1,P35,IF(M1=2,Q35," ")))</f>
        <v>777780</v>
      </c>
      <c r="G35" s="84">
        <v>0</v>
      </c>
      <c r="H35" s="84">
        <f t="shared" ca="1" si="19"/>
        <v>6611110</v>
      </c>
      <c r="I35" s="84">
        <f t="shared" ca="1" si="20"/>
        <v>11666670</v>
      </c>
      <c r="J35" s="84">
        <f t="shared" ca="1" si="0"/>
        <v>1555550</v>
      </c>
      <c r="K35" s="84">
        <v>0</v>
      </c>
      <c r="L35" s="84">
        <f t="shared" ca="1" si="21"/>
        <v>13222220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777780</v>
      </c>
      <c r="Q35" s="22">
        <f t="shared" ca="1" si="3"/>
        <v>777780</v>
      </c>
      <c r="R35" s="22">
        <f t="shared" ca="1" si="23"/>
        <v>11666700</v>
      </c>
      <c r="S35" s="22">
        <f t="shared" ca="1" si="24"/>
        <v>5833330</v>
      </c>
      <c r="T35" s="22">
        <f t="shared" ca="1" si="25"/>
        <v>5833330</v>
      </c>
      <c r="U35" s="22">
        <f ca="1">IF(N36=1,R34*D$11*20/36000+R35*D$11*10/36000,IF(N36=0,IF(N35=0,0,IF(D$16&gt;20,R34*D$11*20/36000+R35*D$11*(Q$12-20)/36000,R35*D$11*Q$12/36000))))</f>
        <v>777779.33333333337</v>
      </c>
      <c r="V35" s="22">
        <f ca="1">IF(N36=1,R34*D$11*20/36000+R35*D$11*10/36000,IF(N36=0,IF(N35=0,0,IF(D$16&gt;20,R34*D$11*20/36000+R35*D$11*(Q$12-20)/36000,R35*D$11*Q$12/36000))))</f>
        <v>777779.33333333337</v>
      </c>
      <c r="W35" s="22">
        <f t="shared" ca="1" si="26"/>
        <v>3500000</v>
      </c>
      <c r="X35" s="22">
        <f t="shared" ca="1" si="27"/>
        <v>3500000</v>
      </c>
      <c r="Y35" s="22">
        <f t="shared" ca="1" si="4"/>
        <v>23333320</v>
      </c>
      <c r="Z35" s="22">
        <f t="shared" ca="1" si="33"/>
        <v>1555555</v>
      </c>
      <c r="AA35" s="22">
        <f t="shared" ca="1" si="5"/>
        <v>1555550</v>
      </c>
      <c r="AB35" s="22">
        <f ca="1">IF(R36=0,R35*Q12,(R34*20+R35*10))</f>
        <v>466667600</v>
      </c>
      <c r="AC35" s="22">
        <f t="shared" ca="1" si="6"/>
        <v>0</v>
      </c>
      <c r="AD35" s="22">
        <f t="shared" ca="1" si="7"/>
        <v>0</v>
      </c>
      <c r="AE35" s="22">
        <f t="shared" ca="1" si="28"/>
        <v>0</v>
      </c>
      <c r="AF35" s="22">
        <f t="shared" ca="1" si="8"/>
        <v>0</v>
      </c>
      <c r="AG35" s="22">
        <f t="shared" ca="1" si="29"/>
        <v>0</v>
      </c>
      <c r="AH35" s="22">
        <f t="shared" ca="1" si="9"/>
        <v>0</v>
      </c>
      <c r="AI35" s="22">
        <f t="shared" ca="1" si="10"/>
        <v>11666700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0"/>
        <v>12</v>
      </c>
      <c r="AM35" s="69">
        <f t="shared" ca="1" si="11"/>
        <v>12</v>
      </c>
      <c r="AN35" s="4">
        <f t="shared" ca="1" si="31"/>
        <v>2024</v>
      </c>
      <c r="AO35" s="4">
        <f t="shared" ca="1" si="12"/>
        <v>2024</v>
      </c>
      <c r="AP35" s="4">
        <f t="shared" ca="1" si="13"/>
        <v>1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4"/>
      <c r="AU35" s="4"/>
      <c r="AV35" s="4"/>
      <c r="AW35" s="4"/>
      <c r="AX35" s="4"/>
      <c r="AY35" s="4">
        <f t="shared" ca="1" si="16"/>
        <v>1</v>
      </c>
      <c r="AZ35" s="4"/>
      <c r="BA35" s="4"/>
      <c r="BB35" s="4"/>
      <c r="BC35" s="4"/>
      <c r="BD35" s="4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45659</v>
      </c>
      <c r="C36" s="401"/>
      <c r="D36" s="443">
        <f ca="1">IF(N36=0,IF(N35=1,D25+D26+D27+D28+D29+D30+D31+D32+D33+D34+D35," "),IF(N36=0," ",IF(N37=1,D25,IF(N37=0,D10-D25*(M14-1)," "))))</f>
        <v>5833370</v>
      </c>
      <c r="E36" s="443"/>
      <c r="F36" s="84">
        <f ca="1">IF(N36=0,IF(N35=1,F25+F26+F27+F28+F29+F30+F31+F32+F33+F34+F35," "),IF(M1=1,P36,IF(M1=2,Q36," ")))</f>
        <v>505560</v>
      </c>
      <c r="G36" s="84">
        <v>0</v>
      </c>
      <c r="H36" s="84">
        <f t="shared" ca="1" si="19"/>
        <v>6338930</v>
      </c>
      <c r="I36" s="84">
        <f t="shared" ca="1" si="20"/>
        <v>11666650</v>
      </c>
      <c r="J36" s="84">
        <f t="shared" ca="1" si="0"/>
        <v>427780</v>
      </c>
      <c r="K36" s="84">
        <v>0</v>
      </c>
      <c r="L36" s="84">
        <f t="shared" ca="1" si="21"/>
        <v>12094430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</v>
      </c>
      <c r="P36" s="22">
        <f t="shared" ca="1" si="2"/>
        <v>505560</v>
      </c>
      <c r="Q36" s="22">
        <f t="shared" ca="1" si="3"/>
        <v>505560</v>
      </c>
      <c r="R36" s="22">
        <f t="shared" ca="1" si="23"/>
        <v>5833370</v>
      </c>
      <c r="S36" s="22">
        <f t="shared" ca="1" si="24"/>
        <v>5833370</v>
      </c>
      <c r="T36" s="22">
        <f t="shared" ca="1" si="25"/>
        <v>5833370</v>
      </c>
      <c r="U36" s="22">
        <f ca="1">IF(N37=1,R35*D11*20/36000+R36*D11*10/36000,IF(N37=0,IF(N36=0,0,R36*D11*Q12/36000+R35*D11*20/36000+R36*D11*10/36000)))</f>
        <v>505557.39999999997</v>
      </c>
      <c r="V36" s="22">
        <f ca="1">IF(N37=1,R35*D11*20/36000+R36*D11*10/36000,IF(N37=0,IF(N36=0,0,R36*D11*Q12/36000+R35*D11*20/36000+R36*D11*10/36000)))</f>
        <v>505557.39999999997</v>
      </c>
      <c r="W36" s="22">
        <f t="shared" ca="1" si="26"/>
        <v>3733333.333333334</v>
      </c>
      <c r="X36" s="22">
        <f t="shared" ca="1" si="27"/>
        <v>3733330</v>
      </c>
      <c r="Y36" s="22">
        <f t="shared" ca="1" si="4"/>
        <v>11666650</v>
      </c>
      <c r="Z36" s="22">
        <f t="shared" ca="1" si="33"/>
        <v>427777.83333333337</v>
      </c>
      <c r="AA36" s="22">
        <f t="shared" ca="1" si="5"/>
        <v>427780</v>
      </c>
      <c r="AB36" s="22">
        <f ca="1">IF(R37=0,R36*Q12,(R35*20+R36*10))</f>
        <v>11666740</v>
      </c>
      <c r="AC36" s="22">
        <f t="shared" ca="1" si="6"/>
        <v>0</v>
      </c>
      <c r="AD36" s="22">
        <f t="shared" ca="1" si="7"/>
        <v>0</v>
      </c>
      <c r="AE36" s="22">
        <f t="shared" ca="1" si="28"/>
        <v>0</v>
      </c>
      <c r="AF36" s="22">
        <f t="shared" ca="1" si="8"/>
        <v>0</v>
      </c>
      <c r="AG36" s="22">
        <f t="shared" ca="1" si="29"/>
        <v>0</v>
      </c>
      <c r="AH36" s="22">
        <f t="shared" ca="1" si="9"/>
        <v>0</v>
      </c>
      <c r="AI36" s="22">
        <f t="shared" ca="1" si="10"/>
        <v>5833370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0"/>
        <v>13</v>
      </c>
      <c r="AM36" s="69">
        <f t="shared" ca="1" si="11"/>
        <v>1</v>
      </c>
      <c r="AN36" s="4">
        <f t="shared" ca="1" si="31"/>
        <v>2024</v>
      </c>
      <c r="AO36" s="4">
        <f t="shared" ca="1" si="12"/>
        <v>2025</v>
      </c>
      <c r="AP36" s="4">
        <f t="shared" ca="1" si="13"/>
        <v>1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4"/>
      <c r="AU36" s="4"/>
      <c r="AV36" s="4"/>
      <c r="AW36" s="4"/>
      <c r="AX36" s="4"/>
      <c r="AY36" s="4">
        <f t="shared" ca="1" si="16"/>
        <v>1</v>
      </c>
      <c r="AZ36" s="4"/>
      <c r="BA36" s="4"/>
      <c r="BB36" s="4"/>
      <c r="BC36" s="4"/>
      <c r="BD36" s="4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 t="str">
        <f t="shared" ca="1" si="18"/>
        <v>ИТОГО</v>
      </c>
      <c r="C37" s="401"/>
      <c r="D37" s="443">
        <f ca="1">IF(N37=0,IF(N36=1,D25+D26+D27+D28+D29+D30+D31+D32+D33+D34+D35+D36," "),IF(N37=0," ",IF(N38=1,D25,IF(N38=0,D10-D25*(M14-1)," "))))</f>
        <v>70000000</v>
      </c>
      <c r="E37" s="443"/>
      <c r="F37" s="84">
        <f ca="1">IF(N37=0,IF(N36=1,F25+F26+F27+F28+F29+F30+F31+F32+F33+F34+F35+F36," "),IF(M1=1,P37,IF(M1=2,Q37," ")))</f>
        <v>24558340</v>
      </c>
      <c r="G37" s="84">
        <v>0</v>
      </c>
      <c r="H37" s="84">
        <f t="shared" ca="1" si="19"/>
        <v>94558340</v>
      </c>
      <c r="I37" s="84">
        <f t="shared" ca="1" si="20"/>
        <v>0</v>
      </c>
      <c r="J37" s="84">
        <f t="shared" ca="1" si="0"/>
        <v>0</v>
      </c>
      <c r="K37" s="84">
        <v>0</v>
      </c>
      <c r="L37" s="84" t="str">
        <f t="shared" ca="1" si="21"/>
        <v xml:space="preserve"> </v>
      </c>
      <c r="M37" s="4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2">
        <f t="shared" ca="1" si="2"/>
        <v>0</v>
      </c>
      <c r="Q37" s="22">
        <f t="shared" ca="1" si="3"/>
        <v>0</v>
      </c>
      <c r="R37" s="22">
        <f t="shared" ca="1" si="23"/>
        <v>0</v>
      </c>
      <c r="S37" s="22">
        <f t="shared" ca="1" si="24"/>
        <v>70000000</v>
      </c>
      <c r="T37" s="22">
        <f t="shared" ca="1" si="25"/>
        <v>70000000</v>
      </c>
      <c r="U37" s="22">
        <f t="shared" ref="U37:U47" ca="1" si="34">IF(N38=1,R36*D$11*20/36000+R37*D$11*10/36000,IF(N38=0,IF(N37=0,0,IF(D$16&gt;20,R36*D$11*20/36000+R37*D$11*(Q$12-20)/36000,R37*D$11*Q$12/36000))))</f>
        <v>0</v>
      </c>
      <c r="V37" s="22">
        <f t="shared" ref="V37:V47" ca="1" si="35">IF(N38=1,R36*D$11*20/36000+R37*D$11*10/36000,IF(N38=0,IF(N37=0,0,IF(D$16&gt;20,R36*D$11*20/36000+R37*D$11*(Q$12-20)/36000,R37*D$11*Q$12/36000))))</f>
        <v>0</v>
      </c>
      <c r="W37" s="22">
        <f t="shared" ca="1" si="26"/>
        <v>0</v>
      </c>
      <c r="X37" s="22">
        <f t="shared" ca="1" si="27"/>
        <v>0</v>
      </c>
      <c r="Y37" s="22">
        <f t="shared" ca="1" si="4"/>
        <v>0</v>
      </c>
      <c r="Z37" s="22">
        <f t="shared" ca="1" si="33"/>
        <v>0</v>
      </c>
      <c r="AA37" s="22">
        <f t="shared" ca="1" si="5"/>
        <v>0</v>
      </c>
      <c r="AB37" s="22">
        <f ca="1">IF(R38=0,R37*Q12,(R36*20+R37*10))</f>
        <v>0</v>
      </c>
      <c r="AC37" s="22">
        <f t="shared" ca="1" si="6"/>
        <v>0</v>
      </c>
      <c r="AD37" s="22">
        <f t="shared" ca="1" si="7"/>
        <v>0</v>
      </c>
      <c r="AE37" s="22">
        <f t="shared" ca="1" si="28"/>
        <v>0</v>
      </c>
      <c r="AF37" s="22">
        <f t="shared" ca="1" si="8"/>
        <v>0</v>
      </c>
      <c r="AG37" s="22">
        <f t="shared" ca="1" si="29"/>
        <v>0</v>
      </c>
      <c r="AH37" s="22">
        <f t="shared" ca="1" si="9"/>
        <v>0</v>
      </c>
      <c r="AI37" s="22">
        <f t="shared" ca="1" si="10"/>
        <v>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0"/>
        <v>0</v>
      </c>
      <c r="AM37" s="69">
        <f t="shared" ca="1" si="11"/>
        <v>0</v>
      </c>
      <c r="AN37" s="4">
        <f t="shared" ca="1" si="31"/>
        <v>0</v>
      </c>
      <c r="AO37" s="4">
        <f t="shared" ca="1" si="12"/>
        <v>0</v>
      </c>
      <c r="AP37" s="4">
        <f t="shared" ca="1" si="13"/>
        <v>0</v>
      </c>
      <c r="AQ37" s="4">
        <f t="shared" ca="1" si="14"/>
        <v>30</v>
      </c>
      <c r="AR37" s="4">
        <f t="shared" si="15"/>
        <v>20</v>
      </c>
      <c r="AS37" s="4">
        <f t="shared" ca="1" si="32"/>
        <v>30</v>
      </c>
      <c r="AT37" s="4"/>
      <c r="AU37" s="4"/>
      <c r="AV37" s="4"/>
      <c r="AW37" s="4"/>
      <c r="AX37" s="4"/>
      <c r="AY37" s="4">
        <f t="shared" ca="1" si="16"/>
        <v>0</v>
      </c>
      <c r="AZ37" s="4"/>
      <c r="BA37" s="4"/>
      <c r="BB37" s="4"/>
      <c r="BC37" s="4"/>
      <c r="BD37" s="4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 t="str">
        <f t="shared" ca="1" si="18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9"/>
        <v xml:space="preserve"> </v>
      </c>
      <c r="I38" s="84">
        <f t="shared" ca="1" si="20"/>
        <v>0</v>
      </c>
      <c r="J38" s="84">
        <f t="shared" ca="1" si="0"/>
        <v>0</v>
      </c>
      <c r="K38" s="84">
        <v>0</v>
      </c>
      <c r="L38" s="84" t="str">
        <f t="shared" ca="1" si="21"/>
        <v xml:space="preserve"> </v>
      </c>
      <c r="M38" s="4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2">
        <f t="shared" ca="1" si="2"/>
        <v>0</v>
      </c>
      <c r="Q38" s="22">
        <f t="shared" ca="1" si="3"/>
        <v>0</v>
      </c>
      <c r="R38" s="22">
        <f t="shared" ca="1" si="23"/>
        <v>0</v>
      </c>
      <c r="S38" s="22" t="str">
        <f t="shared" ca="1" si="24"/>
        <v xml:space="preserve"> </v>
      </c>
      <c r="T38" s="22" t="e">
        <f t="shared" ca="1" si="25"/>
        <v>#VALUE!</v>
      </c>
      <c r="U38" s="22">
        <f t="shared" ca="1" si="34"/>
        <v>0</v>
      </c>
      <c r="V38" s="22">
        <f t="shared" ca="1" si="35"/>
        <v>0</v>
      </c>
      <c r="W38" s="22">
        <f t="shared" ca="1" si="26"/>
        <v>0</v>
      </c>
      <c r="X38" s="22">
        <f t="shared" ca="1" si="27"/>
        <v>0</v>
      </c>
      <c r="Y38" s="22">
        <f t="shared" ca="1" si="4"/>
        <v>0</v>
      </c>
      <c r="Z38" s="22">
        <f t="shared" ca="1" si="33"/>
        <v>0</v>
      </c>
      <c r="AA38" s="22">
        <f t="shared" ca="1" si="5"/>
        <v>0</v>
      </c>
      <c r="AB38" s="22">
        <f ca="1">IF(R39=0,R38*Q12,(R37*20+R38*10))</f>
        <v>0</v>
      </c>
      <c r="AC38" s="22">
        <f t="shared" ca="1" si="6"/>
        <v>0</v>
      </c>
      <c r="AD38" s="22">
        <f t="shared" ca="1" si="7"/>
        <v>0</v>
      </c>
      <c r="AE38" s="22">
        <f t="shared" ca="1" si="28"/>
        <v>0</v>
      </c>
      <c r="AF38" s="22">
        <f t="shared" ca="1" si="8"/>
        <v>0</v>
      </c>
      <c r="AG38" s="22">
        <f t="shared" ca="1" si="29"/>
        <v>0</v>
      </c>
      <c r="AH38" s="22">
        <f t="shared" ca="1" si="9"/>
        <v>0</v>
      </c>
      <c r="AI38" s="22">
        <f t="shared" ca="1" si="10"/>
        <v>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0"/>
        <v>0</v>
      </c>
      <c r="AM38" s="69">
        <f t="shared" ca="1" si="11"/>
        <v>0</v>
      </c>
      <c r="AN38" s="4">
        <f t="shared" ca="1" si="31"/>
        <v>0</v>
      </c>
      <c r="AO38" s="4">
        <f t="shared" ca="1" si="12"/>
        <v>0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30</v>
      </c>
      <c r="AT38" s="4"/>
      <c r="AU38" s="4"/>
      <c r="AV38" s="4"/>
      <c r="AW38" s="4"/>
      <c r="AX38" s="4"/>
      <c r="AY38" s="4">
        <f t="shared" ca="1" si="16"/>
        <v>0</v>
      </c>
      <c r="AZ38" s="4"/>
      <c r="BA38" s="4"/>
      <c r="BB38" s="4"/>
      <c r="BC38" s="4"/>
      <c r="BD38" s="4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 t="str">
        <f t="shared" ca="1" si="18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9"/>
        <v xml:space="preserve"> </v>
      </c>
      <c r="I39" s="84">
        <f t="shared" ca="1" si="20"/>
        <v>0</v>
      </c>
      <c r="J39" s="84">
        <f t="shared" ca="1" si="0"/>
        <v>0</v>
      </c>
      <c r="K39" s="84">
        <v>0</v>
      </c>
      <c r="L39" s="84" t="str">
        <f t="shared" ca="1" si="21"/>
        <v xml:space="preserve"> </v>
      </c>
      <c r="M39" s="4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2">
        <f t="shared" ca="1" si="2"/>
        <v>0</v>
      </c>
      <c r="Q39" s="22">
        <f t="shared" ca="1" si="3"/>
        <v>0</v>
      </c>
      <c r="R39" s="22">
        <f t="shared" ca="1" si="23"/>
        <v>0</v>
      </c>
      <c r="S39" s="22" t="str">
        <f t="shared" ca="1" si="24"/>
        <v xml:space="preserve"> </v>
      </c>
      <c r="T39" s="22" t="e">
        <f t="shared" ca="1" si="25"/>
        <v>#VALUE!</v>
      </c>
      <c r="U39" s="22">
        <f t="shared" ca="1" si="34"/>
        <v>0</v>
      </c>
      <c r="V39" s="22">
        <f t="shared" ca="1" si="35"/>
        <v>0</v>
      </c>
      <c r="W39" s="22">
        <f t="shared" ca="1" si="26"/>
        <v>0</v>
      </c>
      <c r="X39" s="22">
        <f t="shared" ca="1" si="27"/>
        <v>0</v>
      </c>
      <c r="Y39" s="22">
        <f t="shared" ca="1" si="4"/>
        <v>0</v>
      </c>
      <c r="Z39" s="22">
        <f t="shared" ca="1" si="33"/>
        <v>0</v>
      </c>
      <c r="AA39" s="22">
        <f t="shared" ca="1" si="5"/>
        <v>0</v>
      </c>
      <c r="AB39" s="22">
        <f ca="1">IF(R40=0,R39*Q12,(R38*20+R39*10))</f>
        <v>0</v>
      </c>
      <c r="AC39" s="22">
        <f t="shared" ca="1" si="6"/>
        <v>0</v>
      </c>
      <c r="AD39" s="22">
        <f t="shared" ca="1" si="7"/>
        <v>0</v>
      </c>
      <c r="AE39" s="22">
        <f t="shared" ca="1" si="28"/>
        <v>0</v>
      </c>
      <c r="AF39" s="22">
        <f t="shared" ca="1" si="8"/>
        <v>0</v>
      </c>
      <c r="AG39" s="22">
        <f t="shared" ca="1" si="29"/>
        <v>0</v>
      </c>
      <c r="AH39" s="22">
        <f t="shared" ca="1" si="9"/>
        <v>0</v>
      </c>
      <c r="AI39" s="22">
        <f t="shared" ca="1" si="10"/>
        <v>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0"/>
        <v>0</v>
      </c>
      <c r="AM39" s="69">
        <f t="shared" ca="1" si="11"/>
        <v>0</v>
      </c>
      <c r="AN39" s="4">
        <f t="shared" ca="1" si="31"/>
        <v>0</v>
      </c>
      <c r="AO39" s="4">
        <f t="shared" ca="1" si="12"/>
        <v>0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4"/>
      <c r="AU39" s="4"/>
      <c r="AV39" s="4"/>
      <c r="AW39" s="4"/>
      <c r="AX39" s="4"/>
      <c r="AY39" s="4">
        <f t="shared" ca="1" si="16"/>
        <v>0</v>
      </c>
      <c r="AZ39" s="4"/>
      <c r="BA39" s="4"/>
      <c r="BB39" s="4"/>
      <c r="BC39" s="4"/>
      <c r="BD39" s="4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 t="str">
        <f t="shared" ca="1" si="18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9"/>
        <v xml:space="preserve"> </v>
      </c>
      <c r="I40" s="84">
        <f t="shared" ca="1" si="20"/>
        <v>0</v>
      </c>
      <c r="J40" s="84">
        <f t="shared" ca="1" si="0"/>
        <v>0</v>
      </c>
      <c r="K40" s="84">
        <v>0</v>
      </c>
      <c r="L40" s="84" t="str">
        <f t="shared" ca="1" si="21"/>
        <v xml:space="preserve"> </v>
      </c>
      <c r="M40" s="4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2">
        <f t="shared" ca="1" si="2"/>
        <v>0</v>
      </c>
      <c r="Q40" s="22">
        <f t="shared" ca="1" si="3"/>
        <v>0</v>
      </c>
      <c r="R40" s="22">
        <f t="shared" ca="1" si="23"/>
        <v>0</v>
      </c>
      <c r="S40" s="22" t="str">
        <f t="shared" ca="1" si="24"/>
        <v xml:space="preserve"> </v>
      </c>
      <c r="T40" s="22" t="e">
        <f t="shared" ca="1" si="25"/>
        <v>#VALUE!</v>
      </c>
      <c r="U40" s="22">
        <f t="shared" ca="1" si="34"/>
        <v>0</v>
      </c>
      <c r="V40" s="22">
        <f t="shared" ca="1" si="35"/>
        <v>0</v>
      </c>
      <c r="W40" s="22">
        <f t="shared" ca="1" si="26"/>
        <v>0</v>
      </c>
      <c r="X40" s="22">
        <f t="shared" ca="1" si="27"/>
        <v>0</v>
      </c>
      <c r="Y40" s="22">
        <f t="shared" ca="1" si="4"/>
        <v>0</v>
      </c>
      <c r="Z40" s="22">
        <f t="shared" ca="1" si="33"/>
        <v>0</v>
      </c>
      <c r="AA40" s="22">
        <f t="shared" ca="1" si="5"/>
        <v>0</v>
      </c>
      <c r="AB40" s="22">
        <f ca="1">IF(R41=0,R40*Q12,(R39*20+R40*10))</f>
        <v>0</v>
      </c>
      <c r="AC40" s="22">
        <f t="shared" ca="1" si="6"/>
        <v>0</v>
      </c>
      <c r="AD40" s="22">
        <f t="shared" ca="1" si="7"/>
        <v>0</v>
      </c>
      <c r="AE40" s="22">
        <f t="shared" ca="1" si="28"/>
        <v>0</v>
      </c>
      <c r="AF40" s="22">
        <f t="shared" ca="1" si="8"/>
        <v>0</v>
      </c>
      <c r="AG40" s="22">
        <f t="shared" ca="1" si="29"/>
        <v>0</v>
      </c>
      <c r="AH40" s="22">
        <f t="shared" ca="1" si="9"/>
        <v>0</v>
      </c>
      <c r="AI40" s="22">
        <f t="shared" ca="1" si="10"/>
        <v>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0"/>
        <v>0</v>
      </c>
      <c r="AM40" s="69">
        <f t="shared" ca="1" si="11"/>
        <v>0</v>
      </c>
      <c r="AN40" s="4">
        <f t="shared" ca="1" si="31"/>
        <v>0</v>
      </c>
      <c r="AO40" s="4">
        <f t="shared" ca="1" si="12"/>
        <v>0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4"/>
      <c r="AU40" s="4"/>
      <c r="AV40" s="4"/>
      <c r="AW40" s="4"/>
      <c r="AX40" s="4"/>
      <c r="AY40" s="4">
        <f t="shared" ca="1" si="16"/>
        <v>0</v>
      </c>
      <c r="AZ40" s="4"/>
      <c r="BA40" s="4"/>
      <c r="BB40" s="4"/>
      <c r="BC40" s="4"/>
      <c r="BD40" s="4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 t="str">
        <f t="shared" ca="1" si="18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9"/>
        <v xml:space="preserve"> </v>
      </c>
      <c r="I41" s="84">
        <f t="shared" ca="1" si="20"/>
        <v>0</v>
      </c>
      <c r="J41" s="84">
        <f t="shared" ca="1" si="0"/>
        <v>0</v>
      </c>
      <c r="K41" s="84">
        <v>0</v>
      </c>
      <c r="L41" s="84" t="str">
        <f t="shared" ca="1" si="21"/>
        <v xml:space="preserve"> </v>
      </c>
      <c r="M41" s="4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2">
        <f t="shared" ca="1" si="2"/>
        <v>0</v>
      </c>
      <c r="Q41" s="22">
        <f t="shared" ca="1" si="3"/>
        <v>0</v>
      </c>
      <c r="R41" s="22">
        <f t="shared" ca="1" si="23"/>
        <v>0</v>
      </c>
      <c r="S41" s="22" t="str">
        <f t="shared" ca="1" si="24"/>
        <v xml:space="preserve"> </v>
      </c>
      <c r="T41" s="22" t="e">
        <f t="shared" ca="1" si="25"/>
        <v>#VALUE!</v>
      </c>
      <c r="U41" s="22">
        <f t="shared" ca="1" si="34"/>
        <v>0</v>
      </c>
      <c r="V41" s="22">
        <f t="shared" ca="1" si="35"/>
        <v>0</v>
      </c>
      <c r="W41" s="22">
        <f t="shared" ca="1" si="26"/>
        <v>0</v>
      </c>
      <c r="X41" s="22">
        <f t="shared" ca="1" si="27"/>
        <v>0</v>
      </c>
      <c r="Y41" s="22">
        <f t="shared" ca="1" si="4"/>
        <v>0</v>
      </c>
      <c r="Z41" s="22">
        <f t="shared" ca="1" si="33"/>
        <v>0</v>
      </c>
      <c r="AA41" s="22">
        <f t="shared" ca="1" si="5"/>
        <v>0</v>
      </c>
      <c r="AB41" s="22">
        <f ca="1">IF(R42=0,R41*Q12,(R40*20+R41*10))</f>
        <v>0</v>
      </c>
      <c r="AC41" s="22">
        <f t="shared" ca="1" si="6"/>
        <v>0</v>
      </c>
      <c r="AD41" s="22">
        <f t="shared" ca="1" si="7"/>
        <v>0</v>
      </c>
      <c r="AE41" s="22">
        <f t="shared" ca="1" si="28"/>
        <v>0</v>
      </c>
      <c r="AF41" s="22">
        <f t="shared" ca="1" si="8"/>
        <v>0</v>
      </c>
      <c r="AG41" s="22">
        <f t="shared" ca="1" si="29"/>
        <v>0</v>
      </c>
      <c r="AH41" s="22">
        <f t="shared" ca="1" si="9"/>
        <v>0</v>
      </c>
      <c r="AI41" s="22">
        <f t="shared" ca="1" si="10"/>
        <v>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0"/>
        <v>0</v>
      </c>
      <c r="AM41" s="69">
        <f t="shared" ca="1" si="11"/>
        <v>0</v>
      </c>
      <c r="AN41" s="4">
        <f t="shared" ca="1" si="31"/>
        <v>0</v>
      </c>
      <c r="AO41" s="4">
        <f t="shared" ca="1" si="12"/>
        <v>0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4"/>
      <c r="AU41" s="4"/>
      <c r="AV41" s="4"/>
      <c r="AW41" s="4"/>
      <c r="AX41" s="4"/>
      <c r="AY41" s="4">
        <f t="shared" ca="1" si="16"/>
        <v>0</v>
      </c>
      <c r="AZ41" s="4"/>
      <c r="BA41" s="4"/>
      <c r="BB41" s="4"/>
      <c r="BC41" s="4"/>
      <c r="BD41" s="4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 t="str">
        <f t="shared" ca="1" si="18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9"/>
        <v xml:space="preserve"> </v>
      </c>
      <c r="I42" s="84">
        <f t="shared" ca="1" si="20"/>
        <v>0</v>
      </c>
      <c r="J42" s="84">
        <f t="shared" ca="1" si="0"/>
        <v>0</v>
      </c>
      <c r="K42" s="84">
        <v>0</v>
      </c>
      <c r="L42" s="84" t="str">
        <f t="shared" ca="1" si="21"/>
        <v xml:space="preserve"> </v>
      </c>
      <c r="M42" s="4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2">
        <f t="shared" ca="1" si="2"/>
        <v>0</v>
      </c>
      <c r="Q42" s="22">
        <f t="shared" ca="1" si="3"/>
        <v>0</v>
      </c>
      <c r="R42" s="22">
        <f t="shared" ca="1" si="23"/>
        <v>0</v>
      </c>
      <c r="S42" s="22" t="str">
        <f t="shared" ca="1" si="24"/>
        <v xml:space="preserve"> </v>
      </c>
      <c r="T42" s="22" t="e">
        <f t="shared" ca="1" si="25"/>
        <v>#VALUE!</v>
      </c>
      <c r="U42" s="22">
        <f t="shared" ca="1" si="34"/>
        <v>0</v>
      </c>
      <c r="V42" s="22">
        <f t="shared" ca="1" si="35"/>
        <v>0</v>
      </c>
      <c r="W42" s="22">
        <f t="shared" ca="1" si="26"/>
        <v>0</v>
      </c>
      <c r="X42" s="22">
        <f t="shared" ca="1" si="27"/>
        <v>0</v>
      </c>
      <c r="Y42" s="22">
        <f t="shared" ca="1" si="4"/>
        <v>0</v>
      </c>
      <c r="Z42" s="22">
        <f t="shared" ca="1" si="33"/>
        <v>0</v>
      </c>
      <c r="AA42" s="22">
        <f t="shared" ca="1" si="5"/>
        <v>0</v>
      </c>
      <c r="AB42" s="22">
        <f ca="1">IF(R43=0,R42*Q12,(R41*20+R42*10))</f>
        <v>0</v>
      </c>
      <c r="AC42" s="22">
        <f t="shared" ca="1" si="6"/>
        <v>0</v>
      </c>
      <c r="AD42" s="22">
        <f t="shared" ca="1" si="7"/>
        <v>0</v>
      </c>
      <c r="AE42" s="22">
        <f t="shared" ca="1" si="28"/>
        <v>0</v>
      </c>
      <c r="AF42" s="22">
        <f t="shared" ca="1" si="8"/>
        <v>0</v>
      </c>
      <c r="AG42" s="22">
        <f t="shared" ca="1" si="29"/>
        <v>0</v>
      </c>
      <c r="AH42" s="22">
        <f t="shared" ca="1" si="9"/>
        <v>0</v>
      </c>
      <c r="AI42" s="22">
        <f t="shared" ca="1" si="10"/>
        <v>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0"/>
        <v>0</v>
      </c>
      <c r="AM42" s="69">
        <f t="shared" ca="1" si="11"/>
        <v>0</v>
      </c>
      <c r="AN42" s="4">
        <f t="shared" ca="1" si="31"/>
        <v>0</v>
      </c>
      <c r="AO42" s="4">
        <f t="shared" ca="1" si="12"/>
        <v>0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4"/>
      <c r="AU42" s="4"/>
      <c r="AV42" s="4"/>
      <c r="AW42" s="4"/>
      <c r="AX42" s="4"/>
      <c r="AY42" s="4">
        <f t="shared" ca="1" si="16"/>
        <v>0</v>
      </c>
      <c r="AZ42" s="4"/>
      <c r="BA42" s="4"/>
      <c r="BB42" s="4"/>
      <c r="BC42" s="4"/>
      <c r="BD42" s="4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 t="str">
        <f t="shared" ca="1" si="18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9"/>
        <v xml:space="preserve"> </v>
      </c>
      <c r="I43" s="84">
        <f t="shared" ca="1" si="20"/>
        <v>0</v>
      </c>
      <c r="J43" s="84">
        <f t="shared" ca="1" si="0"/>
        <v>0</v>
      </c>
      <c r="K43" s="84">
        <v>0</v>
      </c>
      <c r="L43" s="84" t="str">
        <f t="shared" ca="1" si="21"/>
        <v xml:space="preserve"> </v>
      </c>
      <c r="M43" s="4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2">
        <f t="shared" ca="1" si="2"/>
        <v>0</v>
      </c>
      <c r="Q43" s="22">
        <f t="shared" ca="1" si="3"/>
        <v>0</v>
      </c>
      <c r="R43" s="22">
        <f t="shared" ca="1" si="23"/>
        <v>0</v>
      </c>
      <c r="S43" s="22" t="str">
        <f t="shared" ca="1" si="24"/>
        <v xml:space="preserve"> </v>
      </c>
      <c r="T43" s="22" t="e">
        <f t="shared" ca="1" si="25"/>
        <v>#VALUE!</v>
      </c>
      <c r="U43" s="22">
        <f t="shared" ca="1" si="34"/>
        <v>0</v>
      </c>
      <c r="V43" s="22">
        <f t="shared" ca="1" si="35"/>
        <v>0</v>
      </c>
      <c r="W43" s="22">
        <f t="shared" ca="1" si="26"/>
        <v>0</v>
      </c>
      <c r="X43" s="22">
        <f t="shared" ca="1" si="27"/>
        <v>0</v>
      </c>
      <c r="Y43" s="22">
        <f t="shared" ca="1" si="4"/>
        <v>0</v>
      </c>
      <c r="Z43" s="22">
        <f t="shared" ca="1" si="33"/>
        <v>0</v>
      </c>
      <c r="AA43" s="22">
        <f t="shared" ca="1" si="5"/>
        <v>0</v>
      </c>
      <c r="AB43" s="22">
        <f ca="1">IF(R44=0,R43*Q12,(R42*20+R43*10))</f>
        <v>0</v>
      </c>
      <c r="AC43" s="22">
        <f t="shared" ca="1" si="6"/>
        <v>0</v>
      </c>
      <c r="AD43" s="22">
        <f t="shared" ca="1" si="7"/>
        <v>0</v>
      </c>
      <c r="AE43" s="22">
        <f t="shared" ca="1" si="28"/>
        <v>0</v>
      </c>
      <c r="AF43" s="22">
        <f t="shared" ca="1" si="8"/>
        <v>0</v>
      </c>
      <c r="AG43" s="22">
        <f t="shared" ca="1" si="29"/>
        <v>0</v>
      </c>
      <c r="AH43" s="22">
        <f t="shared" ca="1" si="9"/>
        <v>0</v>
      </c>
      <c r="AI43" s="22">
        <f t="shared" ca="1" si="10"/>
        <v>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0"/>
        <v>0</v>
      </c>
      <c r="AM43" s="69">
        <f t="shared" ca="1" si="11"/>
        <v>0</v>
      </c>
      <c r="AN43" s="4">
        <f t="shared" ca="1" si="31"/>
        <v>0</v>
      </c>
      <c r="AO43" s="4">
        <f t="shared" ca="1" si="12"/>
        <v>0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2"/>
        <v>30</v>
      </c>
      <c r="AT43" s="4"/>
      <c r="AU43" s="4"/>
      <c r="AV43" s="4"/>
      <c r="AW43" s="4"/>
      <c r="AX43" s="4"/>
      <c r="AY43" s="4">
        <f t="shared" ca="1" si="16"/>
        <v>0</v>
      </c>
      <c r="AZ43" s="4"/>
      <c r="BA43" s="4"/>
      <c r="BB43" s="4"/>
      <c r="BC43" s="4"/>
      <c r="BD43" s="4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 t="str">
        <f t="shared" ca="1" si="18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9"/>
        <v xml:space="preserve"> </v>
      </c>
      <c r="I44" s="84">
        <f t="shared" ca="1" si="20"/>
        <v>0</v>
      </c>
      <c r="J44" s="84">
        <f t="shared" ca="1" si="0"/>
        <v>0</v>
      </c>
      <c r="K44" s="84">
        <v>0</v>
      </c>
      <c r="L44" s="84" t="str">
        <f t="shared" ca="1" si="21"/>
        <v xml:space="preserve"> </v>
      </c>
      <c r="M44" s="4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2">
        <f t="shared" ca="1" si="2"/>
        <v>0</v>
      </c>
      <c r="Q44" s="22">
        <f t="shared" ca="1" si="3"/>
        <v>0</v>
      </c>
      <c r="R44" s="22">
        <f t="shared" ca="1" si="23"/>
        <v>0</v>
      </c>
      <c r="S44" s="22" t="str">
        <f t="shared" ca="1" si="24"/>
        <v xml:space="preserve"> </v>
      </c>
      <c r="T44" s="22" t="e">
        <f t="shared" ca="1" si="25"/>
        <v>#VALUE!</v>
      </c>
      <c r="U44" s="22">
        <f t="shared" ca="1" si="34"/>
        <v>0</v>
      </c>
      <c r="V44" s="22">
        <f t="shared" ca="1" si="35"/>
        <v>0</v>
      </c>
      <c r="W44" s="22">
        <f t="shared" ca="1" si="26"/>
        <v>0</v>
      </c>
      <c r="X44" s="22">
        <f t="shared" ca="1" si="27"/>
        <v>0</v>
      </c>
      <c r="Y44" s="22">
        <f t="shared" ca="1" si="4"/>
        <v>0</v>
      </c>
      <c r="Z44" s="22">
        <f t="shared" ca="1" si="33"/>
        <v>0</v>
      </c>
      <c r="AA44" s="22">
        <f t="shared" ca="1" si="5"/>
        <v>0</v>
      </c>
      <c r="AB44" s="22">
        <f ca="1">IF(R45=0,R44*Q12,(R43*20+R44*10))</f>
        <v>0</v>
      </c>
      <c r="AC44" s="22">
        <f t="shared" ca="1" si="6"/>
        <v>0</v>
      </c>
      <c r="AD44" s="22">
        <f t="shared" ca="1" si="7"/>
        <v>0</v>
      </c>
      <c r="AE44" s="22">
        <f t="shared" ca="1" si="28"/>
        <v>0</v>
      </c>
      <c r="AF44" s="22">
        <f t="shared" ca="1" si="8"/>
        <v>0</v>
      </c>
      <c r="AG44" s="22">
        <f t="shared" ca="1" si="29"/>
        <v>0</v>
      </c>
      <c r="AH44" s="22">
        <f t="shared" ca="1" si="9"/>
        <v>0</v>
      </c>
      <c r="AI44" s="22">
        <f t="shared" ca="1" si="10"/>
        <v>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0"/>
        <v>0</v>
      </c>
      <c r="AM44" s="69">
        <f t="shared" ca="1" si="11"/>
        <v>0</v>
      </c>
      <c r="AN44" s="4">
        <f t="shared" ca="1" si="31"/>
        <v>0</v>
      </c>
      <c r="AO44" s="4">
        <f t="shared" ca="1" si="12"/>
        <v>0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30</v>
      </c>
      <c r="AT44" s="4"/>
      <c r="AU44" s="4"/>
      <c r="AV44" s="4"/>
      <c r="AW44" s="4"/>
      <c r="AX44" s="4"/>
      <c r="AY44" s="4">
        <f t="shared" ca="1" si="16"/>
        <v>0</v>
      </c>
      <c r="AZ44" s="4"/>
      <c r="BA44" s="4"/>
      <c r="BB44" s="4"/>
      <c r="BC44" s="4"/>
      <c r="BD44" s="4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 t="str">
        <f t="shared" ca="1" si="18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9"/>
        <v xml:space="preserve"> </v>
      </c>
      <c r="I45" s="84">
        <f t="shared" ca="1" si="20"/>
        <v>0</v>
      </c>
      <c r="J45" s="84">
        <f t="shared" ca="1" si="0"/>
        <v>0</v>
      </c>
      <c r="K45" s="84">
        <v>0</v>
      </c>
      <c r="L45" s="84" t="str">
        <f t="shared" ca="1" si="21"/>
        <v xml:space="preserve"> </v>
      </c>
      <c r="M45" s="4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2">
        <f t="shared" ca="1" si="2"/>
        <v>0</v>
      </c>
      <c r="Q45" s="22">
        <f t="shared" ca="1" si="3"/>
        <v>0</v>
      </c>
      <c r="R45" s="22">
        <f t="shared" ca="1" si="23"/>
        <v>0</v>
      </c>
      <c r="S45" s="22" t="str">
        <f t="shared" ca="1" si="24"/>
        <v xml:space="preserve"> </v>
      </c>
      <c r="T45" s="22" t="e">
        <f t="shared" ca="1" si="25"/>
        <v>#VALUE!</v>
      </c>
      <c r="U45" s="22">
        <f t="shared" ca="1" si="34"/>
        <v>0</v>
      </c>
      <c r="V45" s="22">
        <f t="shared" ca="1" si="35"/>
        <v>0</v>
      </c>
      <c r="W45" s="22">
        <f t="shared" ca="1" si="26"/>
        <v>0</v>
      </c>
      <c r="X45" s="22">
        <f t="shared" ca="1" si="27"/>
        <v>0</v>
      </c>
      <c r="Y45" s="22">
        <f t="shared" ca="1" si="4"/>
        <v>0</v>
      </c>
      <c r="Z45" s="22">
        <f t="shared" ca="1" si="33"/>
        <v>0</v>
      </c>
      <c r="AA45" s="22">
        <f t="shared" ca="1" si="5"/>
        <v>0</v>
      </c>
      <c r="AB45" s="22">
        <f ca="1">IF(R46=0,R45*Q12,(R44*20+R45*10))</f>
        <v>0</v>
      </c>
      <c r="AC45" s="22">
        <f t="shared" ca="1" si="6"/>
        <v>0</v>
      </c>
      <c r="AD45" s="22">
        <f t="shared" ca="1" si="7"/>
        <v>0</v>
      </c>
      <c r="AE45" s="22">
        <f t="shared" ca="1" si="28"/>
        <v>0</v>
      </c>
      <c r="AF45" s="22">
        <f t="shared" ca="1" si="8"/>
        <v>0</v>
      </c>
      <c r="AG45" s="22">
        <f t="shared" ca="1" si="29"/>
        <v>0</v>
      </c>
      <c r="AH45" s="22">
        <f t="shared" ca="1" si="9"/>
        <v>0</v>
      </c>
      <c r="AI45" s="22">
        <f t="shared" ca="1" si="10"/>
        <v>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0"/>
        <v>0</v>
      </c>
      <c r="AM45" s="69">
        <f t="shared" ca="1" si="11"/>
        <v>0</v>
      </c>
      <c r="AN45" s="4">
        <f t="shared" ca="1" si="31"/>
        <v>0</v>
      </c>
      <c r="AO45" s="4">
        <f t="shared" ca="1" si="12"/>
        <v>0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2"/>
        <v>30</v>
      </c>
      <c r="AT45" s="4"/>
      <c r="AU45" s="4"/>
      <c r="AV45" s="4"/>
      <c r="AW45" s="4"/>
      <c r="AX45" s="4"/>
      <c r="AY45" s="4">
        <f t="shared" ca="1" si="16"/>
        <v>0</v>
      </c>
      <c r="AZ45" s="4"/>
      <c r="BA45" s="4"/>
      <c r="BB45" s="4"/>
      <c r="BC45" s="4"/>
      <c r="BD45" s="4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 t="str">
        <f t="shared" ca="1" si="18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9"/>
        <v xml:space="preserve"> </v>
      </c>
      <c r="I46" s="84">
        <f t="shared" ca="1" si="20"/>
        <v>0</v>
      </c>
      <c r="J46" s="84">
        <f t="shared" ca="1" si="0"/>
        <v>0</v>
      </c>
      <c r="K46" s="84">
        <v>0</v>
      </c>
      <c r="L46" s="84" t="str">
        <f t="shared" ca="1" si="21"/>
        <v xml:space="preserve"> </v>
      </c>
      <c r="M46" s="4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2">
        <f t="shared" ca="1" si="2"/>
        <v>0</v>
      </c>
      <c r="Q46" s="22">
        <f t="shared" ca="1" si="3"/>
        <v>0</v>
      </c>
      <c r="R46" s="22">
        <f t="shared" ca="1" si="23"/>
        <v>0</v>
      </c>
      <c r="S46" s="22" t="str">
        <f t="shared" ca="1" si="24"/>
        <v xml:space="preserve"> </v>
      </c>
      <c r="T46" s="22" t="e">
        <f t="shared" ca="1" si="25"/>
        <v>#VALUE!</v>
      </c>
      <c r="U46" s="22">
        <f t="shared" ca="1" si="34"/>
        <v>0</v>
      </c>
      <c r="V46" s="22">
        <f t="shared" ca="1" si="35"/>
        <v>0</v>
      </c>
      <c r="W46" s="22">
        <f t="shared" ca="1" si="26"/>
        <v>0</v>
      </c>
      <c r="X46" s="22">
        <f t="shared" ca="1" si="27"/>
        <v>0</v>
      </c>
      <c r="Y46" s="22">
        <f t="shared" ca="1" si="4"/>
        <v>0</v>
      </c>
      <c r="Z46" s="22">
        <f t="shared" ca="1" si="33"/>
        <v>0</v>
      </c>
      <c r="AA46" s="22">
        <f t="shared" ca="1" si="5"/>
        <v>0</v>
      </c>
      <c r="AB46" s="22">
        <f ca="1">IF(R47=0,R46*Q12,(R45*20+R46*10))</f>
        <v>0</v>
      </c>
      <c r="AC46" s="22">
        <f t="shared" ca="1" si="6"/>
        <v>0</v>
      </c>
      <c r="AD46" s="22">
        <f t="shared" ca="1" si="7"/>
        <v>0</v>
      </c>
      <c r="AE46" s="22">
        <f t="shared" ca="1" si="28"/>
        <v>0</v>
      </c>
      <c r="AF46" s="22">
        <f t="shared" ca="1" si="8"/>
        <v>0</v>
      </c>
      <c r="AG46" s="22">
        <f t="shared" ca="1" si="29"/>
        <v>0</v>
      </c>
      <c r="AH46" s="22">
        <f t="shared" ca="1" si="9"/>
        <v>0</v>
      </c>
      <c r="AI46" s="22">
        <f t="shared" ca="1" si="10"/>
        <v>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0"/>
        <v>0</v>
      </c>
      <c r="AM46" s="69">
        <f t="shared" ca="1" si="11"/>
        <v>0</v>
      </c>
      <c r="AN46" s="4">
        <f t="shared" ca="1" si="31"/>
        <v>0</v>
      </c>
      <c r="AO46" s="4">
        <f t="shared" ca="1" si="12"/>
        <v>0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30</v>
      </c>
      <c r="AT46" s="4"/>
      <c r="AU46" s="4"/>
      <c r="AV46" s="4"/>
      <c r="AW46" s="4"/>
      <c r="AX46" s="4"/>
      <c r="AY46" s="4">
        <f t="shared" ca="1" si="16"/>
        <v>0</v>
      </c>
      <c r="AZ46" s="4"/>
      <c r="BA46" s="4"/>
      <c r="BB46" s="4"/>
      <c r="BC46" s="4"/>
      <c r="BD46" s="4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 t="str">
        <f t="shared" ca="1" si="18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9"/>
        <v xml:space="preserve"> </v>
      </c>
      <c r="I47" s="84">
        <f t="shared" ca="1" si="20"/>
        <v>0</v>
      </c>
      <c r="J47" s="84">
        <f t="shared" ca="1" si="0"/>
        <v>0</v>
      </c>
      <c r="K47" s="84">
        <v>0</v>
      </c>
      <c r="L47" s="84" t="str">
        <f t="shared" ca="1" si="21"/>
        <v xml:space="preserve"> </v>
      </c>
      <c r="M47" s="4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2">
        <f t="shared" ca="1" si="2"/>
        <v>0</v>
      </c>
      <c r="Q47" s="22">
        <f t="shared" ca="1" si="3"/>
        <v>0</v>
      </c>
      <c r="R47" s="22">
        <f t="shared" ca="1" si="23"/>
        <v>0</v>
      </c>
      <c r="S47" s="22" t="str">
        <f t="shared" ca="1" si="24"/>
        <v xml:space="preserve"> </v>
      </c>
      <c r="T47" s="22" t="e">
        <f t="shared" ca="1" si="25"/>
        <v>#VALUE!</v>
      </c>
      <c r="U47" s="22">
        <f t="shared" ca="1" si="34"/>
        <v>0</v>
      </c>
      <c r="V47" s="22">
        <f t="shared" ca="1" si="35"/>
        <v>0</v>
      </c>
      <c r="W47" s="22">
        <f t="shared" ca="1" si="26"/>
        <v>0</v>
      </c>
      <c r="X47" s="22">
        <f t="shared" ca="1" si="27"/>
        <v>0</v>
      </c>
      <c r="Y47" s="22">
        <f t="shared" ca="1" si="4"/>
        <v>0</v>
      </c>
      <c r="Z47" s="22">
        <f t="shared" ca="1" si="33"/>
        <v>0</v>
      </c>
      <c r="AA47" s="22">
        <f t="shared" ca="1" si="5"/>
        <v>0</v>
      </c>
      <c r="AB47" s="22">
        <f ca="1">IF(R48=0,R47*Q12,(R46*20+R47*10))</f>
        <v>0</v>
      </c>
      <c r="AC47" s="22">
        <f t="shared" ca="1" si="6"/>
        <v>0</v>
      </c>
      <c r="AD47" s="22">
        <f t="shared" ca="1" si="7"/>
        <v>0</v>
      </c>
      <c r="AE47" s="22">
        <f t="shared" ca="1" si="28"/>
        <v>0</v>
      </c>
      <c r="AF47" s="22">
        <f t="shared" ca="1" si="8"/>
        <v>0</v>
      </c>
      <c r="AG47" s="22">
        <f t="shared" ca="1" si="29"/>
        <v>0</v>
      </c>
      <c r="AH47" s="22">
        <f t="shared" ca="1" si="9"/>
        <v>0</v>
      </c>
      <c r="AI47" s="22">
        <f t="shared" ca="1" si="10"/>
        <v>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0"/>
        <v>0</v>
      </c>
      <c r="AM47" s="69">
        <f t="shared" ca="1" si="11"/>
        <v>0</v>
      </c>
      <c r="AN47" s="4">
        <f t="shared" ca="1" si="31"/>
        <v>0</v>
      </c>
      <c r="AO47" s="4">
        <f t="shared" ca="1" si="12"/>
        <v>0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4"/>
      <c r="AU47" s="4"/>
      <c r="AV47" s="4"/>
      <c r="AW47" s="4"/>
      <c r="AX47" s="4"/>
      <c r="AY47" s="4">
        <f t="shared" ca="1" si="16"/>
        <v>0</v>
      </c>
      <c r="AZ47" s="4"/>
      <c r="BA47" s="4"/>
      <c r="BB47" s="4"/>
      <c r="BC47" s="4"/>
      <c r="BD47" s="4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 t="str">
        <f t="shared" ca="1" si="18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9"/>
        <v xml:space="preserve"> </v>
      </c>
      <c r="I48" s="84">
        <f t="shared" ca="1" si="20"/>
        <v>0</v>
      </c>
      <c r="J48" s="84">
        <f t="shared" ca="1" si="0"/>
        <v>0</v>
      </c>
      <c r="K48" s="84">
        <v>0</v>
      </c>
      <c r="L48" s="84" t="str">
        <f t="shared" ca="1" si="21"/>
        <v xml:space="preserve"> </v>
      </c>
      <c r="M48" s="4">
        <f t="shared" si="22"/>
        <v>24</v>
      </c>
      <c r="N48" s="4">
        <f t="shared" ref="N48:N85" ca="1" si="36">IF(M$1=1,IF(M$14&gt;M47,1,0),IF(M$1=2,IF(M$14&gt;M47,1,0),0))</f>
        <v>0</v>
      </c>
      <c r="O48" s="4">
        <f t="shared" ca="1" si="1"/>
        <v>20</v>
      </c>
      <c r="P48" s="22">
        <f t="shared" ca="1" si="2"/>
        <v>0</v>
      </c>
      <c r="Q48" s="22">
        <f t="shared" ca="1" si="3"/>
        <v>0</v>
      </c>
      <c r="R48" s="22">
        <f t="shared" ca="1" si="23"/>
        <v>0</v>
      </c>
      <c r="S48" s="22" t="str">
        <f t="shared" ca="1" si="24"/>
        <v xml:space="preserve"> </v>
      </c>
      <c r="T48" s="22" t="e">
        <f t="shared" ca="1" si="25"/>
        <v>#VALUE!</v>
      </c>
      <c r="U48" s="22">
        <f ca="1">IF(N49=1,R47*D11*20/36000+R48*D11*10/36000,IF(N49=0,IF(N48=0,0,R48*D11*Q12/36000+R47*D11*20/36000+R48*D11*10/36000)))</f>
        <v>0</v>
      </c>
      <c r="V48" s="22">
        <f ca="1">IF(N49=1,R47*D11*20/36000+R48*D11*10/36000,IF(N49=0,IF(N48=0,0,R48*D11*Q12/36000+R47*D11*20/36000+R48*D11*10/36000)))</f>
        <v>0</v>
      </c>
      <c r="W48" s="22">
        <f t="shared" ca="1" si="26"/>
        <v>0</v>
      </c>
      <c r="X48" s="22">
        <f t="shared" ca="1" si="27"/>
        <v>0</v>
      </c>
      <c r="Y48" s="22">
        <f t="shared" ca="1" si="4"/>
        <v>0</v>
      </c>
      <c r="Z48" s="22">
        <f t="shared" ca="1" si="33"/>
        <v>0</v>
      </c>
      <c r="AA48" s="22">
        <f t="shared" ca="1" si="5"/>
        <v>0</v>
      </c>
      <c r="AB48" s="22">
        <f t="shared" ref="AB48:AB84" ca="1" si="37">IF(R49=0,R48*Q$12,(R47*20+R48*10))</f>
        <v>0</v>
      </c>
      <c r="AC48" s="22">
        <f t="shared" ca="1" si="6"/>
        <v>0</v>
      </c>
      <c r="AD48" s="22">
        <f t="shared" ca="1" si="7"/>
        <v>0</v>
      </c>
      <c r="AE48" s="22">
        <f t="shared" ca="1" si="28"/>
        <v>0</v>
      </c>
      <c r="AF48" s="22">
        <f t="shared" ca="1" si="8"/>
        <v>0</v>
      </c>
      <c r="AG48" s="22">
        <f t="shared" ca="1" si="29"/>
        <v>0</v>
      </c>
      <c r="AH48" s="22">
        <f t="shared" ca="1" si="9"/>
        <v>0</v>
      </c>
      <c r="AI48" s="22">
        <f t="shared" ca="1" si="10"/>
        <v>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0"/>
        <v>0</v>
      </c>
      <c r="AM48" s="69">
        <f t="shared" ca="1" si="11"/>
        <v>0</v>
      </c>
      <c r="AN48" s="4">
        <f t="shared" ca="1" si="31"/>
        <v>0</v>
      </c>
      <c r="AO48" s="4">
        <f t="shared" ca="1" si="12"/>
        <v>0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4"/>
      <c r="AU48" s="4"/>
      <c r="AV48" s="4"/>
      <c r="AW48" s="4"/>
      <c r="AX48" s="4"/>
      <c r="AY48" s="4">
        <f t="shared" ca="1" si="16"/>
        <v>0</v>
      </c>
      <c r="AZ48" s="4"/>
      <c r="BA48" s="4"/>
      <c r="BB48" s="4"/>
      <c r="BC48" s="4"/>
      <c r="BD48" s="4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 t="str">
        <f t="shared" ca="1" si="18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9"/>
        <v xml:space="preserve"> </v>
      </c>
      <c r="I49" s="84">
        <f t="shared" ca="1" si="20"/>
        <v>0</v>
      </c>
      <c r="J49" s="84">
        <f t="shared" ca="1" si="0"/>
        <v>0</v>
      </c>
      <c r="K49" s="84">
        <v>0</v>
      </c>
      <c r="L49" s="84" t="str">
        <f t="shared" ca="1" si="21"/>
        <v xml:space="preserve"> </v>
      </c>
      <c r="M49" s="4">
        <v>25</v>
      </c>
      <c r="N49" s="4">
        <f t="shared" ca="1" si="36"/>
        <v>0</v>
      </c>
      <c r="O49" s="4">
        <f t="shared" ca="1" si="1"/>
        <v>20</v>
      </c>
      <c r="P49" s="22">
        <f t="shared" ca="1" si="2"/>
        <v>0</v>
      </c>
      <c r="Q49" s="22">
        <f t="shared" ca="1" si="3"/>
        <v>0</v>
      </c>
      <c r="R49" s="22">
        <f t="shared" ca="1" si="23"/>
        <v>0</v>
      </c>
      <c r="S49" s="22" t="str">
        <f t="shared" ca="1" si="24"/>
        <v xml:space="preserve"> </v>
      </c>
      <c r="T49" s="22" t="e">
        <f t="shared" ca="1" si="25"/>
        <v>#VALUE!</v>
      </c>
      <c r="U49" s="22">
        <f t="shared" ref="U49:U59" ca="1" si="38">IF(N50=1,R48*D$11*20/36000+R49*D$11*10/36000,IF(N50=0,IF(N49=0,0,IF(D$16&gt;20,R48*D$11*20/36000+R49*D$11*(Q$12-20)/36000,R49*D$11*Q$12/36000))))</f>
        <v>0</v>
      </c>
      <c r="V49" s="22">
        <f t="shared" ref="V49:V59" ca="1" si="39">IF(N50=1,R48*D$11*20/36000+R49*D$11*10/36000,IF(N50=0,IF(N49=0,0,IF(D$16&gt;20,R48*D$11*20/36000+R49*D$11*(Q$12-20)/36000,R49*D$11*Q$12/36000))))</f>
        <v>0</v>
      </c>
      <c r="W49" s="22">
        <f t="shared" ca="1" si="26"/>
        <v>0</v>
      </c>
      <c r="X49" s="22">
        <f t="shared" ca="1" si="27"/>
        <v>0</v>
      </c>
      <c r="Y49" s="22">
        <f t="shared" ca="1" si="4"/>
        <v>0</v>
      </c>
      <c r="Z49" s="22">
        <f t="shared" ca="1" si="33"/>
        <v>0</v>
      </c>
      <c r="AA49" s="22">
        <f t="shared" ca="1" si="5"/>
        <v>0</v>
      </c>
      <c r="AB49" s="22">
        <f t="shared" ca="1" si="37"/>
        <v>0</v>
      </c>
      <c r="AC49" s="22">
        <f t="shared" ca="1" si="6"/>
        <v>0</v>
      </c>
      <c r="AD49" s="22">
        <f t="shared" ca="1" si="7"/>
        <v>0</v>
      </c>
      <c r="AE49" s="22">
        <f t="shared" ca="1" si="28"/>
        <v>0</v>
      </c>
      <c r="AF49" s="22">
        <f t="shared" ca="1" si="8"/>
        <v>0</v>
      </c>
      <c r="AG49" s="22">
        <f t="shared" ca="1" si="29"/>
        <v>0</v>
      </c>
      <c r="AH49" s="22">
        <f t="shared" ca="1" si="9"/>
        <v>0</v>
      </c>
      <c r="AI49" s="22">
        <f t="shared" ca="1" si="10"/>
        <v>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0"/>
        <v>0</v>
      </c>
      <c r="AM49" s="69">
        <f t="shared" ca="1" si="11"/>
        <v>0</v>
      </c>
      <c r="AN49" s="4">
        <f t="shared" ca="1" si="31"/>
        <v>0</v>
      </c>
      <c r="AO49" s="4">
        <f t="shared" ca="1" si="12"/>
        <v>0</v>
      </c>
      <c r="AP49" s="4">
        <f t="shared" ca="1" si="13"/>
        <v>0</v>
      </c>
      <c r="AQ49" s="4">
        <f t="shared" ca="1" si="14"/>
        <v>30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0</v>
      </c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ca="1" si="18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9"/>
        <v xml:space="preserve"> </v>
      </c>
      <c r="I50" s="84">
        <f t="shared" ca="1" si="20"/>
        <v>0</v>
      </c>
      <c r="J50" s="84">
        <f t="shared" ca="1" si="0"/>
        <v>0</v>
      </c>
      <c r="K50" s="84">
        <v>0</v>
      </c>
      <c r="L50" s="84" t="str">
        <f t="shared" ca="1" si="21"/>
        <v xml:space="preserve"> </v>
      </c>
      <c r="M50" s="4">
        <v>26</v>
      </c>
      <c r="N50" s="4">
        <f t="shared" ca="1" si="36"/>
        <v>0</v>
      </c>
      <c r="O50" s="4">
        <f t="shared" ca="1" si="1"/>
        <v>20</v>
      </c>
      <c r="P50" s="22">
        <f t="shared" ca="1" si="2"/>
        <v>0</v>
      </c>
      <c r="Q50" s="22">
        <f t="shared" ca="1" si="3"/>
        <v>0</v>
      </c>
      <c r="R50" s="22">
        <f t="shared" ca="1" si="23"/>
        <v>0</v>
      </c>
      <c r="S50" s="22" t="str">
        <f t="shared" ca="1" si="24"/>
        <v xml:space="preserve"> </v>
      </c>
      <c r="T50" s="22" t="e">
        <f t="shared" ca="1" si="25"/>
        <v>#VALUE!</v>
      </c>
      <c r="U50" s="22">
        <f t="shared" ca="1" si="38"/>
        <v>0</v>
      </c>
      <c r="V50" s="22">
        <f t="shared" ca="1" si="39"/>
        <v>0</v>
      </c>
      <c r="W50" s="22">
        <f t="shared" ca="1" si="26"/>
        <v>0</v>
      </c>
      <c r="X50" s="22">
        <f t="shared" ca="1" si="27"/>
        <v>0</v>
      </c>
      <c r="Y50" s="22">
        <f t="shared" ca="1" si="4"/>
        <v>0</v>
      </c>
      <c r="Z50" s="22">
        <f t="shared" ca="1" si="33"/>
        <v>0</v>
      </c>
      <c r="AA50" s="22">
        <f t="shared" ca="1" si="5"/>
        <v>0</v>
      </c>
      <c r="AB50" s="22">
        <f t="shared" ca="1" si="37"/>
        <v>0</v>
      </c>
      <c r="AC50" s="22">
        <f t="shared" ca="1" si="6"/>
        <v>0</v>
      </c>
      <c r="AD50" s="22">
        <f t="shared" ca="1" si="7"/>
        <v>0</v>
      </c>
      <c r="AE50" s="22">
        <f t="shared" ca="1" si="28"/>
        <v>0</v>
      </c>
      <c r="AF50" s="22">
        <f t="shared" ca="1" si="8"/>
        <v>0</v>
      </c>
      <c r="AG50" s="22">
        <f t="shared" ca="1" si="29"/>
        <v>0</v>
      </c>
      <c r="AH50" s="22">
        <f t="shared" ca="1" si="9"/>
        <v>0</v>
      </c>
      <c r="AI50" s="22">
        <f t="shared" ca="1" si="10"/>
        <v>0</v>
      </c>
      <c r="AJ50" s="22">
        <f t="shared" ref="AJ50:AJ60" ca="1" si="40">IF(N51=1,AI49*G$12*20/36000+AI50*G$12*10/36000,IF(N51=0,IF(N50=0,0,AI50*G$12*Q$12/36000+AI49*G$12*20/36000+AI50*G$12*10/36000)))</f>
        <v>0</v>
      </c>
      <c r="AK50" s="22">
        <f t="shared" ref="AK50:AK60" ca="1" si="41">IF(N51=1,AI49*G$12*20/36000+AI50*G$12*10/36000,IF(N51=0,IF(N50=0,0,AI50*G$12*Q$12/36000+AI49*G$12*20/36000+AI50*G$12*10/36000)))</f>
        <v>0</v>
      </c>
      <c r="AL50" s="69">
        <f t="shared" ca="1" si="30"/>
        <v>0</v>
      </c>
      <c r="AM50" s="69">
        <f t="shared" ca="1" si="11"/>
        <v>0</v>
      </c>
      <c r="AN50" s="4">
        <f t="shared" ca="1" si="31"/>
        <v>0</v>
      </c>
      <c r="AO50" s="4">
        <f t="shared" ca="1" si="12"/>
        <v>0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30</v>
      </c>
      <c r="AT50" s="4"/>
      <c r="AU50" s="4"/>
      <c r="AV50" s="4"/>
      <c r="AW50" s="4"/>
      <c r="AX50" s="4"/>
      <c r="AY50" s="4">
        <f t="shared" ca="1" si="16"/>
        <v>0</v>
      </c>
      <c r="AZ50" s="4"/>
      <c r="BA50" s="4"/>
      <c r="BB50" s="4"/>
      <c r="BC50" s="4"/>
      <c r="BD50" s="4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ca="1" si="18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9"/>
        <v xml:space="preserve"> </v>
      </c>
      <c r="I51" s="84">
        <f t="shared" ca="1" si="20"/>
        <v>0</v>
      </c>
      <c r="J51" s="84">
        <f t="shared" ca="1" si="0"/>
        <v>0</v>
      </c>
      <c r="K51" s="84">
        <v>0</v>
      </c>
      <c r="L51" s="84" t="str">
        <f t="shared" ca="1" si="21"/>
        <v xml:space="preserve"> </v>
      </c>
      <c r="M51" s="4">
        <v>27</v>
      </c>
      <c r="N51" s="4">
        <f t="shared" ca="1" si="36"/>
        <v>0</v>
      </c>
      <c r="O51" s="4">
        <f t="shared" ca="1" si="1"/>
        <v>20</v>
      </c>
      <c r="P51" s="22">
        <f t="shared" ca="1" si="2"/>
        <v>0</v>
      </c>
      <c r="Q51" s="22">
        <f t="shared" ca="1" si="3"/>
        <v>0</v>
      </c>
      <c r="R51" s="22">
        <f t="shared" ca="1" si="23"/>
        <v>0</v>
      </c>
      <c r="S51" s="22" t="str">
        <f t="shared" ca="1" si="24"/>
        <v xml:space="preserve"> </v>
      </c>
      <c r="T51" s="22" t="e">
        <f t="shared" ca="1" si="25"/>
        <v>#VALUE!</v>
      </c>
      <c r="U51" s="22">
        <f t="shared" ca="1" si="38"/>
        <v>0</v>
      </c>
      <c r="V51" s="22">
        <f t="shared" ca="1" si="39"/>
        <v>0</v>
      </c>
      <c r="W51" s="22">
        <f t="shared" ca="1" si="26"/>
        <v>0</v>
      </c>
      <c r="X51" s="22">
        <f t="shared" ca="1" si="27"/>
        <v>0</v>
      </c>
      <c r="Y51" s="22">
        <f t="shared" ca="1" si="4"/>
        <v>0</v>
      </c>
      <c r="Z51" s="22">
        <f t="shared" ca="1" si="33"/>
        <v>0</v>
      </c>
      <c r="AA51" s="22">
        <f t="shared" ca="1" si="5"/>
        <v>0</v>
      </c>
      <c r="AB51" s="22">
        <f t="shared" ca="1" si="37"/>
        <v>0</v>
      </c>
      <c r="AC51" s="22">
        <f t="shared" ca="1" si="6"/>
        <v>0</v>
      </c>
      <c r="AD51" s="22">
        <f t="shared" ca="1" si="7"/>
        <v>0</v>
      </c>
      <c r="AE51" s="22">
        <f t="shared" ca="1" si="28"/>
        <v>0</v>
      </c>
      <c r="AF51" s="22">
        <f t="shared" ca="1" si="8"/>
        <v>0</v>
      </c>
      <c r="AG51" s="22">
        <f t="shared" ca="1" si="29"/>
        <v>0</v>
      </c>
      <c r="AH51" s="22">
        <f t="shared" ca="1" si="9"/>
        <v>0</v>
      </c>
      <c r="AI51" s="22">
        <f t="shared" ca="1" si="10"/>
        <v>0</v>
      </c>
      <c r="AJ51" s="22">
        <f t="shared" ca="1" si="40"/>
        <v>0</v>
      </c>
      <c r="AK51" s="22">
        <f t="shared" ca="1" si="41"/>
        <v>0</v>
      </c>
      <c r="AL51" s="69">
        <f t="shared" ca="1" si="30"/>
        <v>0</v>
      </c>
      <c r="AM51" s="69">
        <f t="shared" ca="1" si="11"/>
        <v>0</v>
      </c>
      <c r="AN51" s="4">
        <f t="shared" ca="1" si="31"/>
        <v>0</v>
      </c>
      <c r="AO51" s="4">
        <f t="shared" ca="1" si="12"/>
        <v>0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4"/>
      <c r="AU51" s="4"/>
      <c r="AV51" s="4"/>
      <c r="AW51" s="4"/>
      <c r="AX51" s="4"/>
      <c r="AY51" s="4">
        <f t="shared" ca="1" si="16"/>
        <v>0</v>
      </c>
      <c r="AZ51" s="4"/>
      <c r="BA51" s="4"/>
      <c r="BB51" s="4"/>
      <c r="BC51" s="4"/>
      <c r="BD51" s="4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ca="1" si="18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9"/>
        <v xml:space="preserve"> </v>
      </c>
      <c r="I52" s="84">
        <f t="shared" ca="1" si="20"/>
        <v>0</v>
      </c>
      <c r="J52" s="84">
        <f t="shared" ca="1" si="0"/>
        <v>0</v>
      </c>
      <c r="K52" s="84">
        <v>0</v>
      </c>
      <c r="L52" s="84" t="str">
        <f t="shared" ca="1" si="21"/>
        <v xml:space="preserve"> </v>
      </c>
      <c r="M52" s="4">
        <v>28</v>
      </c>
      <c r="N52" s="4">
        <f t="shared" ca="1" si="36"/>
        <v>0</v>
      </c>
      <c r="O52" s="4">
        <f t="shared" ca="1" si="1"/>
        <v>20</v>
      </c>
      <c r="P52" s="22">
        <f t="shared" ca="1" si="2"/>
        <v>0</v>
      </c>
      <c r="Q52" s="22">
        <f t="shared" ca="1" si="3"/>
        <v>0</v>
      </c>
      <c r="R52" s="22">
        <f t="shared" ca="1" si="23"/>
        <v>0</v>
      </c>
      <c r="S52" s="22" t="str">
        <f t="shared" ca="1" si="24"/>
        <v xml:space="preserve"> </v>
      </c>
      <c r="T52" s="22" t="e">
        <f t="shared" ca="1" si="25"/>
        <v>#VALUE!</v>
      </c>
      <c r="U52" s="22">
        <f t="shared" ca="1" si="38"/>
        <v>0</v>
      </c>
      <c r="V52" s="22">
        <f t="shared" ca="1" si="39"/>
        <v>0</v>
      </c>
      <c r="W52" s="22">
        <f t="shared" ca="1" si="26"/>
        <v>0</v>
      </c>
      <c r="X52" s="22">
        <f t="shared" ca="1" si="27"/>
        <v>0</v>
      </c>
      <c r="Y52" s="22">
        <f t="shared" ca="1" si="4"/>
        <v>0</v>
      </c>
      <c r="Z52" s="22">
        <f t="shared" ca="1" si="33"/>
        <v>0</v>
      </c>
      <c r="AA52" s="22">
        <f t="shared" ca="1" si="5"/>
        <v>0</v>
      </c>
      <c r="AB52" s="22">
        <f t="shared" ca="1" si="37"/>
        <v>0</v>
      </c>
      <c r="AC52" s="22">
        <f t="shared" ca="1" si="6"/>
        <v>0</v>
      </c>
      <c r="AD52" s="22">
        <f t="shared" ca="1" si="7"/>
        <v>0</v>
      </c>
      <c r="AE52" s="22">
        <f t="shared" ca="1" si="28"/>
        <v>0</v>
      </c>
      <c r="AF52" s="22">
        <f t="shared" ca="1" si="8"/>
        <v>0</v>
      </c>
      <c r="AG52" s="22">
        <f t="shared" ca="1" si="29"/>
        <v>0</v>
      </c>
      <c r="AH52" s="22">
        <f t="shared" ca="1" si="9"/>
        <v>0</v>
      </c>
      <c r="AI52" s="22">
        <f t="shared" ca="1" si="10"/>
        <v>0</v>
      </c>
      <c r="AJ52" s="22">
        <f t="shared" ca="1" si="40"/>
        <v>0</v>
      </c>
      <c r="AK52" s="22">
        <f t="shared" ca="1" si="41"/>
        <v>0</v>
      </c>
      <c r="AL52" s="69">
        <f t="shared" ca="1" si="30"/>
        <v>0</v>
      </c>
      <c r="AM52" s="69">
        <f t="shared" ca="1" si="11"/>
        <v>0</v>
      </c>
      <c r="AN52" s="4">
        <f t="shared" ca="1" si="31"/>
        <v>0</v>
      </c>
      <c r="AO52" s="4">
        <f t="shared" ca="1" si="12"/>
        <v>0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4"/>
      <c r="AU52" s="4"/>
      <c r="AV52" s="4"/>
      <c r="AW52" s="4"/>
      <c r="AX52" s="4"/>
      <c r="AY52" s="4">
        <f t="shared" ca="1" si="16"/>
        <v>0</v>
      </c>
      <c r="AZ52" s="4"/>
      <c r="BA52" s="4"/>
      <c r="BB52" s="4"/>
      <c r="BC52" s="4"/>
      <c r="BD52" s="4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ca="1" si="18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9"/>
        <v xml:space="preserve"> </v>
      </c>
      <c r="I53" s="84">
        <f t="shared" ca="1" si="20"/>
        <v>0</v>
      </c>
      <c r="J53" s="84">
        <f t="shared" ca="1" si="0"/>
        <v>0</v>
      </c>
      <c r="K53" s="84">
        <v>0</v>
      </c>
      <c r="L53" s="84" t="str">
        <f t="shared" ca="1" si="21"/>
        <v xml:space="preserve"> </v>
      </c>
      <c r="M53" s="4">
        <v>29</v>
      </c>
      <c r="N53" s="4">
        <f t="shared" ca="1" si="36"/>
        <v>0</v>
      </c>
      <c r="O53" s="4">
        <f t="shared" ca="1" si="1"/>
        <v>20</v>
      </c>
      <c r="P53" s="22">
        <f t="shared" ca="1" si="2"/>
        <v>0</v>
      </c>
      <c r="Q53" s="22">
        <f t="shared" ca="1" si="3"/>
        <v>0</v>
      </c>
      <c r="R53" s="22">
        <f t="shared" ca="1" si="23"/>
        <v>0</v>
      </c>
      <c r="S53" s="22" t="str">
        <f t="shared" ca="1" si="24"/>
        <v xml:space="preserve"> </v>
      </c>
      <c r="T53" s="22" t="e">
        <f t="shared" ca="1" si="25"/>
        <v>#VALUE!</v>
      </c>
      <c r="U53" s="22">
        <f t="shared" ca="1" si="38"/>
        <v>0</v>
      </c>
      <c r="V53" s="22">
        <f t="shared" ca="1" si="39"/>
        <v>0</v>
      </c>
      <c r="W53" s="22">
        <f t="shared" ca="1" si="26"/>
        <v>0</v>
      </c>
      <c r="X53" s="22">
        <f t="shared" ca="1" si="27"/>
        <v>0</v>
      </c>
      <c r="Y53" s="22">
        <f t="shared" ca="1" si="4"/>
        <v>0</v>
      </c>
      <c r="Z53" s="22">
        <f t="shared" ca="1" si="33"/>
        <v>0</v>
      </c>
      <c r="AA53" s="22">
        <f t="shared" ca="1" si="5"/>
        <v>0</v>
      </c>
      <c r="AB53" s="22">
        <f t="shared" ca="1" si="37"/>
        <v>0</v>
      </c>
      <c r="AC53" s="22">
        <f t="shared" ca="1" si="6"/>
        <v>0</v>
      </c>
      <c r="AD53" s="22">
        <f t="shared" ca="1" si="7"/>
        <v>0</v>
      </c>
      <c r="AE53" s="22">
        <f t="shared" ca="1" si="28"/>
        <v>0</v>
      </c>
      <c r="AF53" s="22">
        <f t="shared" ca="1" si="8"/>
        <v>0</v>
      </c>
      <c r="AG53" s="22">
        <f t="shared" ca="1" si="29"/>
        <v>0</v>
      </c>
      <c r="AH53" s="22">
        <f t="shared" ca="1" si="9"/>
        <v>0</v>
      </c>
      <c r="AI53" s="22">
        <f t="shared" ca="1" si="10"/>
        <v>0</v>
      </c>
      <c r="AJ53" s="22">
        <f t="shared" ca="1" si="40"/>
        <v>0</v>
      </c>
      <c r="AK53" s="22">
        <f t="shared" ca="1" si="41"/>
        <v>0</v>
      </c>
      <c r="AL53" s="69">
        <f t="shared" ca="1" si="30"/>
        <v>0</v>
      </c>
      <c r="AM53" s="69">
        <f t="shared" ca="1" si="11"/>
        <v>0</v>
      </c>
      <c r="AN53" s="4">
        <f t="shared" ca="1" si="31"/>
        <v>0</v>
      </c>
      <c r="AO53" s="4">
        <f t="shared" ca="1" si="12"/>
        <v>0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4"/>
      <c r="AU53" s="4"/>
      <c r="AV53" s="4"/>
      <c r="AW53" s="4"/>
      <c r="AX53" s="4"/>
      <c r="AY53" s="4">
        <f t="shared" ca="1" si="16"/>
        <v>0</v>
      </c>
      <c r="AZ53" s="4"/>
      <c r="BA53" s="4"/>
      <c r="BB53" s="4"/>
      <c r="BC53" s="4"/>
      <c r="BD53" s="4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ca="1" si="18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9"/>
        <v xml:space="preserve"> </v>
      </c>
      <c r="I54" s="84">
        <f t="shared" ca="1" si="20"/>
        <v>0</v>
      </c>
      <c r="J54" s="84">
        <f t="shared" ca="1" si="0"/>
        <v>0</v>
      </c>
      <c r="K54" s="84">
        <v>0</v>
      </c>
      <c r="L54" s="84" t="str">
        <f t="shared" ca="1" si="21"/>
        <v xml:space="preserve"> </v>
      </c>
      <c r="M54" s="4">
        <v>30</v>
      </c>
      <c r="N54" s="4">
        <f t="shared" ca="1" si="36"/>
        <v>0</v>
      </c>
      <c r="O54" s="4">
        <f t="shared" ca="1" si="1"/>
        <v>20</v>
      </c>
      <c r="P54" s="22">
        <f t="shared" ca="1" si="2"/>
        <v>0</v>
      </c>
      <c r="Q54" s="22">
        <f t="shared" ca="1" si="3"/>
        <v>0</v>
      </c>
      <c r="R54" s="22">
        <f t="shared" ca="1" si="23"/>
        <v>0</v>
      </c>
      <c r="S54" s="22" t="str">
        <f t="shared" ca="1" si="24"/>
        <v xml:space="preserve"> </v>
      </c>
      <c r="T54" s="22" t="e">
        <f t="shared" ca="1" si="25"/>
        <v>#VALUE!</v>
      </c>
      <c r="U54" s="22">
        <f t="shared" ca="1" si="38"/>
        <v>0</v>
      </c>
      <c r="V54" s="22">
        <f t="shared" ca="1" si="39"/>
        <v>0</v>
      </c>
      <c r="W54" s="22">
        <f t="shared" ca="1" si="26"/>
        <v>0</v>
      </c>
      <c r="X54" s="22">
        <f t="shared" ca="1" si="27"/>
        <v>0</v>
      </c>
      <c r="Y54" s="22">
        <f t="shared" ca="1" si="4"/>
        <v>0</v>
      </c>
      <c r="Z54" s="22">
        <f t="shared" ca="1" si="33"/>
        <v>0</v>
      </c>
      <c r="AA54" s="22">
        <f t="shared" ca="1" si="5"/>
        <v>0</v>
      </c>
      <c r="AB54" s="22">
        <f t="shared" ca="1" si="37"/>
        <v>0</v>
      </c>
      <c r="AC54" s="22">
        <f t="shared" ca="1" si="6"/>
        <v>0</v>
      </c>
      <c r="AD54" s="22">
        <f t="shared" ca="1" si="7"/>
        <v>0</v>
      </c>
      <c r="AE54" s="22">
        <f t="shared" ca="1" si="28"/>
        <v>0</v>
      </c>
      <c r="AF54" s="22">
        <f t="shared" ca="1" si="8"/>
        <v>0</v>
      </c>
      <c r="AG54" s="22">
        <f t="shared" ca="1" si="29"/>
        <v>0</v>
      </c>
      <c r="AH54" s="22">
        <f t="shared" ca="1" si="9"/>
        <v>0</v>
      </c>
      <c r="AI54" s="22">
        <f t="shared" ca="1" si="10"/>
        <v>0</v>
      </c>
      <c r="AJ54" s="22">
        <f t="shared" ca="1" si="40"/>
        <v>0</v>
      </c>
      <c r="AK54" s="22">
        <f t="shared" ca="1" si="41"/>
        <v>0</v>
      </c>
      <c r="AL54" s="69">
        <f t="shared" ca="1" si="30"/>
        <v>0</v>
      </c>
      <c r="AM54" s="69">
        <f t="shared" ca="1" si="11"/>
        <v>0</v>
      </c>
      <c r="AN54" s="4">
        <f t="shared" ca="1" si="31"/>
        <v>0</v>
      </c>
      <c r="AO54" s="4">
        <f t="shared" ca="1" si="12"/>
        <v>0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4"/>
      <c r="AU54" s="4"/>
      <c r="AV54" s="4"/>
      <c r="AW54" s="4"/>
      <c r="AX54" s="4"/>
      <c r="AY54" s="4">
        <f t="shared" ca="1" si="16"/>
        <v>0</v>
      </c>
      <c r="AZ54" s="4"/>
      <c r="BA54" s="4"/>
      <c r="BB54" s="4"/>
      <c r="BC54" s="4"/>
      <c r="BD54" s="4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ca="1" si="18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9"/>
        <v xml:space="preserve"> </v>
      </c>
      <c r="I55" s="84">
        <f t="shared" ca="1" si="20"/>
        <v>0</v>
      </c>
      <c r="J55" s="84">
        <f t="shared" ca="1" si="0"/>
        <v>0</v>
      </c>
      <c r="K55" s="84">
        <v>0</v>
      </c>
      <c r="L55" s="84" t="str">
        <f t="shared" ca="1" si="21"/>
        <v xml:space="preserve"> </v>
      </c>
      <c r="M55" s="4">
        <v>31</v>
      </c>
      <c r="N55" s="4">
        <f t="shared" ca="1" si="36"/>
        <v>0</v>
      </c>
      <c r="O55" s="4">
        <f t="shared" ca="1" si="1"/>
        <v>20</v>
      </c>
      <c r="P55" s="22">
        <f t="shared" ca="1" si="2"/>
        <v>0</v>
      </c>
      <c r="Q55" s="22">
        <f t="shared" ca="1" si="3"/>
        <v>0</v>
      </c>
      <c r="R55" s="22">
        <f t="shared" ca="1" si="23"/>
        <v>0</v>
      </c>
      <c r="S55" s="22" t="str">
        <f t="shared" ca="1" si="24"/>
        <v xml:space="preserve"> </v>
      </c>
      <c r="T55" s="22" t="e">
        <f t="shared" ca="1" si="25"/>
        <v>#VALUE!</v>
      </c>
      <c r="U55" s="22">
        <f t="shared" ca="1" si="38"/>
        <v>0</v>
      </c>
      <c r="V55" s="22">
        <f t="shared" ca="1" si="39"/>
        <v>0</v>
      </c>
      <c r="W55" s="22">
        <f t="shared" ca="1" si="26"/>
        <v>0</v>
      </c>
      <c r="X55" s="22">
        <f t="shared" ca="1" si="27"/>
        <v>0</v>
      </c>
      <c r="Y55" s="22">
        <f t="shared" ca="1" si="4"/>
        <v>0</v>
      </c>
      <c r="Z55" s="22">
        <f t="shared" ca="1" si="33"/>
        <v>0</v>
      </c>
      <c r="AA55" s="22">
        <f t="shared" ca="1" si="5"/>
        <v>0</v>
      </c>
      <c r="AB55" s="22">
        <f t="shared" ca="1" si="37"/>
        <v>0</v>
      </c>
      <c r="AC55" s="22">
        <f t="shared" ca="1" si="6"/>
        <v>0</v>
      </c>
      <c r="AD55" s="22">
        <f t="shared" ca="1" si="7"/>
        <v>0</v>
      </c>
      <c r="AE55" s="22">
        <f t="shared" ca="1" si="28"/>
        <v>0</v>
      </c>
      <c r="AF55" s="22">
        <f t="shared" ca="1" si="8"/>
        <v>0</v>
      </c>
      <c r="AG55" s="22">
        <f t="shared" ca="1" si="29"/>
        <v>0</v>
      </c>
      <c r="AH55" s="22">
        <f t="shared" ca="1" si="9"/>
        <v>0</v>
      </c>
      <c r="AI55" s="22">
        <f t="shared" ca="1" si="10"/>
        <v>0</v>
      </c>
      <c r="AJ55" s="22">
        <f t="shared" ca="1" si="40"/>
        <v>0</v>
      </c>
      <c r="AK55" s="22">
        <f t="shared" ca="1" si="41"/>
        <v>0</v>
      </c>
      <c r="AL55" s="69">
        <f t="shared" ca="1" si="30"/>
        <v>0</v>
      </c>
      <c r="AM55" s="69">
        <f t="shared" ca="1" si="11"/>
        <v>0</v>
      </c>
      <c r="AN55" s="4">
        <f t="shared" ca="1" si="31"/>
        <v>0</v>
      </c>
      <c r="AO55" s="4">
        <f t="shared" ca="1" si="12"/>
        <v>0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2"/>
        <v>30</v>
      </c>
      <c r="AT55" s="4"/>
      <c r="AU55" s="4"/>
      <c r="AV55" s="4"/>
      <c r="AW55" s="4"/>
      <c r="AX55" s="4"/>
      <c r="AY55" s="4">
        <f t="shared" ca="1" si="16"/>
        <v>0</v>
      </c>
      <c r="AZ55" s="4"/>
      <c r="BA55" s="4"/>
      <c r="BB55" s="4"/>
      <c r="BC55" s="4"/>
      <c r="BD55" s="4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ca="1" si="18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9"/>
        <v xml:space="preserve"> </v>
      </c>
      <c r="I56" s="84">
        <f t="shared" ca="1" si="20"/>
        <v>0</v>
      </c>
      <c r="J56" s="84">
        <f t="shared" ca="1" si="0"/>
        <v>0</v>
      </c>
      <c r="K56" s="84">
        <v>0</v>
      </c>
      <c r="L56" s="84" t="str">
        <f t="shared" ca="1" si="21"/>
        <v xml:space="preserve"> </v>
      </c>
      <c r="M56" s="4">
        <v>32</v>
      </c>
      <c r="N56" s="4">
        <f t="shared" ca="1" si="36"/>
        <v>0</v>
      </c>
      <c r="O56" s="4">
        <f t="shared" ca="1" si="1"/>
        <v>20</v>
      </c>
      <c r="P56" s="22">
        <f t="shared" ca="1" si="2"/>
        <v>0</v>
      </c>
      <c r="Q56" s="22">
        <f t="shared" ca="1" si="3"/>
        <v>0</v>
      </c>
      <c r="R56" s="22">
        <f t="shared" ca="1" si="23"/>
        <v>0</v>
      </c>
      <c r="S56" s="22" t="str">
        <f t="shared" ca="1" si="24"/>
        <v xml:space="preserve"> </v>
      </c>
      <c r="T56" s="22" t="e">
        <f t="shared" ca="1" si="25"/>
        <v>#VALUE!</v>
      </c>
      <c r="U56" s="22">
        <f t="shared" ca="1" si="38"/>
        <v>0</v>
      </c>
      <c r="V56" s="22">
        <f t="shared" ca="1" si="39"/>
        <v>0</v>
      </c>
      <c r="W56" s="22">
        <f t="shared" ca="1" si="26"/>
        <v>0</v>
      </c>
      <c r="X56" s="22">
        <f t="shared" ca="1" si="27"/>
        <v>0</v>
      </c>
      <c r="Y56" s="22">
        <f t="shared" ca="1" si="4"/>
        <v>0</v>
      </c>
      <c r="Z56" s="22">
        <f t="shared" ca="1" si="33"/>
        <v>0</v>
      </c>
      <c r="AA56" s="22">
        <f t="shared" ca="1" si="5"/>
        <v>0</v>
      </c>
      <c r="AB56" s="22">
        <f t="shared" ca="1" si="37"/>
        <v>0</v>
      </c>
      <c r="AC56" s="22">
        <f t="shared" ca="1" si="6"/>
        <v>0</v>
      </c>
      <c r="AD56" s="22">
        <f t="shared" ca="1" si="7"/>
        <v>0</v>
      </c>
      <c r="AE56" s="22">
        <f t="shared" ca="1" si="28"/>
        <v>0</v>
      </c>
      <c r="AF56" s="22">
        <f t="shared" ca="1" si="8"/>
        <v>0</v>
      </c>
      <c r="AG56" s="22">
        <f t="shared" ca="1" si="29"/>
        <v>0</v>
      </c>
      <c r="AH56" s="22">
        <f t="shared" ca="1" si="9"/>
        <v>0</v>
      </c>
      <c r="AI56" s="22">
        <f t="shared" ca="1" si="10"/>
        <v>0</v>
      </c>
      <c r="AJ56" s="22">
        <f t="shared" ca="1" si="40"/>
        <v>0</v>
      </c>
      <c r="AK56" s="22">
        <f t="shared" ca="1" si="41"/>
        <v>0</v>
      </c>
      <c r="AL56" s="69">
        <f t="shared" ca="1" si="30"/>
        <v>0</v>
      </c>
      <c r="AM56" s="69">
        <f t="shared" ca="1" si="11"/>
        <v>0</v>
      </c>
      <c r="AN56" s="4">
        <f t="shared" ca="1" si="31"/>
        <v>0</v>
      </c>
      <c r="AO56" s="4">
        <f t="shared" ca="1" si="12"/>
        <v>0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2"/>
        <v>30</v>
      </c>
      <c r="AT56" s="4"/>
      <c r="AU56" s="4"/>
      <c r="AV56" s="4"/>
      <c r="AW56" s="4"/>
      <c r="AX56" s="4"/>
      <c r="AY56" s="4">
        <f t="shared" ca="1" si="16"/>
        <v>0</v>
      </c>
      <c r="AZ56" s="4"/>
      <c r="BA56" s="4"/>
      <c r="BB56" s="4"/>
      <c r="BC56" s="4"/>
      <c r="BD56" s="4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ca="1" si="18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9"/>
        <v xml:space="preserve"> </v>
      </c>
      <c r="I57" s="84">
        <f t="shared" ca="1" si="20"/>
        <v>0</v>
      </c>
      <c r="J57" s="84">
        <f t="shared" ref="J57:J85" ca="1" si="42">AA57</f>
        <v>0</v>
      </c>
      <c r="K57" s="84">
        <v>0</v>
      </c>
      <c r="L57" s="84" t="str">
        <f t="shared" ca="1" si="21"/>
        <v xml:space="preserve"> </v>
      </c>
      <c r="M57" s="4">
        <v>33</v>
      </c>
      <c r="N57" s="4">
        <f t="shared" ca="1" si="36"/>
        <v>0</v>
      </c>
      <c r="O57" s="4">
        <f t="shared" ref="O57:O85" ca="1" si="43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4">IF(U57&lt;&gt;0,IF(VALUE(RIGHT(ROUND(U57,0)))&lt;=5,ROUND(U57,0)-VALUE(RIGHT(ROUND(U57,0))),ROUND(U57,0)+10-VALUE(RIGHT(ROUND(U57,0)))),0)</f>
        <v>0</v>
      </c>
      <c r="Q57" s="22">
        <f t="shared" ref="Q57:Q85" ca="1" si="45">IF(V57&lt;&gt;0,IF(VALUE(RIGHT(ROUND(V57,0)))&lt;=5,ROUND(V57,0)-VALUE(RIGHT(ROUND(V57,0))),ROUND(V57,0)+10-VALUE(RIGHT(ROUND(V57,0)))),0)</f>
        <v>0</v>
      </c>
      <c r="R57" s="22">
        <f t="shared" ca="1" si="23"/>
        <v>0</v>
      </c>
      <c r="S57" s="22" t="str">
        <f t="shared" ca="1" si="24"/>
        <v xml:space="preserve"> </v>
      </c>
      <c r="T57" s="22" t="e">
        <f t="shared" ca="1" si="25"/>
        <v>#VALUE!</v>
      </c>
      <c r="U57" s="22">
        <f t="shared" ca="1" si="38"/>
        <v>0</v>
      </c>
      <c r="V57" s="22">
        <f t="shared" ca="1" si="39"/>
        <v>0</v>
      </c>
      <c r="W57" s="22">
        <f t="shared" ca="1" si="26"/>
        <v>0</v>
      </c>
      <c r="X57" s="22">
        <f t="shared" ca="1" si="27"/>
        <v>0</v>
      </c>
      <c r="Y57" s="22">
        <f t="shared" ref="Y57:Y85" ca="1" si="46">IF(M57&lt;=(D$15+1),D$10,Y56-I56)</f>
        <v>0</v>
      </c>
      <c r="Z57" s="22">
        <f t="shared" ca="1" si="33"/>
        <v>0</v>
      </c>
      <c r="AA57" s="22">
        <f t="shared" ref="AA57:AA85" ca="1" si="47">IF(Z57&lt;&gt;0,IF(VALUE(RIGHT(ROUND(Z57,0)))&lt;=5,ROUND(Z57,0)-VALUE(RIGHT(ROUND(Z57,0))),ROUND(Z57,0)+10-VALUE(RIGHT(ROUND(Z57,0)))),0)</f>
        <v>0</v>
      </c>
      <c r="AB57" s="22">
        <f t="shared" ca="1" si="37"/>
        <v>0</v>
      </c>
      <c r="AC57" s="22">
        <f t="shared" ref="AC57:AC85" ca="1" si="48">IF(AJ57&lt;&gt;0,IF(VALUE(RIGHT(ROUND(AJ57,0)))&lt;=5,ROUND(AJ57,0)-VALUE(RIGHT(ROUND(AJ57,0))),ROUND(AJ57,0)+10-VALUE(RIGHT(ROUND(AJ57,0)))),0)</f>
        <v>0</v>
      </c>
      <c r="AD57" s="22">
        <f t="shared" ref="AD57:AD85" ca="1" si="49">IF(AK57&lt;&gt;0,IF(VALUE(RIGHT(ROUND(AK57,0)))&lt;=5,ROUND(AK57,0)-VALUE(RIGHT(ROUND(AK57,0))),ROUND(AK57,0)+10-VALUE(RIGHT(ROUND(AK57,0)))),0)</f>
        <v>0</v>
      </c>
      <c r="AE57" s="22">
        <f t="shared" ca="1" si="28"/>
        <v>0</v>
      </c>
      <c r="AF57" s="22">
        <f t="shared" ref="AF57:AF85" ca="1" si="50">IF(AE57&lt;&gt;0,IF(VALUE(RIGHT(ROUND(AE57,0)))&lt;=5,ROUND(AE57,0)-VALUE(RIGHT(ROUND(AE57,0))),ROUND(AE57,0)+10-VALUE(RIGHT(ROUND(AE57,0)))),0)</f>
        <v>0</v>
      </c>
      <c r="AG57" s="22">
        <f t="shared" ca="1" si="29"/>
        <v>0</v>
      </c>
      <c r="AH57" s="22">
        <f t="shared" ref="AH57:AH85" ca="1" si="51">IF(AG57&lt;&gt;0,IF(VALUE(RIGHT(ROUND(AG57,0)))&lt;=5,ROUND(AG57,0)-VALUE(RIGHT(ROUND(AG57,0))),ROUND(AG57,0)+10-VALUE(RIGHT(ROUND(AG57,0)))),0)</f>
        <v>0</v>
      </c>
      <c r="AI57" s="22">
        <f t="shared" ref="AI57:AI85" ca="1" si="52">R57</f>
        <v>0</v>
      </c>
      <c r="AJ57" s="22">
        <f t="shared" ca="1" si="40"/>
        <v>0</v>
      </c>
      <c r="AK57" s="22">
        <f t="shared" ca="1" si="41"/>
        <v>0</v>
      </c>
      <c r="AL57" s="69">
        <f t="shared" ca="1" si="30"/>
        <v>0</v>
      </c>
      <c r="AM57" s="69">
        <f t="shared" ref="AM57:AM85" ca="1" si="53">IF(AL57=13,1,AL57)</f>
        <v>0</v>
      </c>
      <c r="AN57" s="4">
        <f t="shared" ca="1" si="31"/>
        <v>0</v>
      </c>
      <c r="AO57" s="4">
        <f t="shared" ref="AO57:AO85" ca="1" si="54">IF(AM57=1,AN57+1,AN57)</f>
        <v>0</v>
      </c>
      <c r="AP57" s="4">
        <f t="shared" ref="AP57:AP85" ca="1" si="55">IF((AN57/2012)=1,1,IF((AN57/2016)=1,1,IF((AN57/2020)=1,1,IF((AN57/2024)=1,1,IF((AN57/2028)=1,1,IF((AN57/2032)=1,1,0))))))</f>
        <v>0</v>
      </c>
      <c r="AQ57" s="4">
        <f t="shared" ref="AQ57:AQ85" ca="1" si="56">IF(AM57=2,IF(AP57=1,29,28),30)</f>
        <v>30</v>
      </c>
      <c r="AR57" s="4">
        <f t="shared" ref="AR57:AR85" si="57">IF(C$24=30,AQ57,20)</f>
        <v>20</v>
      </c>
      <c r="AS57" s="4">
        <f t="shared" ca="1" si="32"/>
        <v>30</v>
      </c>
      <c r="AT57" s="4"/>
      <c r="AU57" s="4"/>
      <c r="AV57" s="4"/>
      <c r="AW57" s="4"/>
      <c r="AX57" s="4"/>
      <c r="AY57" s="4">
        <f t="shared" ref="AY57:AY85" ca="1" si="58">IF(D$15=0,0,IF(N57=1,1,0))</f>
        <v>0</v>
      </c>
      <c r="AZ57" s="4"/>
      <c r="BA57" s="4"/>
      <c r="BB57" s="4"/>
      <c r="BC57" s="4"/>
      <c r="BD57" s="4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ref="B58:B85" ca="1" si="59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60">IF(SUM(D58:G58)=0," ",SUM(D58:G58))</f>
        <v xml:space="preserve"> </v>
      </c>
      <c r="I58" s="84">
        <f t="shared" ref="I58:I85" ca="1" si="61">IF(N58=1,IF(N59=1,IF(M58&lt;=D$15,T58,AV$26),D$10-AV$26*M$16+AV$26),0)</f>
        <v>0</v>
      </c>
      <c r="J58" s="84">
        <f t="shared" ca="1" si="42"/>
        <v>0</v>
      </c>
      <c r="K58" s="84">
        <v>0</v>
      </c>
      <c r="L58" s="84" t="str">
        <f t="shared" ref="L58:L85" ca="1" si="62">IF(SUM(I58:K58)=0," ",SUM(I58:K58))</f>
        <v xml:space="preserve"> </v>
      </c>
      <c r="M58" s="4">
        <v>34</v>
      </c>
      <c r="N58" s="4">
        <f t="shared" ca="1" si="36"/>
        <v>0</v>
      </c>
      <c r="O58" s="4">
        <f t="shared" ca="1" si="43"/>
        <v>20</v>
      </c>
      <c r="P58" s="22">
        <f t="shared" ca="1" si="44"/>
        <v>0</v>
      </c>
      <c r="Q58" s="22">
        <f t="shared" ca="1" si="45"/>
        <v>0</v>
      </c>
      <c r="R58" s="22">
        <f t="shared" ref="R58:R85" ca="1" si="63">IF(N58=0,0,R57-D57)</f>
        <v>0</v>
      </c>
      <c r="S58" s="22" t="str">
        <f t="shared" ref="S58:S85" ca="1" si="64">IF(M58&lt;=D$15,D$10/(D$14-M57),D58)</f>
        <v xml:space="preserve"> </v>
      </c>
      <c r="T58" s="22" t="e">
        <f t="shared" ref="T58:T85" ca="1" si="65">IF(S58&lt;&gt;0,IF(VALUE(RIGHT(ROUND(S58,0)))&lt;=5,ROUND(S58,0)-VALUE(RIGHT(ROUND(S58,0))),ROUND(S58,0)+10-VALUE(RIGHT(ROUND(S58,0)))),0)</f>
        <v>#VALUE!</v>
      </c>
      <c r="U58" s="22">
        <f t="shared" ca="1" si="38"/>
        <v>0</v>
      </c>
      <c r="V58" s="22">
        <f t="shared" ca="1" si="39"/>
        <v>0</v>
      </c>
      <c r="W58" s="22">
        <f t="shared" ref="W58:W84" ca="1" si="66">IF(N59=1,$D$10*$D$11*20/36000+$D$10*$D$11*10/36000,IF(N59=0,IF(N58=0,0,$D$10*$D$11*$Q$12/36000+$D$10*$D$11*20/36000+$D$10*$D$11*10/36000)))</f>
        <v>0</v>
      </c>
      <c r="X58" s="22">
        <f t="shared" ref="X58:X85" ca="1" si="67">IF(W58&lt;&gt;0,IF(VALUE(RIGHT(ROUND(W58,0)))&lt;=5,ROUND(W58,0)-VALUE(RIGHT(ROUND(W58,0))),ROUND(W58,0)+10-VALUE(RIGHT(ROUND(W58,0)))),0)</f>
        <v>0</v>
      </c>
      <c r="Y58" s="22">
        <f t="shared" ca="1" si="46"/>
        <v>0</v>
      </c>
      <c r="Z58" s="22">
        <f t="shared" ca="1" si="33"/>
        <v>0</v>
      </c>
      <c r="AA58" s="22">
        <f t="shared" ca="1" si="47"/>
        <v>0</v>
      </c>
      <c r="AB58" s="22">
        <f t="shared" ca="1" si="37"/>
        <v>0</v>
      </c>
      <c r="AC58" s="22">
        <f t="shared" ca="1" si="48"/>
        <v>0</v>
      </c>
      <c r="AD58" s="22">
        <f t="shared" ca="1" si="49"/>
        <v>0</v>
      </c>
      <c r="AE58" s="22">
        <f t="shared" ref="AE58:AE84" ca="1" si="68">IF(N59=1,D$10*G$12*20/36000+D$10*G$12*10/36000,IF(N59=0,IF(N58=0,0,D$10*G$12*Q$12/36000+D$10*G$12*20/36000+D$10*G$12*10/36000)))</f>
        <v>0</v>
      </c>
      <c r="AF58" s="22">
        <f t="shared" ca="1" si="50"/>
        <v>0</v>
      </c>
      <c r="AG58" s="22">
        <f t="shared" ref="AG58:AG84" ca="1" si="69">IF(N59=1,Y57*G$12*20/36000+Y58*G$12*10/36000,IF(N59=0,IF(N58=0,0,Y58*G$12*Q$12/36000+Y57*G$12*20/36000+Y58*G$12*10/36000)))</f>
        <v>0</v>
      </c>
      <c r="AH58" s="22">
        <f t="shared" ca="1" si="51"/>
        <v>0</v>
      </c>
      <c r="AI58" s="22">
        <f t="shared" ca="1" si="52"/>
        <v>0</v>
      </c>
      <c r="AJ58" s="22">
        <f t="shared" ca="1" si="40"/>
        <v>0</v>
      </c>
      <c r="AK58" s="22">
        <f t="shared" ca="1" si="41"/>
        <v>0</v>
      </c>
      <c r="AL58" s="69">
        <f t="shared" ref="AL58:AL85" ca="1" si="70">IF(N58=0,0,MONTH(B57)+1)</f>
        <v>0</v>
      </c>
      <c r="AM58" s="69">
        <f t="shared" ca="1" si="53"/>
        <v>0</v>
      </c>
      <c r="AN58" s="4">
        <f t="shared" ref="AN58:AN85" ca="1" si="71">IF(N58=0,0,YEAR(B57))</f>
        <v>0</v>
      </c>
      <c r="AO58" s="4">
        <f t="shared" ca="1" si="54"/>
        <v>0</v>
      </c>
      <c r="AP58" s="4">
        <f t="shared" ca="1" si="55"/>
        <v>0</v>
      </c>
      <c r="AQ58" s="4">
        <f t="shared" ca="1" si="56"/>
        <v>30</v>
      </c>
      <c r="AR58" s="4">
        <f t="shared" si="57"/>
        <v>20</v>
      </c>
      <c r="AS58" s="4">
        <f t="shared" ref="AS58:AS85" ca="1" si="72">AQ57</f>
        <v>30</v>
      </c>
      <c r="AT58" s="4"/>
      <c r="AU58" s="4"/>
      <c r="AV58" s="4"/>
      <c r="AW58" s="4"/>
      <c r="AX58" s="4"/>
      <c r="AY58" s="4">
        <f t="shared" ca="1" si="58"/>
        <v>0</v>
      </c>
      <c r="AZ58" s="4"/>
      <c r="BA58" s="4"/>
      <c r="BB58" s="4"/>
      <c r="BC58" s="4"/>
      <c r="BD58" s="4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ca="1" si="59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60"/>
        <v xml:space="preserve"> </v>
      </c>
      <c r="I59" s="84">
        <f t="shared" ca="1" si="61"/>
        <v>0</v>
      </c>
      <c r="J59" s="84">
        <f t="shared" ca="1" si="42"/>
        <v>0</v>
      </c>
      <c r="K59" s="84">
        <v>0</v>
      </c>
      <c r="L59" s="84" t="str">
        <f t="shared" ca="1" si="62"/>
        <v xml:space="preserve"> </v>
      </c>
      <c r="M59" s="4">
        <v>35</v>
      </c>
      <c r="N59" s="4">
        <f t="shared" ca="1" si="36"/>
        <v>0</v>
      </c>
      <c r="O59" s="4">
        <f t="shared" ca="1" si="43"/>
        <v>20</v>
      </c>
      <c r="P59" s="22">
        <f t="shared" ca="1" si="44"/>
        <v>0</v>
      </c>
      <c r="Q59" s="22">
        <f t="shared" ca="1" si="45"/>
        <v>0</v>
      </c>
      <c r="R59" s="22">
        <f t="shared" ca="1" si="63"/>
        <v>0</v>
      </c>
      <c r="S59" s="22" t="str">
        <f t="shared" ca="1" si="64"/>
        <v xml:space="preserve"> </v>
      </c>
      <c r="T59" s="22" t="e">
        <f t="shared" ca="1" si="65"/>
        <v>#VALUE!</v>
      </c>
      <c r="U59" s="22">
        <f t="shared" ca="1" si="38"/>
        <v>0</v>
      </c>
      <c r="V59" s="22">
        <f t="shared" ca="1" si="39"/>
        <v>0</v>
      </c>
      <c r="W59" s="22">
        <f t="shared" ca="1" si="66"/>
        <v>0</v>
      </c>
      <c r="X59" s="22">
        <f t="shared" ca="1" si="67"/>
        <v>0</v>
      </c>
      <c r="Y59" s="22">
        <f t="shared" ca="1" si="46"/>
        <v>0</v>
      </c>
      <c r="Z59" s="22">
        <f t="shared" ca="1" si="33"/>
        <v>0</v>
      </c>
      <c r="AA59" s="22">
        <f t="shared" ca="1" si="47"/>
        <v>0</v>
      </c>
      <c r="AB59" s="22">
        <f t="shared" ca="1" si="37"/>
        <v>0</v>
      </c>
      <c r="AC59" s="22">
        <f t="shared" ca="1" si="48"/>
        <v>0</v>
      </c>
      <c r="AD59" s="22">
        <f t="shared" ca="1" si="49"/>
        <v>0</v>
      </c>
      <c r="AE59" s="22">
        <f t="shared" ca="1" si="68"/>
        <v>0</v>
      </c>
      <c r="AF59" s="22">
        <f t="shared" ca="1" si="50"/>
        <v>0</v>
      </c>
      <c r="AG59" s="22">
        <f t="shared" ca="1" si="69"/>
        <v>0</v>
      </c>
      <c r="AH59" s="22">
        <f t="shared" ca="1" si="51"/>
        <v>0</v>
      </c>
      <c r="AI59" s="22">
        <f t="shared" ca="1" si="52"/>
        <v>0</v>
      </c>
      <c r="AJ59" s="22">
        <f t="shared" ca="1" si="40"/>
        <v>0</v>
      </c>
      <c r="AK59" s="22">
        <f t="shared" ca="1" si="41"/>
        <v>0</v>
      </c>
      <c r="AL59" s="69">
        <f t="shared" ca="1" si="70"/>
        <v>0</v>
      </c>
      <c r="AM59" s="69">
        <f t="shared" ca="1" si="53"/>
        <v>0</v>
      </c>
      <c r="AN59" s="4">
        <f t="shared" ca="1" si="71"/>
        <v>0</v>
      </c>
      <c r="AO59" s="4">
        <f t="shared" ca="1" si="54"/>
        <v>0</v>
      </c>
      <c r="AP59" s="4">
        <f t="shared" ca="1" si="55"/>
        <v>0</v>
      </c>
      <c r="AQ59" s="4">
        <f t="shared" ca="1" si="56"/>
        <v>30</v>
      </c>
      <c r="AR59" s="4">
        <f t="shared" si="57"/>
        <v>20</v>
      </c>
      <c r="AS59" s="4">
        <f t="shared" ca="1" si="72"/>
        <v>30</v>
      </c>
      <c r="AT59" s="4"/>
      <c r="AU59" s="4"/>
      <c r="AV59" s="4"/>
      <c r="AW59" s="4"/>
      <c r="AX59" s="4"/>
      <c r="AY59" s="4">
        <f t="shared" ca="1" si="58"/>
        <v>0</v>
      </c>
      <c r="AZ59" s="4"/>
      <c r="BA59" s="4"/>
      <c r="BB59" s="4"/>
      <c r="BC59" s="4"/>
      <c r="BD59" s="4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ca="1" si="59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60"/>
        <v xml:space="preserve"> </v>
      </c>
      <c r="I60" s="84">
        <f t="shared" ca="1" si="61"/>
        <v>0</v>
      </c>
      <c r="J60" s="84">
        <f t="shared" ca="1" si="42"/>
        <v>0</v>
      </c>
      <c r="K60" s="84">
        <v>0</v>
      </c>
      <c r="L60" s="84" t="str">
        <f t="shared" ca="1" si="62"/>
        <v xml:space="preserve"> </v>
      </c>
      <c r="M60" s="4">
        <v>36</v>
      </c>
      <c r="N60" s="4">
        <f t="shared" ca="1" si="36"/>
        <v>0</v>
      </c>
      <c r="O60" s="4">
        <f t="shared" ca="1" si="43"/>
        <v>20</v>
      </c>
      <c r="P60" s="22">
        <f t="shared" ca="1" si="44"/>
        <v>0</v>
      </c>
      <c r="Q60" s="22">
        <f t="shared" ca="1" si="45"/>
        <v>0</v>
      </c>
      <c r="R60" s="22">
        <f t="shared" ca="1" si="63"/>
        <v>0</v>
      </c>
      <c r="S60" s="22" t="str">
        <f t="shared" ca="1" si="64"/>
        <v xml:space="preserve"> </v>
      </c>
      <c r="T60" s="22" t="e">
        <f t="shared" ca="1" si="65"/>
        <v>#VALUE!</v>
      </c>
      <c r="U60" s="22">
        <f ca="1">IF(N61=1,R59*D11*20/36000+R60*D11*10/36000,IF(N61=0,IF(N60=0,0,R60*D11*Q12/36000+R59*D11*20/36000+R60*D11*10/36000)))</f>
        <v>0</v>
      </c>
      <c r="V60" s="22">
        <f ca="1">IF(N61=1,R59*D11*20/36000+R60*D11*10/36000,IF(N61=0,IF(N60=0,0,R60*D11*Q12/36000+R59*D11*20/36000+R60*D11*10/36000)))</f>
        <v>0</v>
      </c>
      <c r="W60" s="22">
        <f t="shared" ca="1" si="66"/>
        <v>0</v>
      </c>
      <c r="X60" s="22">
        <f t="shared" ca="1" si="67"/>
        <v>0</v>
      </c>
      <c r="Y60" s="22">
        <f t="shared" ca="1" si="46"/>
        <v>0</v>
      </c>
      <c r="Z60" s="22">
        <f t="shared" ca="1" si="33"/>
        <v>0</v>
      </c>
      <c r="AA60" s="22">
        <f t="shared" ca="1" si="47"/>
        <v>0</v>
      </c>
      <c r="AB60" s="22">
        <f t="shared" ca="1" si="37"/>
        <v>0</v>
      </c>
      <c r="AC60" s="22">
        <f t="shared" ca="1" si="48"/>
        <v>0</v>
      </c>
      <c r="AD60" s="22">
        <f t="shared" ca="1" si="49"/>
        <v>0</v>
      </c>
      <c r="AE60" s="22">
        <f t="shared" ca="1" si="68"/>
        <v>0</v>
      </c>
      <c r="AF60" s="22">
        <f t="shared" ca="1" si="50"/>
        <v>0</v>
      </c>
      <c r="AG60" s="22">
        <f t="shared" ca="1" si="69"/>
        <v>0</v>
      </c>
      <c r="AH60" s="22">
        <f t="shared" ca="1" si="51"/>
        <v>0</v>
      </c>
      <c r="AI60" s="22">
        <f t="shared" ca="1" si="52"/>
        <v>0</v>
      </c>
      <c r="AJ60" s="22">
        <f t="shared" ca="1" si="40"/>
        <v>0</v>
      </c>
      <c r="AK60" s="22">
        <f t="shared" ca="1" si="41"/>
        <v>0</v>
      </c>
      <c r="AL60" s="69">
        <f t="shared" ca="1" si="70"/>
        <v>0</v>
      </c>
      <c r="AM60" s="69">
        <f t="shared" ca="1" si="53"/>
        <v>0</v>
      </c>
      <c r="AN60" s="4">
        <f t="shared" ca="1" si="71"/>
        <v>0</v>
      </c>
      <c r="AO60" s="4">
        <f t="shared" ca="1" si="54"/>
        <v>0</v>
      </c>
      <c r="AP60" s="4">
        <f t="shared" ca="1" si="55"/>
        <v>0</v>
      </c>
      <c r="AQ60" s="4">
        <f t="shared" ca="1" si="56"/>
        <v>30</v>
      </c>
      <c r="AR60" s="4">
        <f t="shared" si="57"/>
        <v>20</v>
      </c>
      <c r="AS60" s="4">
        <f t="shared" ca="1" si="72"/>
        <v>30</v>
      </c>
      <c r="AT60" s="4"/>
      <c r="AU60" s="4"/>
      <c r="AV60" s="4"/>
      <c r="AW60" s="4"/>
      <c r="AX60" s="4"/>
      <c r="AY60" s="4">
        <f t="shared" ca="1" si="58"/>
        <v>0</v>
      </c>
      <c r="AZ60" s="4"/>
      <c r="BA60" s="4"/>
      <c r="BB60" s="4"/>
      <c r="BC60" s="4"/>
      <c r="BD60" s="4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9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60"/>
        <v xml:space="preserve"> </v>
      </c>
      <c r="I61" s="84">
        <f t="shared" ca="1" si="61"/>
        <v>0</v>
      </c>
      <c r="J61" s="84">
        <f t="shared" ca="1" si="42"/>
        <v>0</v>
      </c>
      <c r="K61" s="84">
        <v>0</v>
      </c>
      <c r="L61" s="84" t="str">
        <f t="shared" ca="1" si="62"/>
        <v xml:space="preserve"> </v>
      </c>
      <c r="M61" s="4">
        <v>37</v>
      </c>
      <c r="N61" s="4">
        <f t="shared" ca="1" si="36"/>
        <v>0</v>
      </c>
      <c r="O61" s="4">
        <f t="shared" ca="1" si="43"/>
        <v>20</v>
      </c>
      <c r="P61" s="22">
        <f t="shared" ca="1" si="44"/>
        <v>0</v>
      </c>
      <c r="Q61" s="22">
        <f t="shared" ca="1" si="45"/>
        <v>0</v>
      </c>
      <c r="R61" s="22">
        <f t="shared" ca="1" si="63"/>
        <v>0</v>
      </c>
      <c r="S61" s="22" t="str">
        <f t="shared" ca="1" si="64"/>
        <v xml:space="preserve"> </v>
      </c>
      <c r="T61" s="22" t="e">
        <f t="shared" ca="1" si="65"/>
        <v>#VALUE!</v>
      </c>
      <c r="U61" s="22">
        <f t="shared" ref="U61:U71" ca="1" si="73">IF(N62=1,R60*D$11*20/36000+R61*D$11*10/36000,IF(N62=0,IF(N61=0,0,IF(D$16&gt;20,R60*D$11*20/36000+R61*D$11*(Q$12-20)/36000,R61*D$11*Q$12/36000))))</f>
        <v>0</v>
      </c>
      <c r="V61" s="22">
        <f t="shared" ref="V61:V71" ca="1" si="74">IF(N62=1,R60*D$11*20/36000+R61*D$11*10/36000,IF(N62=0,IF(N61=0,0,IF(D$16&gt;20,R60*D$11*20/36000+R61*D$11*(Q$12-20)/36000,R61*D$11*Q$12/36000))))</f>
        <v>0</v>
      </c>
      <c r="W61" s="22">
        <f t="shared" ca="1" si="66"/>
        <v>0</v>
      </c>
      <c r="X61" s="22">
        <f t="shared" ca="1" si="67"/>
        <v>0</v>
      </c>
      <c r="Y61" s="22">
        <f t="shared" ca="1" si="46"/>
        <v>0</v>
      </c>
      <c r="Z61" s="22">
        <f t="shared" ca="1" si="33"/>
        <v>0</v>
      </c>
      <c r="AA61" s="22">
        <f t="shared" ca="1" si="47"/>
        <v>0</v>
      </c>
      <c r="AB61" s="22">
        <f t="shared" ca="1" si="37"/>
        <v>0</v>
      </c>
      <c r="AC61" s="22">
        <f t="shared" ca="1" si="48"/>
        <v>0</v>
      </c>
      <c r="AD61" s="22">
        <f t="shared" ca="1" si="49"/>
        <v>0</v>
      </c>
      <c r="AE61" s="22">
        <f t="shared" ca="1" si="68"/>
        <v>0</v>
      </c>
      <c r="AF61" s="22">
        <f t="shared" ca="1" si="50"/>
        <v>0</v>
      </c>
      <c r="AG61" s="22">
        <f t="shared" ca="1" si="69"/>
        <v>0</v>
      </c>
      <c r="AH61" s="22">
        <f t="shared" ca="1" si="51"/>
        <v>0</v>
      </c>
      <c r="AI61" s="22">
        <f t="shared" ca="1" si="52"/>
        <v>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70"/>
        <v>0</v>
      </c>
      <c r="AM61" s="69">
        <f t="shared" ca="1" si="53"/>
        <v>0</v>
      </c>
      <c r="AN61" s="4">
        <f t="shared" ca="1" si="71"/>
        <v>0</v>
      </c>
      <c r="AO61" s="4">
        <f t="shared" ca="1" si="54"/>
        <v>0</v>
      </c>
      <c r="AP61" s="4">
        <f t="shared" ca="1" si="55"/>
        <v>0</v>
      </c>
      <c r="AQ61" s="4">
        <f t="shared" ca="1" si="56"/>
        <v>30</v>
      </c>
      <c r="AR61" s="4">
        <f t="shared" si="57"/>
        <v>20</v>
      </c>
      <c r="AS61" s="4">
        <f t="shared" ca="1" si="72"/>
        <v>30</v>
      </c>
      <c r="AT61" s="4"/>
      <c r="AU61" s="4"/>
      <c r="AV61" s="4"/>
      <c r="AW61" s="4"/>
      <c r="AX61" s="4"/>
      <c r="AY61" s="4">
        <f t="shared" ca="1" si="58"/>
        <v>0</v>
      </c>
      <c r="AZ61" s="4"/>
      <c r="BA61" s="4"/>
      <c r="BB61" s="4"/>
      <c r="BC61" s="4"/>
      <c r="BD61" s="4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9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60"/>
        <v xml:space="preserve"> </v>
      </c>
      <c r="I62" s="84">
        <f t="shared" ca="1" si="61"/>
        <v>0</v>
      </c>
      <c r="J62" s="84">
        <f t="shared" ca="1" si="42"/>
        <v>0</v>
      </c>
      <c r="K62" s="84">
        <v>0</v>
      </c>
      <c r="L62" s="84" t="str">
        <f t="shared" ca="1" si="62"/>
        <v xml:space="preserve"> </v>
      </c>
      <c r="M62" s="4">
        <v>38</v>
      </c>
      <c r="N62" s="4">
        <f t="shared" ca="1" si="36"/>
        <v>0</v>
      </c>
      <c r="O62" s="4">
        <f t="shared" ca="1" si="43"/>
        <v>20</v>
      </c>
      <c r="P62" s="22">
        <f t="shared" ca="1" si="44"/>
        <v>0</v>
      </c>
      <c r="Q62" s="22">
        <f t="shared" ca="1" si="45"/>
        <v>0</v>
      </c>
      <c r="R62" s="22">
        <f t="shared" ca="1" si="63"/>
        <v>0</v>
      </c>
      <c r="S62" s="22" t="str">
        <f t="shared" ca="1" si="64"/>
        <v xml:space="preserve"> </v>
      </c>
      <c r="T62" s="22" t="e">
        <f t="shared" ca="1" si="65"/>
        <v>#VALUE!</v>
      </c>
      <c r="U62" s="22">
        <f t="shared" ca="1" si="73"/>
        <v>0</v>
      </c>
      <c r="V62" s="22">
        <f t="shared" ca="1" si="74"/>
        <v>0</v>
      </c>
      <c r="W62" s="22">
        <f t="shared" ca="1" si="66"/>
        <v>0</v>
      </c>
      <c r="X62" s="22">
        <f t="shared" ca="1" si="67"/>
        <v>0</v>
      </c>
      <c r="Y62" s="22">
        <f t="shared" ca="1" si="46"/>
        <v>0</v>
      </c>
      <c r="Z62" s="22">
        <f t="shared" ca="1" si="33"/>
        <v>0</v>
      </c>
      <c r="AA62" s="22">
        <f t="shared" ca="1" si="47"/>
        <v>0</v>
      </c>
      <c r="AB62" s="22">
        <f t="shared" ca="1" si="37"/>
        <v>0</v>
      </c>
      <c r="AC62" s="22">
        <f t="shared" ca="1" si="48"/>
        <v>0</v>
      </c>
      <c r="AD62" s="22">
        <f t="shared" ca="1" si="49"/>
        <v>0</v>
      </c>
      <c r="AE62" s="22">
        <f t="shared" ca="1" si="68"/>
        <v>0</v>
      </c>
      <c r="AF62" s="22">
        <f t="shared" ca="1" si="50"/>
        <v>0</v>
      </c>
      <c r="AG62" s="22">
        <f t="shared" ca="1" si="69"/>
        <v>0</v>
      </c>
      <c r="AH62" s="22">
        <f t="shared" ca="1" si="51"/>
        <v>0</v>
      </c>
      <c r="AI62" s="22">
        <f t="shared" ca="1" si="52"/>
        <v>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70"/>
        <v>0</v>
      </c>
      <c r="AM62" s="69">
        <f t="shared" ca="1" si="53"/>
        <v>0</v>
      </c>
      <c r="AN62" s="4">
        <f t="shared" ca="1" si="71"/>
        <v>0</v>
      </c>
      <c r="AO62" s="4">
        <f t="shared" ca="1" si="54"/>
        <v>0</v>
      </c>
      <c r="AP62" s="4">
        <f t="shared" ca="1" si="55"/>
        <v>0</v>
      </c>
      <c r="AQ62" s="4">
        <f t="shared" ca="1" si="56"/>
        <v>30</v>
      </c>
      <c r="AR62" s="4">
        <f t="shared" si="57"/>
        <v>20</v>
      </c>
      <c r="AS62" s="4">
        <f t="shared" ca="1" si="72"/>
        <v>30</v>
      </c>
      <c r="AT62" s="4"/>
      <c r="AU62" s="4"/>
      <c r="AV62" s="4"/>
      <c r="AW62" s="4"/>
      <c r="AX62" s="4"/>
      <c r="AY62" s="4">
        <f t="shared" ca="1" si="58"/>
        <v>0</v>
      </c>
      <c r="AZ62" s="4"/>
      <c r="BA62" s="4"/>
      <c r="BB62" s="4"/>
      <c r="BC62" s="4"/>
      <c r="BD62" s="4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9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60"/>
        <v xml:space="preserve"> </v>
      </c>
      <c r="I63" s="84">
        <f t="shared" ca="1" si="61"/>
        <v>0</v>
      </c>
      <c r="J63" s="84">
        <f t="shared" ca="1" si="42"/>
        <v>0</v>
      </c>
      <c r="K63" s="84">
        <v>0</v>
      </c>
      <c r="L63" s="84" t="str">
        <f t="shared" ca="1" si="62"/>
        <v xml:space="preserve"> </v>
      </c>
      <c r="M63" s="4">
        <v>39</v>
      </c>
      <c r="N63" s="4">
        <f t="shared" ca="1" si="36"/>
        <v>0</v>
      </c>
      <c r="O63" s="4">
        <f t="shared" ca="1" si="43"/>
        <v>20</v>
      </c>
      <c r="P63" s="22">
        <f t="shared" ca="1" si="44"/>
        <v>0</v>
      </c>
      <c r="Q63" s="22">
        <f t="shared" ca="1" si="45"/>
        <v>0</v>
      </c>
      <c r="R63" s="22">
        <f t="shared" ca="1" si="63"/>
        <v>0</v>
      </c>
      <c r="S63" s="22" t="str">
        <f t="shared" ca="1" si="64"/>
        <v xml:space="preserve"> </v>
      </c>
      <c r="T63" s="22" t="e">
        <f t="shared" ca="1" si="65"/>
        <v>#VALUE!</v>
      </c>
      <c r="U63" s="22">
        <f t="shared" ca="1" si="73"/>
        <v>0</v>
      </c>
      <c r="V63" s="22">
        <f t="shared" ca="1" si="74"/>
        <v>0</v>
      </c>
      <c r="W63" s="22">
        <f t="shared" ca="1" si="66"/>
        <v>0</v>
      </c>
      <c r="X63" s="22">
        <f t="shared" ca="1" si="67"/>
        <v>0</v>
      </c>
      <c r="Y63" s="22">
        <f t="shared" ca="1" si="46"/>
        <v>0</v>
      </c>
      <c r="Z63" s="22">
        <f t="shared" ref="Z63:Z85" ca="1" si="77">IF(N64=1,Y62*D$11*20/36000+Y63*D$11*10/36000,IF(N64=0,IF(N63=0,0,IF(D$16&gt;20,Y62*D$11*20/36000+Y63*D$11*(Q$12-20)/36000,Y63*D$11*Q$12/36000))))</f>
        <v>0</v>
      </c>
      <c r="AA63" s="22">
        <f t="shared" ca="1" si="47"/>
        <v>0</v>
      </c>
      <c r="AB63" s="22">
        <f t="shared" ca="1" si="37"/>
        <v>0</v>
      </c>
      <c r="AC63" s="22">
        <f t="shared" ca="1" si="48"/>
        <v>0</v>
      </c>
      <c r="AD63" s="22">
        <f t="shared" ca="1" si="49"/>
        <v>0</v>
      </c>
      <c r="AE63" s="22">
        <f t="shared" ca="1" si="68"/>
        <v>0</v>
      </c>
      <c r="AF63" s="22">
        <f t="shared" ca="1" si="50"/>
        <v>0</v>
      </c>
      <c r="AG63" s="22">
        <f t="shared" ca="1" si="69"/>
        <v>0</v>
      </c>
      <c r="AH63" s="22">
        <f t="shared" ca="1" si="51"/>
        <v>0</v>
      </c>
      <c r="AI63" s="22">
        <f t="shared" ca="1" si="52"/>
        <v>0</v>
      </c>
      <c r="AJ63" s="22">
        <f t="shared" ca="1" si="75"/>
        <v>0</v>
      </c>
      <c r="AK63" s="22">
        <f t="shared" ca="1" si="76"/>
        <v>0</v>
      </c>
      <c r="AL63" s="69">
        <f t="shared" ca="1" si="70"/>
        <v>0</v>
      </c>
      <c r="AM63" s="69">
        <f t="shared" ca="1" si="53"/>
        <v>0</v>
      </c>
      <c r="AN63" s="4">
        <f t="shared" ca="1" si="71"/>
        <v>0</v>
      </c>
      <c r="AO63" s="4">
        <f t="shared" ca="1" si="54"/>
        <v>0</v>
      </c>
      <c r="AP63" s="4">
        <f t="shared" ca="1" si="55"/>
        <v>0</v>
      </c>
      <c r="AQ63" s="4">
        <f t="shared" ca="1" si="56"/>
        <v>30</v>
      </c>
      <c r="AR63" s="4">
        <f t="shared" si="57"/>
        <v>20</v>
      </c>
      <c r="AS63" s="4">
        <f t="shared" ca="1" si="72"/>
        <v>30</v>
      </c>
      <c r="AT63" s="4"/>
      <c r="AU63" s="4"/>
      <c r="AV63" s="4"/>
      <c r="AW63" s="4"/>
      <c r="AX63" s="4"/>
      <c r="AY63" s="4">
        <f t="shared" ca="1" si="58"/>
        <v>0</v>
      </c>
      <c r="AZ63" s="4"/>
      <c r="BA63" s="4"/>
      <c r="BB63" s="4"/>
      <c r="BC63" s="4"/>
      <c r="BD63" s="4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9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60"/>
        <v xml:space="preserve"> </v>
      </c>
      <c r="I64" s="84">
        <f t="shared" ca="1" si="61"/>
        <v>0</v>
      </c>
      <c r="J64" s="84">
        <f t="shared" ca="1" si="42"/>
        <v>0</v>
      </c>
      <c r="K64" s="84">
        <v>0</v>
      </c>
      <c r="L64" s="84" t="str">
        <f t="shared" ca="1" si="62"/>
        <v xml:space="preserve"> </v>
      </c>
      <c r="M64" s="4">
        <v>40</v>
      </c>
      <c r="N64" s="4">
        <f t="shared" ca="1" si="36"/>
        <v>0</v>
      </c>
      <c r="O64" s="4">
        <f t="shared" ca="1" si="43"/>
        <v>20</v>
      </c>
      <c r="P64" s="22">
        <f t="shared" ca="1" si="44"/>
        <v>0</v>
      </c>
      <c r="Q64" s="22">
        <f t="shared" ca="1" si="45"/>
        <v>0</v>
      </c>
      <c r="R64" s="22">
        <f t="shared" ca="1" si="63"/>
        <v>0</v>
      </c>
      <c r="S64" s="22" t="str">
        <f t="shared" ca="1" si="64"/>
        <v xml:space="preserve"> </v>
      </c>
      <c r="T64" s="22" t="e">
        <f t="shared" ca="1" si="65"/>
        <v>#VALUE!</v>
      </c>
      <c r="U64" s="22">
        <f t="shared" ca="1" si="73"/>
        <v>0</v>
      </c>
      <c r="V64" s="22">
        <f t="shared" ca="1" si="74"/>
        <v>0</v>
      </c>
      <c r="W64" s="22">
        <f t="shared" ca="1" si="66"/>
        <v>0</v>
      </c>
      <c r="X64" s="22">
        <f t="shared" ca="1" si="67"/>
        <v>0</v>
      </c>
      <c r="Y64" s="22">
        <f t="shared" ca="1" si="46"/>
        <v>0</v>
      </c>
      <c r="Z64" s="22">
        <f t="shared" ca="1" si="77"/>
        <v>0</v>
      </c>
      <c r="AA64" s="22">
        <f t="shared" ca="1" si="47"/>
        <v>0</v>
      </c>
      <c r="AB64" s="22">
        <f t="shared" ca="1" si="37"/>
        <v>0</v>
      </c>
      <c r="AC64" s="22">
        <f t="shared" ca="1" si="48"/>
        <v>0</v>
      </c>
      <c r="AD64" s="22">
        <f t="shared" ca="1" si="49"/>
        <v>0</v>
      </c>
      <c r="AE64" s="22">
        <f t="shared" ca="1" si="68"/>
        <v>0</v>
      </c>
      <c r="AF64" s="22">
        <f t="shared" ca="1" si="50"/>
        <v>0</v>
      </c>
      <c r="AG64" s="22">
        <f t="shared" ca="1" si="69"/>
        <v>0</v>
      </c>
      <c r="AH64" s="22">
        <f t="shared" ca="1" si="51"/>
        <v>0</v>
      </c>
      <c r="AI64" s="22">
        <f t="shared" ca="1" si="52"/>
        <v>0</v>
      </c>
      <c r="AJ64" s="22">
        <f t="shared" ca="1" si="75"/>
        <v>0</v>
      </c>
      <c r="AK64" s="22">
        <f t="shared" ca="1" si="76"/>
        <v>0</v>
      </c>
      <c r="AL64" s="69">
        <f t="shared" ca="1" si="70"/>
        <v>0</v>
      </c>
      <c r="AM64" s="69">
        <f t="shared" ca="1" si="53"/>
        <v>0</v>
      </c>
      <c r="AN64" s="4">
        <f t="shared" ca="1" si="71"/>
        <v>0</v>
      </c>
      <c r="AO64" s="4">
        <f t="shared" ca="1" si="54"/>
        <v>0</v>
      </c>
      <c r="AP64" s="4">
        <f t="shared" ca="1" si="55"/>
        <v>0</v>
      </c>
      <c r="AQ64" s="4">
        <f t="shared" ca="1" si="56"/>
        <v>30</v>
      </c>
      <c r="AR64" s="4">
        <f t="shared" si="57"/>
        <v>20</v>
      </c>
      <c r="AS64" s="4">
        <f t="shared" ca="1" si="72"/>
        <v>30</v>
      </c>
      <c r="AT64" s="4"/>
      <c r="AU64" s="4"/>
      <c r="AV64" s="4"/>
      <c r="AW64" s="4"/>
      <c r="AX64" s="4"/>
      <c r="AY64" s="4">
        <f t="shared" ca="1" si="58"/>
        <v>0</v>
      </c>
      <c r="AZ64" s="4"/>
      <c r="BA64" s="4"/>
      <c r="BB64" s="4"/>
      <c r="BC64" s="4"/>
      <c r="BD64" s="4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9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60"/>
        <v xml:space="preserve"> </v>
      </c>
      <c r="I65" s="84">
        <f t="shared" ca="1" si="61"/>
        <v>0</v>
      </c>
      <c r="J65" s="84">
        <f t="shared" ca="1" si="42"/>
        <v>0</v>
      </c>
      <c r="K65" s="84">
        <v>0</v>
      </c>
      <c r="L65" s="84" t="str">
        <f t="shared" ca="1" si="62"/>
        <v xml:space="preserve"> </v>
      </c>
      <c r="M65" s="4">
        <v>41</v>
      </c>
      <c r="N65" s="4">
        <f t="shared" ca="1" si="36"/>
        <v>0</v>
      </c>
      <c r="O65" s="4">
        <f t="shared" ca="1" si="43"/>
        <v>20</v>
      </c>
      <c r="P65" s="22">
        <f t="shared" ca="1" si="44"/>
        <v>0</v>
      </c>
      <c r="Q65" s="22">
        <f t="shared" ca="1" si="45"/>
        <v>0</v>
      </c>
      <c r="R65" s="22">
        <f t="shared" ca="1" si="63"/>
        <v>0</v>
      </c>
      <c r="S65" s="22" t="str">
        <f t="shared" ca="1" si="64"/>
        <v xml:space="preserve"> </v>
      </c>
      <c r="T65" s="22" t="e">
        <f t="shared" ca="1" si="65"/>
        <v>#VALUE!</v>
      </c>
      <c r="U65" s="22">
        <f t="shared" ca="1" si="73"/>
        <v>0</v>
      </c>
      <c r="V65" s="22">
        <f t="shared" ca="1" si="74"/>
        <v>0</v>
      </c>
      <c r="W65" s="22">
        <f t="shared" ca="1" si="66"/>
        <v>0</v>
      </c>
      <c r="X65" s="22">
        <f t="shared" ca="1" si="67"/>
        <v>0</v>
      </c>
      <c r="Y65" s="22">
        <f t="shared" ca="1" si="46"/>
        <v>0</v>
      </c>
      <c r="Z65" s="22">
        <f t="shared" ca="1" si="77"/>
        <v>0</v>
      </c>
      <c r="AA65" s="22">
        <f t="shared" ca="1" si="47"/>
        <v>0</v>
      </c>
      <c r="AB65" s="22">
        <f t="shared" ca="1" si="37"/>
        <v>0</v>
      </c>
      <c r="AC65" s="22">
        <f t="shared" ca="1" si="48"/>
        <v>0</v>
      </c>
      <c r="AD65" s="22">
        <f t="shared" ca="1" si="49"/>
        <v>0</v>
      </c>
      <c r="AE65" s="22">
        <f t="shared" ca="1" si="68"/>
        <v>0</v>
      </c>
      <c r="AF65" s="22">
        <f t="shared" ca="1" si="50"/>
        <v>0</v>
      </c>
      <c r="AG65" s="22">
        <f t="shared" ca="1" si="69"/>
        <v>0</v>
      </c>
      <c r="AH65" s="22">
        <f t="shared" ca="1" si="51"/>
        <v>0</v>
      </c>
      <c r="AI65" s="22">
        <f t="shared" ca="1" si="52"/>
        <v>0</v>
      </c>
      <c r="AJ65" s="22">
        <f t="shared" ca="1" si="75"/>
        <v>0</v>
      </c>
      <c r="AK65" s="22">
        <f t="shared" ca="1" si="76"/>
        <v>0</v>
      </c>
      <c r="AL65" s="69">
        <f t="shared" ca="1" si="70"/>
        <v>0</v>
      </c>
      <c r="AM65" s="69">
        <f t="shared" ca="1" si="53"/>
        <v>0</v>
      </c>
      <c r="AN65" s="4">
        <f t="shared" ca="1" si="71"/>
        <v>0</v>
      </c>
      <c r="AO65" s="4">
        <f t="shared" ca="1" si="54"/>
        <v>0</v>
      </c>
      <c r="AP65" s="4">
        <f t="shared" ca="1" si="55"/>
        <v>0</v>
      </c>
      <c r="AQ65" s="4">
        <f t="shared" ca="1" si="56"/>
        <v>30</v>
      </c>
      <c r="AR65" s="4">
        <f t="shared" si="57"/>
        <v>20</v>
      </c>
      <c r="AS65" s="4">
        <f t="shared" ca="1" si="72"/>
        <v>30</v>
      </c>
      <c r="AT65" s="4"/>
      <c r="AU65" s="4"/>
      <c r="AV65" s="4"/>
      <c r="AW65" s="4"/>
      <c r="AX65" s="4"/>
      <c r="AY65" s="4">
        <f t="shared" ca="1" si="58"/>
        <v>0</v>
      </c>
      <c r="AZ65" s="4"/>
      <c r="BA65" s="4"/>
      <c r="BB65" s="4"/>
      <c r="BC65" s="4"/>
      <c r="BD65" s="4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9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60"/>
        <v xml:space="preserve"> </v>
      </c>
      <c r="I66" s="84">
        <f t="shared" ca="1" si="61"/>
        <v>0</v>
      </c>
      <c r="J66" s="84">
        <f t="shared" ca="1" si="42"/>
        <v>0</v>
      </c>
      <c r="K66" s="84">
        <v>0</v>
      </c>
      <c r="L66" s="84" t="str">
        <f t="shared" ca="1" si="62"/>
        <v xml:space="preserve"> </v>
      </c>
      <c r="M66" s="4">
        <v>42</v>
      </c>
      <c r="N66" s="4">
        <f t="shared" ca="1" si="36"/>
        <v>0</v>
      </c>
      <c r="O66" s="4">
        <f t="shared" ca="1" si="43"/>
        <v>20</v>
      </c>
      <c r="P66" s="22">
        <f t="shared" ca="1" si="44"/>
        <v>0</v>
      </c>
      <c r="Q66" s="22">
        <f t="shared" ca="1" si="45"/>
        <v>0</v>
      </c>
      <c r="R66" s="22">
        <f t="shared" ca="1" si="63"/>
        <v>0</v>
      </c>
      <c r="S66" s="22" t="str">
        <f t="shared" ca="1" si="64"/>
        <v xml:space="preserve"> </v>
      </c>
      <c r="T66" s="22" t="e">
        <f t="shared" ca="1" si="65"/>
        <v>#VALUE!</v>
      </c>
      <c r="U66" s="22">
        <f t="shared" ca="1" si="73"/>
        <v>0</v>
      </c>
      <c r="V66" s="22">
        <f t="shared" ca="1" si="74"/>
        <v>0</v>
      </c>
      <c r="W66" s="22">
        <f t="shared" ca="1" si="66"/>
        <v>0</v>
      </c>
      <c r="X66" s="22">
        <f t="shared" ca="1" si="67"/>
        <v>0</v>
      </c>
      <c r="Y66" s="22">
        <f t="shared" ca="1" si="46"/>
        <v>0</v>
      </c>
      <c r="Z66" s="22">
        <f t="shared" ca="1" si="77"/>
        <v>0</v>
      </c>
      <c r="AA66" s="22">
        <f t="shared" ca="1" si="47"/>
        <v>0</v>
      </c>
      <c r="AB66" s="22">
        <f t="shared" ca="1" si="37"/>
        <v>0</v>
      </c>
      <c r="AC66" s="22">
        <f t="shared" ca="1" si="48"/>
        <v>0</v>
      </c>
      <c r="AD66" s="22">
        <f t="shared" ca="1" si="49"/>
        <v>0</v>
      </c>
      <c r="AE66" s="22">
        <f t="shared" ca="1" si="68"/>
        <v>0</v>
      </c>
      <c r="AF66" s="22">
        <f t="shared" ca="1" si="50"/>
        <v>0</v>
      </c>
      <c r="AG66" s="22">
        <f t="shared" ca="1" si="69"/>
        <v>0</v>
      </c>
      <c r="AH66" s="22">
        <f t="shared" ca="1" si="51"/>
        <v>0</v>
      </c>
      <c r="AI66" s="22">
        <f t="shared" ca="1" si="52"/>
        <v>0</v>
      </c>
      <c r="AJ66" s="22">
        <f t="shared" ca="1" si="75"/>
        <v>0</v>
      </c>
      <c r="AK66" s="22">
        <f t="shared" ca="1" si="76"/>
        <v>0</v>
      </c>
      <c r="AL66" s="69">
        <f t="shared" ca="1" si="70"/>
        <v>0</v>
      </c>
      <c r="AM66" s="69">
        <f t="shared" ca="1" si="53"/>
        <v>0</v>
      </c>
      <c r="AN66" s="4">
        <f t="shared" ca="1" si="71"/>
        <v>0</v>
      </c>
      <c r="AO66" s="4">
        <f t="shared" ca="1" si="54"/>
        <v>0</v>
      </c>
      <c r="AP66" s="4">
        <f t="shared" ca="1" si="55"/>
        <v>0</v>
      </c>
      <c r="AQ66" s="4">
        <f t="shared" ca="1" si="56"/>
        <v>30</v>
      </c>
      <c r="AR66" s="4">
        <f t="shared" si="57"/>
        <v>20</v>
      </c>
      <c r="AS66" s="4">
        <f t="shared" ca="1" si="72"/>
        <v>30</v>
      </c>
      <c r="AT66" s="4"/>
      <c r="AU66" s="4"/>
      <c r="AV66" s="4"/>
      <c r="AW66" s="4"/>
      <c r="AX66" s="4"/>
      <c r="AY66" s="4">
        <f t="shared" ca="1" si="58"/>
        <v>0</v>
      </c>
      <c r="AZ66" s="4"/>
      <c r="BA66" s="4"/>
      <c r="BB66" s="4"/>
      <c r="BC66" s="4"/>
      <c r="BD66" s="4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9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60"/>
        <v xml:space="preserve"> </v>
      </c>
      <c r="I67" s="84">
        <f t="shared" ca="1" si="61"/>
        <v>0</v>
      </c>
      <c r="J67" s="84">
        <f t="shared" ca="1" si="42"/>
        <v>0</v>
      </c>
      <c r="K67" s="84">
        <v>0</v>
      </c>
      <c r="L67" s="84" t="str">
        <f t="shared" ca="1" si="62"/>
        <v xml:space="preserve"> </v>
      </c>
      <c r="M67" s="4">
        <v>43</v>
      </c>
      <c r="N67" s="4">
        <f t="shared" ca="1" si="36"/>
        <v>0</v>
      </c>
      <c r="O67" s="4">
        <f t="shared" ca="1" si="43"/>
        <v>20</v>
      </c>
      <c r="P67" s="22">
        <f t="shared" ca="1" si="44"/>
        <v>0</v>
      </c>
      <c r="Q67" s="22">
        <f t="shared" ca="1" si="45"/>
        <v>0</v>
      </c>
      <c r="R67" s="22">
        <f t="shared" ca="1" si="63"/>
        <v>0</v>
      </c>
      <c r="S67" s="22" t="str">
        <f t="shared" ca="1" si="64"/>
        <v xml:space="preserve"> </v>
      </c>
      <c r="T67" s="22" t="e">
        <f t="shared" ca="1" si="65"/>
        <v>#VALUE!</v>
      </c>
      <c r="U67" s="22">
        <f t="shared" ca="1" si="73"/>
        <v>0</v>
      </c>
      <c r="V67" s="22">
        <f t="shared" ca="1" si="74"/>
        <v>0</v>
      </c>
      <c r="W67" s="22">
        <f t="shared" ca="1" si="66"/>
        <v>0</v>
      </c>
      <c r="X67" s="22">
        <f t="shared" ca="1" si="67"/>
        <v>0</v>
      </c>
      <c r="Y67" s="22">
        <f t="shared" ca="1" si="46"/>
        <v>0</v>
      </c>
      <c r="Z67" s="22">
        <f t="shared" ca="1" si="77"/>
        <v>0</v>
      </c>
      <c r="AA67" s="22">
        <f t="shared" ca="1" si="47"/>
        <v>0</v>
      </c>
      <c r="AB67" s="22">
        <f t="shared" ca="1" si="37"/>
        <v>0</v>
      </c>
      <c r="AC67" s="22">
        <f t="shared" ca="1" si="48"/>
        <v>0</v>
      </c>
      <c r="AD67" s="22">
        <f t="shared" ca="1" si="49"/>
        <v>0</v>
      </c>
      <c r="AE67" s="22">
        <f t="shared" ca="1" si="68"/>
        <v>0</v>
      </c>
      <c r="AF67" s="22">
        <f t="shared" ca="1" si="50"/>
        <v>0</v>
      </c>
      <c r="AG67" s="22">
        <f t="shared" ca="1" si="69"/>
        <v>0</v>
      </c>
      <c r="AH67" s="22">
        <f t="shared" ca="1" si="51"/>
        <v>0</v>
      </c>
      <c r="AI67" s="22">
        <f t="shared" ca="1" si="52"/>
        <v>0</v>
      </c>
      <c r="AJ67" s="22">
        <f t="shared" ca="1" si="75"/>
        <v>0</v>
      </c>
      <c r="AK67" s="22">
        <f t="shared" ca="1" si="76"/>
        <v>0</v>
      </c>
      <c r="AL67" s="69">
        <f t="shared" ca="1" si="70"/>
        <v>0</v>
      </c>
      <c r="AM67" s="69">
        <f t="shared" ca="1" si="53"/>
        <v>0</v>
      </c>
      <c r="AN67" s="4">
        <f t="shared" ca="1" si="71"/>
        <v>0</v>
      </c>
      <c r="AO67" s="4">
        <f t="shared" ca="1" si="54"/>
        <v>0</v>
      </c>
      <c r="AP67" s="4">
        <f t="shared" ca="1" si="55"/>
        <v>0</v>
      </c>
      <c r="AQ67" s="4">
        <f t="shared" ca="1" si="56"/>
        <v>30</v>
      </c>
      <c r="AR67" s="4">
        <f t="shared" si="57"/>
        <v>20</v>
      </c>
      <c r="AS67" s="4">
        <f t="shared" ca="1" si="72"/>
        <v>30</v>
      </c>
      <c r="AT67" s="4"/>
      <c r="AU67" s="4"/>
      <c r="AV67" s="4"/>
      <c r="AW67" s="4"/>
      <c r="AX67" s="4"/>
      <c r="AY67" s="4">
        <f t="shared" ca="1" si="58"/>
        <v>0</v>
      </c>
      <c r="AZ67" s="4"/>
      <c r="BA67" s="4"/>
      <c r="BB67" s="4"/>
      <c r="BC67" s="4"/>
      <c r="BD67" s="4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9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60"/>
        <v xml:space="preserve"> </v>
      </c>
      <c r="I68" s="84">
        <f t="shared" ca="1" si="61"/>
        <v>0</v>
      </c>
      <c r="J68" s="84">
        <f t="shared" ca="1" si="42"/>
        <v>0</v>
      </c>
      <c r="K68" s="84">
        <v>0</v>
      </c>
      <c r="L68" s="84" t="str">
        <f t="shared" ca="1" si="62"/>
        <v xml:space="preserve"> </v>
      </c>
      <c r="M68" s="4">
        <v>44</v>
      </c>
      <c r="N68" s="4">
        <f t="shared" ca="1" si="36"/>
        <v>0</v>
      </c>
      <c r="O68" s="4">
        <f t="shared" ca="1" si="43"/>
        <v>20</v>
      </c>
      <c r="P68" s="22">
        <f t="shared" ca="1" si="44"/>
        <v>0</v>
      </c>
      <c r="Q68" s="22">
        <f t="shared" ca="1" si="45"/>
        <v>0</v>
      </c>
      <c r="R68" s="22">
        <f t="shared" ca="1" si="63"/>
        <v>0</v>
      </c>
      <c r="S68" s="22" t="str">
        <f t="shared" ca="1" si="64"/>
        <v xml:space="preserve"> </v>
      </c>
      <c r="T68" s="22" t="e">
        <f t="shared" ca="1" si="65"/>
        <v>#VALUE!</v>
      </c>
      <c r="U68" s="22">
        <f t="shared" ca="1" si="73"/>
        <v>0</v>
      </c>
      <c r="V68" s="22">
        <f t="shared" ca="1" si="74"/>
        <v>0</v>
      </c>
      <c r="W68" s="22">
        <f t="shared" ca="1" si="66"/>
        <v>0</v>
      </c>
      <c r="X68" s="22">
        <f t="shared" ca="1" si="67"/>
        <v>0</v>
      </c>
      <c r="Y68" s="22">
        <f t="shared" ca="1" si="46"/>
        <v>0</v>
      </c>
      <c r="Z68" s="22">
        <f t="shared" ca="1" si="77"/>
        <v>0</v>
      </c>
      <c r="AA68" s="22">
        <f t="shared" ca="1" si="47"/>
        <v>0</v>
      </c>
      <c r="AB68" s="22">
        <f t="shared" ca="1" si="37"/>
        <v>0</v>
      </c>
      <c r="AC68" s="22">
        <f t="shared" ca="1" si="48"/>
        <v>0</v>
      </c>
      <c r="AD68" s="22">
        <f t="shared" ca="1" si="49"/>
        <v>0</v>
      </c>
      <c r="AE68" s="22">
        <f t="shared" ca="1" si="68"/>
        <v>0</v>
      </c>
      <c r="AF68" s="22">
        <f t="shared" ca="1" si="50"/>
        <v>0</v>
      </c>
      <c r="AG68" s="22">
        <f t="shared" ca="1" si="69"/>
        <v>0</v>
      </c>
      <c r="AH68" s="22">
        <f t="shared" ca="1" si="51"/>
        <v>0</v>
      </c>
      <c r="AI68" s="22">
        <f t="shared" ca="1" si="52"/>
        <v>0</v>
      </c>
      <c r="AJ68" s="22">
        <f t="shared" ca="1" si="75"/>
        <v>0</v>
      </c>
      <c r="AK68" s="22">
        <f t="shared" ca="1" si="76"/>
        <v>0</v>
      </c>
      <c r="AL68" s="69">
        <f t="shared" ca="1" si="70"/>
        <v>0</v>
      </c>
      <c r="AM68" s="69">
        <f t="shared" ca="1" si="53"/>
        <v>0</v>
      </c>
      <c r="AN68" s="4">
        <f t="shared" ca="1" si="71"/>
        <v>0</v>
      </c>
      <c r="AO68" s="4">
        <f t="shared" ca="1" si="54"/>
        <v>0</v>
      </c>
      <c r="AP68" s="4">
        <f t="shared" ca="1" si="55"/>
        <v>0</v>
      </c>
      <c r="AQ68" s="4">
        <f t="shared" ca="1" si="56"/>
        <v>30</v>
      </c>
      <c r="AR68" s="4">
        <f t="shared" si="57"/>
        <v>20</v>
      </c>
      <c r="AS68" s="4">
        <f t="shared" ca="1" si="72"/>
        <v>30</v>
      </c>
      <c r="AT68" s="4"/>
      <c r="AU68" s="4"/>
      <c r="AV68" s="4"/>
      <c r="AW68" s="4"/>
      <c r="AX68" s="4"/>
      <c r="AY68" s="4">
        <f t="shared" ca="1" si="58"/>
        <v>0</v>
      </c>
      <c r="AZ68" s="4"/>
      <c r="BA68" s="4"/>
      <c r="BB68" s="4"/>
      <c r="BC68" s="4"/>
      <c r="BD68" s="4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9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60"/>
        <v xml:space="preserve"> </v>
      </c>
      <c r="I69" s="84">
        <f t="shared" ca="1" si="61"/>
        <v>0</v>
      </c>
      <c r="J69" s="84">
        <f t="shared" ca="1" si="42"/>
        <v>0</v>
      </c>
      <c r="K69" s="84">
        <v>0</v>
      </c>
      <c r="L69" s="84" t="str">
        <f t="shared" ca="1" si="62"/>
        <v xml:space="preserve"> </v>
      </c>
      <c r="M69" s="4">
        <v>45</v>
      </c>
      <c r="N69" s="4">
        <f t="shared" ca="1" si="36"/>
        <v>0</v>
      </c>
      <c r="O69" s="4">
        <f t="shared" ca="1" si="43"/>
        <v>20</v>
      </c>
      <c r="P69" s="22">
        <f t="shared" ca="1" si="44"/>
        <v>0</v>
      </c>
      <c r="Q69" s="22">
        <f t="shared" ca="1" si="45"/>
        <v>0</v>
      </c>
      <c r="R69" s="22">
        <f t="shared" ca="1" si="63"/>
        <v>0</v>
      </c>
      <c r="S69" s="22" t="str">
        <f t="shared" ca="1" si="64"/>
        <v xml:space="preserve"> </v>
      </c>
      <c r="T69" s="22" t="e">
        <f t="shared" ca="1" si="65"/>
        <v>#VALUE!</v>
      </c>
      <c r="U69" s="22">
        <f t="shared" ca="1" si="73"/>
        <v>0</v>
      </c>
      <c r="V69" s="22">
        <f t="shared" ca="1" si="74"/>
        <v>0</v>
      </c>
      <c r="W69" s="22">
        <f t="shared" ca="1" si="66"/>
        <v>0</v>
      </c>
      <c r="X69" s="22">
        <f t="shared" ca="1" si="67"/>
        <v>0</v>
      </c>
      <c r="Y69" s="22">
        <f t="shared" ca="1" si="46"/>
        <v>0</v>
      </c>
      <c r="Z69" s="22">
        <f t="shared" ca="1" si="77"/>
        <v>0</v>
      </c>
      <c r="AA69" s="22">
        <f t="shared" ca="1" si="47"/>
        <v>0</v>
      </c>
      <c r="AB69" s="22">
        <f t="shared" ca="1" si="37"/>
        <v>0</v>
      </c>
      <c r="AC69" s="22">
        <f t="shared" ca="1" si="48"/>
        <v>0</v>
      </c>
      <c r="AD69" s="22">
        <f t="shared" ca="1" si="49"/>
        <v>0</v>
      </c>
      <c r="AE69" s="22">
        <f t="shared" ca="1" si="68"/>
        <v>0</v>
      </c>
      <c r="AF69" s="22">
        <f t="shared" ca="1" si="50"/>
        <v>0</v>
      </c>
      <c r="AG69" s="22">
        <f t="shared" ca="1" si="69"/>
        <v>0</v>
      </c>
      <c r="AH69" s="22">
        <f t="shared" ca="1" si="51"/>
        <v>0</v>
      </c>
      <c r="AI69" s="22">
        <f t="shared" ca="1" si="52"/>
        <v>0</v>
      </c>
      <c r="AJ69" s="22">
        <f t="shared" ca="1" si="75"/>
        <v>0</v>
      </c>
      <c r="AK69" s="22">
        <f t="shared" ca="1" si="76"/>
        <v>0</v>
      </c>
      <c r="AL69" s="69">
        <f t="shared" ca="1" si="70"/>
        <v>0</v>
      </c>
      <c r="AM69" s="69">
        <f t="shared" ca="1" si="53"/>
        <v>0</v>
      </c>
      <c r="AN69" s="4">
        <f t="shared" ca="1" si="71"/>
        <v>0</v>
      </c>
      <c r="AO69" s="4">
        <f t="shared" ca="1" si="54"/>
        <v>0</v>
      </c>
      <c r="AP69" s="4">
        <f t="shared" ca="1" si="55"/>
        <v>0</v>
      </c>
      <c r="AQ69" s="4">
        <f t="shared" ca="1" si="56"/>
        <v>30</v>
      </c>
      <c r="AR69" s="4">
        <f t="shared" si="57"/>
        <v>20</v>
      </c>
      <c r="AS69" s="4">
        <f t="shared" ca="1" si="72"/>
        <v>30</v>
      </c>
      <c r="AT69" s="4"/>
      <c r="AU69" s="4"/>
      <c r="AV69" s="4"/>
      <c r="AW69" s="4"/>
      <c r="AX69" s="4"/>
      <c r="AY69" s="4">
        <f t="shared" ca="1" si="58"/>
        <v>0</v>
      </c>
      <c r="AZ69" s="4"/>
      <c r="BA69" s="4"/>
      <c r="BB69" s="4"/>
      <c r="BC69" s="4"/>
      <c r="BD69" s="4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9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60"/>
        <v xml:space="preserve"> </v>
      </c>
      <c r="I70" s="84">
        <f t="shared" ca="1" si="61"/>
        <v>0</v>
      </c>
      <c r="J70" s="84">
        <f t="shared" ca="1" si="42"/>
        <v>0</v>
      </c>
      <c r="K70" s="84">
        <v>0</v>
      </c>
      <c r="L70" s="84" t="str">
        <f t="shared" ca="1" si="62"/>
        <v xml:space="preserve"> </v>
      </c>
      <c r="M70" s="4">
        <v>46</v>
      </c>
      <c r="N70" s="4">
        <f t="shared" ca="1" si="36"/>
        <v>0</v>
      </c>
      <c r="O70" s="4">
        <f t="shared" ca="1" si="43"/>
        <v>20</v>
      </c>
      <c r="P70" s="22">
        <f t="shared" ca="1" si="44"/>
        <v>0</v>
      </c>
      <c r="Q70" s="22">
        <f t="shared" ca="1" si="45"/>
        <v>0</v>
      </c>
      <c r="R70" s="22">
        <f t="shared" ca="1" si="63"/>
        <v>0</v>
      </c>
      <c r="S70" s="22" t="str">
        <f t="shared" ca="1" si="64"/>
        <v xml:space="preserve"> </v>
      </c>
      <c r="T70" s="22" t="e">
        <f t="shared" ca="1" si="65"/>
        <v>#VALUE!</v>
      </c>
      <c r="U70" s="22">
        <f t="shared" ca="1" si="73"/>
        <v>0</v>
      </c>
      <c r="V70" s="22">
        <f t="shared" ca="1" si="74"/>
        <v>0</v>
      </c>
      <c r="W70" s="22">
        <f t="shared" ca="1" si="66"/>
        <v>0</v>
      </c>
      <c r="X70" s="22">
        <f t="shared" ca="1" si="67"/>
        <v>0</v>
      </c>
      <c r="Y70" s="22">
        <f t="shared" ca="1" si="46"/>
        <v>0</v>
      </c>
      <c r="Z70" s="22">
        <f t="shared" ca="1" si="77"/>
        <v>0</v>
      </c>
      <c r="AA70" s="22">
        <f t="shared" ca="1" si="47"/>
        <v>0</v>
      </c>
      <c r="AB70" s="22">
        <f t="shared" ca="1" si="37"/>
        <v>0</v>
      </c>
      <c r="AC70" s="22">
        <f t="shared" ca="1" si="48"/>
        <v>0</v>
      </c>
      <c r="AD70" s="22">
        <f t="shared" ca="1" si="49"/>
        <v>0</v>
      </c>
      <c r="AE70" s="22">
        <f t="shared" ca="1" si="68"/>
        <v>0</v>
      </c>
      <c r="AF70" s="22">
        <f t="shared" ca="1" si="50"/>
        <v>0</v>
      </c>
      <c r="AG70" s="22">
        <f t="shared" ca="1" si="69"/>
        <v>0</v>
      </c>
      <c r="AH70" s="22">
        <f t="shared" ca="1" si="51"/>
        <v>0</v>
      </c>
      <c r="AI70" s="22">
        <f t="shared" ca="1" si="52"/>
        <v>0</v>
      </c>
      <c r="AJ70" s="22">
        <f t="shared" ca="1" si="75"/>
        <v>0</v>
      </c>
      <c r="AK70" s="22">
        <f t="shared" ca="1" si="76"/>
        <v>0</v>
      </c>
      <c r="AL70" s="69">
        <f t="shared" ca="1" si="70"/>
        <v>0</v>
      </c>
      <c r="AM70" s="69">
        <f t="shared" ca="1" si="53"/>
        <v>0</v>
      </c>
      <c r="AN70" s="4">
        <f t="shared" ca="1" si="71"/>
        <v>0</v>
      </c>
      <c r="AO70" s="4">
        <f t="shared" ca="1" si="54"/>
        <v>0</v>
      </c>
      <c r="AP70" s="4">
        <f t="shared" ca="1" si="55"/>
        <v>0</v>
      </c>
      <c r="AQ70" s="4">
        <f t="shared" ca="1" si="56"/>
        <v>30</v>
      </c>
      <c r="AR70" s="4">
        <f t="shared" si="57"/>
        <v>20</v>
      </c>
      <c r="AS70" s="4">
        <f t="shared" ca="1" si="72"/>
        <v>30</v>
      </c>
      <c r="AT70" s="4"/>
      <c r="AU70" s="4"/>
      <c r="AV70" s="4"/>
      <c r="AW70" s="4"/>
      <c r="AX70" s="4"/>
      <c r="AY70" s="4">
        <f t="shared" ca="1" si="58"/>
        <v>0</v>
      </c>
      <c r="AZ70" s="4"/>
      <c r="BA70" s="4"/>
      <c r="BB70" s="4"/>
      <c r="BC70" s="4"/>
      <c r="BD70" s="4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9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60"/>
        <v xml:space="preserve"> </v>
      </c>
      <c r="I71" s="84">
        <f t="shared" ca="1" si="61"/>
        <v>0</v>
      </c>
      <c r="J71" s="84">
        <f t="shared" ca="1" si="42"/>
        <v>0</v>
      </c>
      <c r="K71" s="84">
        <v>0</v>
      </c>
      <c r="L71" s="84" t="str">
        <f t="shared" ca="1" si="62"/>
        <v xml:space="preserve"> </v>
      </c>
      <c r="M71" s="4">
        <v>47</v>
      </c>
      <c r="N71" s="4">
        <f t="shared" ca="1" si="36"/>
        <v>0</v>
      </c>
      <c r="O71" s="4">
        <f t="shared" ca="1" si="43"/>
        <v>20</v>
      </c>
      <c r="P71" s="22">
        <f t="shared" ca="1" si="44"/>
        <v>0</v>
      </c>
      <c r="Q71" s="22">
        <f t="shared" ca="1" si="45"/>
        <v>0</v>
      </c>
      <c r="R71" s="22">
        <f t="shared" ca="1" si="63"/>
        <v>0</v>
      </c>
      <c r="S71" s="22" t="str">
        <f t="shared" ca="1" si="64"/>
        <v xml:space="preserve"> </v>
      </c>
      <c r="T71" s="22" t="e">
        <f t="shared" ca="1" si="65"/>
        <v>#VALUE!</v>
      </c>
      <c r="U71" s="22">
        <f t="shared" ca="1" si="73"/>
        <v>0</v>
      </c>
      <c r="V71" s="22">
        <f t="shared" ca="1" si="74"/>
        <v>0</v>
      </c>
      <c r="W71" s="22">
        <f t="shared" ca="1" si="66"/>
        <v>0</v>
      </c>
      <c r="X71" s="22">
        <f t="shared" ca="1" si="67"/>
        <v>0</v>
      </c>
      <c r="Y71" s="22">
        <f t="shared" ca="1" si="46"/>
        <v>0</v>
      </c>
      <c r="Z71" s="22">
        <f t="shared" ca="1" si="77"/>
        <v>0</v>
      </c>
      <c r="AA71" s="22">
        <f t="shared" ca="1" si="47"/>
        <v>0</v>
      </c>
      <c r="AB71" s="22">
        <f t="shared" ca="1" si="37"/>
        <v>0</v>
      </c>
      <c r="AC71" s="22">
        <f t="shared" ca="1" si="48"/>
        <v>0</v>
      </c>
      <c r="AD71" s="22">
        <f t="shared" ca="1" si="49"/>
        <v>0</v>
      </c>
      <c r="AE71" s="22">
        <f t="shared" ca="1" si="68"/>
        <v>0</v>
      </c>
      <c r="AF71" s="22">
        <f t="shared" ca="1" si="50"/>
        <v>0</v>
      </c>
      <c r="AG71" s="22">
        <f t="shared" ca="1" si="69"/>
        <v>0</v>
      </c>
      <c r="AH71" s="22">
        <f t="shared" ca="1" si="51"/>
        <v>0</v>
      </c>
      <c r="AI71" s="22">
        <f t="shared" ca="1" si="52"/>
        <v>0</v>
      </c>
      <c r="AJ71" s="22">
        <f t="shared" ca="1" si="75"/>
        <v>0</v>
      </c>
      <c r="AK71" s="22">
        <f t="shared" ca="1" si="76"/>
        <v>0</v>
      </c>
      <c r="AL71" s="69">
        <f t="shared" ca="1" si="70"/>
        <v>0</v>
      </c>
      <c r="AM71" s="69">
        <f t="shared" ca="1" si="53"/>
        <v>0</v>
      </c>
      <c r="AN71" s="4">
        <f t="shared" ca="1" si="71"/>
        <v>0</v>
      </c>
      <c r="AO71" s="4">
        <f t="shared" ca="1" si="54"/>
        <v>0</v>
      </c>
      <c r="AP71" s="4">
        <f t="shared" ca="1" si="55"/>
        <v>0</v>
      </c>
      <c r="AQ71" s="4">
        <f t="shared" ca="1" si="56"/>
        <v>30</v>
      </c>
      <c r="AR71" s="4">
        <f t="shared" si="57"/>
        <v>20</v>
      </c>
      <c r="AS71" s="4">
        <f t="shared" ca="1" si="72"/>
        <v>30</v>
      </c>
      <c r="AT71" s="4"/>
      <c r="AU71" s="4"/>
      <c r="AV71" s="4"/>
      <c r="AW71" s="4"/>
      <c r="AX71" s="4"/>
      <c r="AY71" s="4">
        <f t="shared" ca="1" si="58"/>
        <v>0</v>
      </c>
      <c r="AZ71" s="4"/>
      <c r="BA71" s="4"/>
      <c r="BB71" s="4"/>
      <c r="BC71" s="4"/>
      <c r="BD71" s="4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9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60"/>
        <v xml:space="preserve"> </v>
      </c>
      <c r="I72" s="84">
        <f t="shared" ca="1" si="61"/>
        <v>0</v>
      </c>
      <c r="J72" s="84">
        <f t="shared" ca="1" si="42"/>
        <v>0</v>
      </c>
      <c r="K72" s="84">
        <v>0</v>
      </c>
      <c r="L72" s="84" t="str">
        <f t="shared" ca="1" si="62"/>
        <v xml:space="preserve"> </v>
      </c>
      <c r="M72" s="4">
        <v>48</v>
      </c>
      <c r="N72" s="4">
        <f t="shared" ca="1" si="36"/>
        <v>0</v>
      </c>
      <c r="O72" s="4">
        <f t="shared" ca="1" si="43"/>
        <v>20</v>
      </c>
      <c r="P72" s="22">
        <f t="shared" ca="1" si="44"/>
        <v>0</v>
      </c>
      <c r="Q72" s="22">
        <f t="shared" ca="1" si="45"/>
        <v>0</v>
      </c>
      <c r="R72" s="22">
        <f t="shared" ca="1" si="63"/>
        <v>0</v>
      </c>
      <c r="S72" s="22" t="str">
        <f t="shared" ca="1" si="64"/>
        <v xml:space="preserve"> </v>
      </c>
      <c r="T72" s="22" t="e">
        <f t="shared" ca="1" si="65"/>
        <v>#VALUE!</v>
      </c>
      <c r="U72" s="22">
        <f ca="1">IF(N73=1,R71*D11*20/36000+R72*D11*10/36000,IF(N73=0,IF(N72=0,0,R72*D11*Q12/36000+R71*D11*20/36000+R72*D11*10/36000)))</f>
        <v>0</v>
      </c>
      <c r="V72" s="22">
        <f ca="1">IF(N73=1,R71*D11*20/36000+R72*D11*10/36000,IF(N73=0,IF(N72=0,0,R72*D11*Q12/36000+R71*D11*20/36000+R72*D11*10/36000)))</f>
        <v>0</v>
      </c>
      <c r="W72" s="22">
        <f t="shared" ca="1" si="66"/>
        <v>0</v>
      </c>
      <c r="X72" s="22">
        <f t="shared" ca="1" si="67"/>
        <v>0</v>
      </c>
      <c r="Y72" s="22">
        <f t="shared" ca="1" si="46"/>
        <v>0</v>
      </c>
      <c r="Z72" s="22">
        <f t="shared" ca="1" si="77"/>
        <v>0</v>
      </c>
      <c r="AA72" s="22">
        <f t="shared" ca="1" si="47"/>
        <v>0</v>
      </c>
      <c r="AB72" s="22">
        <f t="shared" ca="1" si="37"/>
        <v>0</v>
      </c>
      <c r="AC72" s="22">
        <f t="shared" ca="1" si="48"/>
        <v>0</v>
      </c>
      <c r="AD72" s="22">
        <f t="shared" ca="1" si="49"/>
        <v>0</v>
      </c>
      <c r="AE72" s="22">
        <f t="shared" ca="1" si="68"/>
        <v>0</v>
      </c>
      <c r="AF72" s="22">
        <f t="shared" ca="1" si="50"/>
        <v>0</v>
      </c>
      <c r="AG72" s="22">
        <f t="shared" ca="1" si="69"/>
        <v>0</v>
      </c>
      <c r="AH72" s="22">
        <f t="shared" ca="1" si="51"/>
        <v>0</v>
      </c>
      <c r="AI72" s="22">
        <f t="shared" ca="1" si="52"/>
        <v>0</v>
      </c>
      <c r="AJ72" s="22">
        <f t="shared" ca="1" si="75"/>
        <v>0</v>
      </c>
      <c r="AK72" s="22">
        <f t="shared" ca="1" si="76"/>
        <v>0</v>
      </c>
      <c r="AL72" s="69">
        <f t="shared" ca="1" si="70"/>
        <v>0</v>
      </c>
      <c r="AM72" s="69">
        <f t="shared" ca="1" si="53"/>
        <v>0</v>
      </c>
      <c r="AN72" s="4">
        <f t="shared" ca="1" si="71"/>
        <v>0</v>
      </c>
      <c r="AO72" s="4">
        <f t="shared" ca="1" si="54"/>
        <v>0</v>
      </c>
      <c r="AP72" s="4">
        <f t="shared" ca="1" si="55"/>
        <v>0</v>
      </c>
      <c r="AQ72" s="4">
        <f t="shared" ca="1" si="56"/>
        <v>30</v>
      </c>
      <c r="AR72" s="4">
        <f t="shared" si="57"/>
        <v>20</v>
      </c>
      <c r="AS72" s="4">
        <f t="shared" ca="1" si="72"/>
        <v>30</v>
      </c>
      <c r="AT72" s="4"/>
      <c r="AU72" s="4"/>
      <c r="AV72" s="4"/>
      <c r="AW72" s="4"/>
      <c r="AX72" s="4"/>
      <c r="AY72" s="4">
        <f t="shared" ca="1" si="58"/>
        <v>0</v>
      </c>
      <c r="AZ72" s="4"/>
      <c r="BA72" s="4"/>
      <c r="BB72" s="4"/>
      <c r="BC72" s="4"/>
      <c r="BD72" s="4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9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60"/>
        <v xml:space="preserve"> </v>
      </c>
      <c r="I73" s="84">
        <f t="shared" ca="1" si="61"/>
        <v>0</v>
      </c>
      <c r="J73" s="84">
        <f t="shared" ca="1" si="42"/>
        <v>0</v>
      </c>
      <c r="K73" s="84">
        <v>0</v>
      </c>
      <c r="L73" s="84" t="str">
        <f t="shared" ca="1" si="62"/>
        <v xml:space="preserve"> </v>
      </c>
      <c r="M73" s="4">
        <v>49</v>
      </c>
      <c r="N73" s="4">
        <f t="shared" ca="1" si="36"/>
        <v>0</v>
      </c>
      <c r="O73" s="4">
        <f t="shared" ca="1" si="43"/>
        <v>20</v>
      </c>
      <c r="P73" s="22">
        <f t="shared" ca="1" si="44"/>
        <v>0</v>
      </c>
      <c r="Q73" s="22">
        <f t="shared" ca="1" si="45"/>
        <v>0</v>
      </c>
      <c r="R73" s="22">
        <f t="shared" ca="1" si="63"/>
        <v>0</v>
      </c>
      <c r="S73" s="22" t="str">
        <f t="shared" ca="1" si="64"/>
        <v xml:space="preserve"> </v>
      </c>
      <c r="T73" s="22" t="e">
        <f t="shared" ca="1" si="65"/>
        <v>#VALUE!</v>
      </c>
      <c r="U73" s="22">
        <f t="shared" ref="U73:U83" ca="1" si="78">IF(N74=1,R72*D$11*20/36000+R73*D$11*10/36000,IF(N74=0,IF(N73=0,0,IF(D$16&gt;20,R72*D$11*20/36000+R73*D$11*(Q$12-20)/36000,R73*D$11*Q$12/36000))))</f>
        <v>0</v>
      </c>
      <c r="V73" s="22">
        <f t="shared" ref="V73:V83" ca="1" si="79">IF(N74=1,R72*D$11*20/36000+R73*D$11*10/36000,IF(N74=0,IF(N73=0,0,IF(D$16&gt;20,R72*D$11*20/36000+R73*D$11*(Q$12-20)/36000,R73*D$11*Q$12/36000))))</f>
        <v>0</v>
      </c>
      <c r="W73" s="22">
        <f t="shared" ca="1" si="66"/>
        <v>0</v>
      </c>
      <c r="X73" s="22">
        <f t="shared" ca="1" si="67"/>
        <v>0</v>
      </c>
      <c r="Y73" s="22">
        <f t="shared" ca="1" si="46"/>
        <v>0</v>
      </c>
      <c r="Z73" s="22">
        <f t="shared" ca="1" si="77"/>
        <v>0</v>
      </c>
      <c r="AA73" s="22">
        <f t="shared" ca="1" si="47"/>
        <v>0</v>
      </c>
      <c r="AB73" s="22">
        <f t="shared" ca="1" si="37"/>
        <v>0</v>
      </c>
      <c r="AC73" s="22">
        <f t="shared" ca="1" si="48"/>
        <v>0</v>
      </c>
      <c r="AD73" s="22">
        <f t="shared" ca="1" si="49"/>
        <v>0</v>
      </c>
      <c r="AE73" s="22">
        <f t="shared" ca="1" si="68"/>
        <v>0</v>
      </c>
      <c r="AF73" s="22">
        <f t="shared" ca="1" si="50"/>
        <v>0</v>
      </c>
      <c r="AG73" s="22">
        <f t="shared" ca="1" si="69"/>
        <v>0</v>
      </c>
      <c r="AH73" s="22">
        <f t="shared" ca="1" si="51"/>
        <v>0</v>
      </c>
      <c r="AI73" s="22">
        <f t="shared" ca="1" si="52"/>
        <v>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70"/>
        <v>0</v>
      </c>
      <c r="AM73" s="69">
        <f t="shared" ca="1" si="53"/>
        <v>0</v>
      </c>
      <c r="AN73" s="4">
        <f t="shared" ca="1" si="71"/>
        <v>0</v>
      </c>
      <c r="AO73" s="4">
        <f t="shared" ca="1" si="54"/>
        <v>0</v>
      </c>
      <c r="AP73" s="4">
        <f t="shared" ca="1" si="55"/>
        <v>0</v>
      </c>
      <c r="AQ73" s="4">
        <f t="shared" ca="1" si="56"/>
        <v>30</v>
      </c>
      <c r="AR73" s="4">
        <f t="shared" si="57"/>
        <v>20</v>
      </c>
      <c r="AS73" s="4">
        <f t="shared" ca="1" si="72"/>
        <v>30</v>
      </c>
      <c r="AT73" s="4"/>
      <c r="AU73" s="4"/>
      <c r="AV73" s="4"/>
      <c r="AW73" s="4"/>
      <c r="AX73" s="4"/>
      <c r="AY73" s="4">
        <f t="shared" ca="1" si="58"/>
        <v>0</v>
      </c>
      <c r="AZ73" s="4"/>
      <c r="BA73" s="4"/>
      <c r="BB73" s="4"/>
      <c r="BC73" s="4"/>
      <c r="BD73" s="4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9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60"/>
        <v xml:space="preserve"> </v>
      </c>
      <c r="I74" s="84">
        <f t="shared" ca="1" si="61"/>
        <v>0</v>
      </c>
      <c r="J74" s="84">
        <f t="shared" ca="1" si="42"/>
        <v>0</v>
      </c>
      <c r="K74" s="84">
        <v>0</v>
      </c>
      <c r="L74" s="84" t="str">
        <f t="shared" ca="1" si="62"/>
        <v xml:space="preserve"> </v>
      </c>
      <c r="M74" s="4">
        <v>50</v>
      </c>
      <c r="N74" s="4">
        <f t="shared" ca="1" si="36"/>
        <v>0</v>
      </c>
      <c r="O74" s="4">
        <f t="shared" ca="1" si="43"/>
        <v>20</v>
      </c>
      <c r="P74" s="22">
        <f t="shared" ca="1" si="44"/>
        <v>0</v>
      </c>
      <c r="Q74" s="22">
        <f t="shared" ca="1" si="45"/>
        <v>0</v>
      </c>
      <c r="R74" s="22">
        <f t="shared" ca="1" si="63"/>
        <v>0</v>
      </c>
      <c r="S74" s="22" t="str">
        <f t="shared" ca="1" si="64"/>
        <v xml:space="preserve"> </v>
      </c>
      <c r="T74" s="22" t="e">
        <f t="shared" ca="1" si="65"/>
        <v>#VALUE!</v>
      </c>
      <c r="U74" s="22">
        <f t="shared" ca="1" si="78"/>
        <v>0</v>
      </c>
      <c r="V74" s="22">
        <f t="shared" ca="1" si="79"/>
        <v>0</v>
      </c>
      <c r="W74" s="22">
        <f t="shared" ca="1" si="66"/>
        <v>0</v>
      </c>
      <c r="X74" s="22">
        <f t="shared" ca="1" si="67"/>
        <v>0</v>
      </c>
      <c r="Y74" s="22">
        <f t="shared" ca="1" si="46"/>
        <v>0</v>
      </c>
      <c r="Z74" s="22">
        <f t="shared" ca="1" si="77"/>
        <v>0</v>
      </c>
      <c r="AA74" s="22">
        <f t="shared" ca="1" si="47"/>
        <v>0</v>
      </c>
      <c r="AB74" s="22">
        <f t="shared" ca="1" si="37"/>
        <v>0</v>
      </c>
      <c r="AC74" s="22">
        <f t="shared" ca="1" si="48"/>
        <v>0</v>
      </c>
      <c r="AD74" s="22">
        <f t="shared" ca="1" si="49"/>
        <v>0</v>
      </c>
      <c r="AE74" s="22">
        <f t="shared" ca="1" si="68"/>
        <v>0</v>
      </c>
      <c r="AF74" s="22">
        <f t="shared" ca="1" si="50"/>
        <v>0</v>
      </c>
      <c r="AG74" s="22">
        <f t="shared" ca="1" si="69"/>
        <v>0</v>
      </c>
      <c r="AH74" s="22">
        <f t="shared" ca="1" si="51"/>
        <v>0</v>
      </c>
      <c r="AI74" s="22">
        <f t="shared" ca="1" si="52"/>
        <v>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70"/>
        <v>0</v>
      </c>
      <c r="AM74" s="69">
        <f t="shared" ca="1" si="53"/>
        <v>0</v>
      </c>
      <c r="AN74" s="4">
        <f t="shared" ca="1" si="71"/>
        <v>0</v>
      </c>
      <c r="AO74" s="4">
        <f t="shared" ca="1" si="54"/>
        <v>0</v>
      </c>
      <c r="AP74" s="4">
        <f t="shared" ca="1" si="55"/>
        <v>0</v>
      </c>
      <c r="AQ74" s="4">
        <f t="shared" ca="1" si="56"/>
        <v>30</v>
      </c>
      <c r="AR74" s="4">
        <f t="shared" si="57"/>
        <v>20</v>
      </c>
      <c r="AS74" s="4">
        <f t="shared" ca="1" si="72"/>
        <v>30</v>
      </c>
      <c r="AT74" s="4"/>
      <c r="AU74" s="4"/>
      <c r="AV74" s="4"/>
      <c r="AW74" s="4"/>
      <c r="AX74" s="4"/>
      <c r="AY74" s="4">
        <f t="shared" ca="1" si="58"/>
        <v>0</v>
      </c>
      <c r="AZ74" s="4"/>
      <c r="BA74" s="4"/>
      <c r="BB74" s="4"/>
      <c r="BC74" s="4"/>
      <c r="BD74" s="4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9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60"/>
        <v xml:space="preserve"> </v>
      </c>
      <c r="I75" s="84">
        <f t="shared" ca="1" si="61"/>
        <v>0</v>
      </c>
      <c r="J75" s="84">
        <f t="shared" ca="1" si="42"/>
        <v>0</v>
      </c>
      <c r="K75" s="84">
        <v>0</v>
      </c>
      <c r="L75" s="84" t="str">
        <f t="shared" ca="1" si="62"/>
        <v xml:space="preserve"> </v>
      </c>
      <c r="M75" s="4">
        <v>51</v>
      </c>
      <c r="N75" s="4">
        <f t="shared" ca="1" si="36"/>
        <v>0</v>
      </c>
      <c r="O75" s="4">
        <f t="shared" ca="1" si="43"/>
        <v>20</v>
      </c>
      <c r="P75" s="22">
        <f t="shared" ca="1" si="44"/>
        <v>0</v>
      </c>
      <c r="Q75" s="22">
        <f t="shared" ca="1" si="45"/>
        <v>0</v>
      </c>
      <c r="R75" s="22">
        <f t="shared" ca="1" si="63"/>
        <v>0</v>
      </c>
      <c r="S75" s="22" t="str">
        <f t="shared" ca="1" si="64"/>
        <v xml:space="preserve"> </v>
      </c>
      <c r="T75" s="22" t="e">
        <f t="shared" ca="1" si="65"/>
        <v>#VALUE!</v>
      </c>
      <c r="U75" s="22">
        <f t="shared" ca="1" si="78"/>
        <v>0</v>
      </c>
      <c r="V75" s="22">
        <f t="shared" ca="1" si="79"/>
        <v>0</v>
      </c>
      <c r="W75" s="22">
        <f t="shared" ca="1" si="66"/>
        <v>0</v>
      </c>
      <c r="X75" s="22">
        <f t="shared" ca="1" si="67"/>
        <v>0</v>
      </c>
      <c r="Y75" s="22">
        <f t="shared" ca="1" si="46"/>
        <v>0</v>
      </c>
      <c r="Z75" s="22">
        <f t="shared" ca="1" si="77"/>
        <v>0</v>
      </c>
      <c r="AA75" s="22">
        <f t="shared" ca="1" si="47"/>
        <v>0</v>
      </c>
      <c r="AB75" s="22">
        <f t="shared" ca="1" si="37"/>
        <v>0</v>
      </c>
      <c r="AC75" s="22">
        <f t="shared" ca="1" si="48"/>
        <v>0</v>
      </c>
      <c r="AD75" s="22">
        <f t="shared" ca="1" si="49"/>
        <v>0</v>
      </c>
      <c r="AE75" s="22">
        <f t="shared" ca="1" si="68"/>
        <v>0</v>
      </c>
      <c r="AF75" s="22">
        <f t="shared" ca="1" si="50"/>
        <v>0</v>
      </c>
      <c r="AG75" s="22">
        <f t="shared" ca="1" si="69"/>
        <v>0</v>
      </c>
      <c r="AH75" s="22">
        <f t="shared" ca="1" si="51"/>
        <v>0</v>
      </c>
      <c r="AI75" s="22">
        <f t="shared" ca="1" si="52"/>
        <v>0</v>
      </c>
      <c r="AJ75" s="22">
        <f t="shared" ca="1" si="80"/>
        <v>0</v>
      </c>
      <c r="AK75" s="22">
        <f t="shared" ca="1" si="81"/>
        <v>0</v>
      </c>
      <c r="AL75" s="69">
        <f t="shared" ca="1" si="70"/>
        <v>0</v>
      </c>
      <c r="AM75" s="69">
        <f t="shared" ca="1" si="53"/>
        <v>0</v>
      </c>
      <c r="AN75" s="4">
        <f t="shared" ca="1" si="71"/>
        <v>0</v>
      </c>
      <c r="AO75" s="4">
        <f t="shared" ca="1" si="54"/>
        <v>0</v>
      </c>
      <c r="AP75" s="4">
        <f t="shared" ca="1" si="55"/>
        <v>0</v>
      </c>
      <c r="AQ75" s="4">
        <f t="shared" ca="1" si="56"/>
        <v>30</v>
      </c>
      <c r="AR75" s="4">
        <f t="shared" si="57"/>
        <v>20</v>
      </c>
      <c r="AS75" s="4">
        <f t="shared" ca="1" si="72"/>
        <v>30</v>
      </c>
      <c r="AT75" s="4"/>
      <c r="AU75" s="4"/>
      <c r="AV75" s="4"/>
      <c r="AW75" s="4"/>
      <c r="AX75" s="4"/>
      <c r="AY75" s="4">
        <f t="shared" ca="1" si="58"/>
        <v>0</v>
      </c>
      <c r="AZ75" s="4"/>
      <c r="BA75" s="4"/>
      <c r="BB75" s="4"/>
      <c r="BC75" s="4"/>
      <c r="BD75" s="4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9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60"/>
        <v xml:space="preserve"> </v>
      </c>
      <c r="I76" s="84">
        <f t="shared" ca="1" si="61"/>
        <v>0</v>
      </c>
      <c r="J76" s="84">
        <f t="shared" ca="1" si="42"/>
        <v>0</v>
      </c>
      <c r="K76" s="84">
        <v>0</v>
      </c>
      <c r="L76" s="84" t="str">
        <f t="shared" ca="1" si="62"/>
        <v xml:space="preserve"> </v>
      </c>
      <c r="M76" s="4">
        <v>52</v>
      </c>
      <c r="N76" s="4">
        <f t="shared" ca="1" si="36"/>
        <v>0</v>
      </c>
      <c r="O76" s="4">
        <f t="shared" ca="1" si="43"/>
        <v>20</v>
      </c>
      <c r="P76" s="22">
        <f t="shared" ca="1" si="44"/>
        <v>0</v>
      </c>
      <c r="Q76" s="22">
        <f t="shared" ca="1" si="45"/>
        <v>0</v>
      </c>
      <c r="R76" s="22">
        <f t="shared" ca="1" si="63"/>
        <v>0</v>
      </c>
      <c r="S76" s="22" t="str">
        <f t="shared" ca="1" si="64"/>
        <v xml:space="preserve"> </v>
      </c>
      <c r="T76" s="22" t="e">
        <f t="shared" ca="1" si="65"/>
        <v>#VALUE!</v>
      </c>
      <c r="U76" s="22">
        <f t="shared" ca="1" si="78"/>
        <v>0</v>
      </c>
      <c r="V76" s="22">
        <f t="shared" ca="1" si="79"/>
        <v>0</v>
      </c>
      <c r="W76" s="22">
        <f t="shared" ca="1" si="66"/>
        <v>0</v>
      </c>
      <c r="X76" s="22">
        <f t="shared" ca="1" si="67"/>
        <v>0</v>
      </c>
      <c r="Y76" s="22">
        <f t="shared" ca="1" si="46"/>
        <v>0</v>
      </c>
      <c r="Z76" s="22">
        <f t="shared" ca="1" si="77"/>
        <v>0</v>
      </c>
      <c r="AA76" s="22">
        <f t="shared" ca="1" si="47"/>
        <v>0</v>
      </c>
      <c r="AB76" s="22">
        <f t="shared" ca="1" si="37"/>
        <v>0</v>
      </c>
      <c r="AC76" s="22">
        <f t="shared" ca="1" si="48"/>
        <v>0</v>
      </c>
      <c r="AD76" s="22">
        <f t="shared" ca="1" si="49"/>
        <v>0</v>
      </c>
      <c r="AE76" s="22">
        <f t="shared" ca="1" si="68"/>
        <v>0</v>
      </c>
      <c r="AF76" s="22">
        <f t="shared" ca="1" si="50"/>
        <v>0</v>
      </c>
      <c r="AG76" s="22">
        <f t="shared" ca="1" si="69"/>
        <v>0</v>
      </c>
      <c r="AH76" s="22">
        <f t="shared" ca="1" si="51"/>
        <v>0</v>
      </c>
      <c r="AI76" s="22">
        <f t="shared" ca="1" si="52"/>
        <v>0</v>
      </c>
      <c r="AJ76" s="22">
        <f t="shared" ca="1" si="80"/>
        <v>0</v>
      </c>
      <c r="AK76" s="22">
        <f t="shared" ca="1" si="81"/>
        <v>0</v>
      </c>
      <c r="AL76" s="69">
        <f t="shared" ca="1" si="70"/>
        <v>0</v>
      </c>
      <c r="AM76" s="69">
        <f t="shared" ca="1" si="53"/>
        <v>0</v>
      </c>
      <c r="AN76" s="4">
        <f t="shared" ca="1" si="71"/>
        <v>0</v>
      </c>
      <c r="AO76" s="4">
        <f t="shared" ca="1" si="54"/>
        <v>0</v>
      </c>
      <c r="AP76" s="4">
        <f t="shared" ca="1" si="55"/>
        <v>0</v>
      </c>
      <c r="AQ76" s="4">
        <f t="shared" ca="1" si="56"/>
        <v>30</v>
      </c>
      <c r="AR76" s="4">
        <f t="shared" si="57"/>
        <v>20</v>
      </c>
      <c r="AS76" s="4">
        <f t="shared" ca="1" si="72"/>
        <v>30</v>
      </c>
      <c r="AT76" s="4"/>
      <c r="AU76" s="4"/>
      <c r="AV76" s="4"/>
      <c r="AW76" s="4"/>
      <c r="AX76" s="4"/>
      <c r="AY76" s="4">
        <f t="shared" ca="1" si="58"/>
        <v>0</v>
      </c>
      <c r="AZ76" s="4"/>
      <c r="BA76" s="4"/>
      <c r="BB76" s="4"/>
      <c r="BC76" s="4"/>
      <c r="BD76" s="4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9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60"/>
        <v xml:space="preserve"> </v>
      </c>
      <c r="I77" s="84">
        <f t="shared" ca="1" si="61"/>
        <v>0</v>
      </c>
      <c r="J77" s="84">
        <f t="shared" ca="1" si="42"/>
        <v>0</v>
      </c>
      <c r="K77" s="84">
        <v>0</v>
      </c>
      <c r="L77" s="84" t="str">
        <f t="shared" ca="1" si="62"/>
        <v xml:space="preserve"> </v>
      </c>
      <c r="M77" s="4">
        <v>53</v>
      </c>
      <c r="N77" s="4">
        <f t="shared" ca="1" si="36"/>
        <v>0</v>
      </c>
      <c r="O77" s="4">
        <f t="shared" ca="1" si="43"/>
        <v>20</v>
      </c>
      <c r="P77" s="22">
        <f t="shared" ca="1" si="44"/>
        <v>0</v>
      </c>
      <c r="Q77" s="22">
        <f t="shared" ca="1" si="45"/>
        <v>0</v>
      </c>
      <c r="R77" s="22">
        <f t="shared" ca="1" si="63"/>
        <v>0</v>
      </c>
      <c r="S77" s="22" t="str">
        <f t="shared" ca="1" si="64"/>
        <v xml:space="preserve"> </v>
      </c>
      <c r="T77" s="22" t="e">
        <f t="shared" ca="1" si="65"/>
        <v>#VALUE!</v>
      </c>
      <c r="U77" s="22">
        <f t="shared" ca="1" si="78"/>
        <v>0</v>
      </c>
      <c r="V77" s="22">
        <f t="shared" ca="1" si="79"/>
        <v>0</v>
      </c>
      <c r="W77" s="22">
        <f t="shared" ca="1" si="66"/>
        <v>0</v>
      </c>
      <c r="X77" s="22">
        <f t="shared" ca="1" si="67"/>
        <v>0</v>
      </c>
      <c r="Y77" s="22">
        <f t="shared" ca="1" si="46"/>
        <v>0</v>
      </c>
      <c r="Z77" s="22">
        <f t="shared" ca="1" si="77"/>
        <v>0</v>
      </c>
      <c r="AA77" s="22">
        <f t="shared" ca="1" si="47"/>
        <v>0</v>
      </c>
      <c r="AB77" s="22">
        <f t="shared" ca="1" si="37"/>
        <v>0</v>
      </c>
      <c r="AC77" s="22">
        <f t="shared" ca="1" si="48"/>
        <v>0</v>
      </c>
      <c r="AD77" s="22">
        <f t="shared" ca="1" si="49"/>
        <v>0</v>
      </c>
      <c r="AE77" s="22">
        <f t="shared" ca="1" si="68"/>
        <v>0</v>
      </c>
      <c r="AF77" s="22">
        <f t="shared" ca="1" si="50"/>
        <v>0</v>
      </c>
      <c r="AG77" s="22">
        <f t="shared" ca="1" si="69"/>
        <v>0</v>
      </c>
      <c r="AH77" s="22">
        <f t="shared" ca="1" si="51"/>
        <v>0</v>
      </c>
      <c r="AI77" s="22">
        <f t="shared" ca="1" si="52"/>
        <v>0</v>
      </c>
      <c r="AJ77" s="22">
        <f t="shared" ca="1" si="80"/>
        <v>0</v>
      </c>
      <c r="AK77" s="22">
        <f t="shared" ca="1" si="81"/>
        <v>0</v>
      </c>
      <c r="AL77" s="69">
        <f t="shared" ca="1" si="70"/>
        <v>0</v>
      </c>
      <c r="AM77" s="69">
        <f t="shared" ca="1" si="53"/>
        <v>0</v>
      </c>
      <c r="AN77" s="4">
        <f t="shared" ca="1" si="71"/>
        <v>0</v>
      </c>
      <c r="AO77" s="4">
        <f t="shared" ca="1" si="54"/>
        <v>0</v>
      </c>
      <c r="AP77" s="4">
        <f t="shared" ca="1" si="55"/>
        <v>0</v>
      </c>
      <c r="AQ77" s="4">
        <f t="shared" ca="1" si="56"/>
        <v>30</v>
      </c>
      <c r="AR77" s="4">
        <f t="shared" si="57"/>
        <v>20</v>
      </c>
      <c r="AS77" s="4">
        <f t="shared" ca="1" si="72"/>
        <v>30</v>
      </c>
      <c r="AT77" s="4"/>
      <c r="AU77" s="4"/>
      <c r="AV77" s="4"/>
      <c r="AW77" s="4"/>
      <c r="AX77" s="4"/>
      <c r="AY77" s="4">
        <f t="shared" ca="1" si="58"/>
        <v>0</v>
      </c>
      <c r="AZ77" s="4"/>
      <c r="BA77" s="4"/>
      <c r="BB77" s="4"/>
      <c r="BC77" s="4"/>
      <c r="BD77" s="4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9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60"/>
        <v xml:space="preserve"> </v>
      </c>
      <c r="I78" s="84">
        <f t="shared" ca="1" si="61"/>
        <v>0</v>
      </c>
      <c r="J78" s="84">
        <f t="shared" ca="1" si="42"/>
        <v>0</v>
      </c>
      <c r="K78" s="84">
        <v>0</v>
      </c>
      <c r="L78" s="84" t="str">
        <f t="shared" ca="1" si="62"/>
        <v xml:space="preserve"> </v>
      </c>
      <c r="M78" s="4">
        <v>54</v>
      </c>
      <c r="N78" s="4">
        <f t="shared" ca="1" si="36"/>
        <v>0</v>
      </c>
      <c r="O78" s="4">
        <f t="shared" ca="1" si="43"/>
        <v>20</v>
      </c>
      <c r="P78" s="22">
        <f t="shared" ca="1" si="44"/>
        <v>0</v>
      </c>
      <c r="Q78" s="22">
        <f t="shared" ca="1" si="45"/>
        <v>0</v>
      </c>
      <c r="R78" s="22">
        <f t="shared" ca="1" si="63"/>
        <v>0</v>
      </c>
      <c r="S78" s="22" t="str">
        <f t="shared" ca="1" si="64"/>
        <v xml:space="preserve"> </v>
      </c>
      <c r="T78" s="22" t="e">
        <f t="shared" ca="1" si="65"/>
        <v>#VALUE!</v>
      </c>
      <c r="U78" s="22">
        <f t="shared" ca="1" si="78"/>
        <v>0</v>
      </c>
      <c r="V78" s="22">
        <f t="shared" ca="1" si="79"/>
        <v>0</v>
      </c>
      <c r="W78" s="22">
        <f t="shared" ca="1" si="66"/>
        <v>0</v>
      </c>
      <c r="X78" s="22">
        <f t="shared" ca="1" si="67"/>
        <v>0</v>
      </c>
      <c r="Y78" s="22">
        <f t="shared" ca="1" si="46"/>
        <v>0</v>
      </c>
      <c r="Z78" s="22">
        <f t="shared" ca="1" si="77"/>
        <v>0</v>
      </c>
      <c r="AA78" s="22">
        <f t="shared" ca="1" si="47"/>
        <v>0</v>
      </c>
      <c r="AB78" s="22">
        <f t="shared" ca="1" si="37"/>
        <v>0</v>
      </c>
      <c r="AC78" s="22">
        <f t="shared" ca="1" si="48"/>
        <v>0</v>
      </c>
      <c r="AD78" s="22">
        <f t="shared" ca="1" si="49"/>
        <v>0</v>
      </c>
      <c r="AE78" s="22">
        <f t="shared" ca="1" si="68"/>
        <v>0</v>
      </c>
      <c r="AF78" s="22">
        <f t="shared" ca="1" si="50"/>
        <v>0</v>
      </c>
      <c r="AG78" s="22">
        <f t="shared" ca="1" si="69"/>
        <v>0</v>
      </c>
      <c r="AH78" s="22">
        <f t="shared" ca="1" si="51"/>
        <v>0</v>
      </c>
      <c r="AI78" s="22">
        <f t="shared" ca="1" si="52"/>
        <v>0</v>
      </c>
      <c r="AJ78" s="22">
        <f t="shared" ca="1" si="80"/>
        <v>0</v>
      </c>
      <c r="AK78" s="22">
        <f t="shared" ca="1" si="81"/>
        <v>0</v>
      </c>
      <c r="AL78" s="69">
        <f t="shared" ca="1" si="70"/>
        <v>0</v>
      </c>
      <c r="AM78" s="69">
        <f t="shared" ca="1" si="53"/>
        <v>0</v>
      </c>
      <c r="AN78" s="4">
        <f t="shared" ca="1" si="71"/>
        <v>0</v>
      </c>
      <c r="AO78" s="4">
        <f t="shared" ca="1" si="54"/>
        <v>0</v>
      </c>
      <c r="AP78" s="4">
        <f t="shared" ca="1" si="55"/>
        <v>0</v>
      </c>
      <c r="AQ78" s="4">
        <f t="shared" ca="1" si="56"/>
        <v>30</v>
      </c>
      <c r="AR78" s="4">
        <f t="shared" si="57"/>
        <v>20</v>
      </c>
      <c r="AS78" s="4">
        <f t="shared" ca="1" si="72"/>
        <v>30</v>
      </c>
      <c r="AT78" s="4"/>
      <c r="AU78" s="4"/>
      <c r="AV78" s="4"/>
      <c r="AW78" s="4"/>
      <c r="AX78" s="4"/>
      <c r="AY78" s="4">
        <f t="shared" ca="1" si="58"/>
        <v>0</v>
      </c>
      <c r="AZ78" s="4"/>
      <c r="BA78" s="4"/>
      <c r="BB78" s="4"/>
      <c r="BC78" s="4"/>
      <c r="BD78" s="4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9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60"/>
        <v xml:space="preserve"> </v>
      </c>
      <c r="I79" s="84">
        <f t="shared" ca="1" si="61"/>
        <v>0</v>
      </c>
      <c r="J79" s="84">
        <f t="shared" ca="1" si="42"/>
        <v>0</v>
      </c>
      <c r="K79" s="84">
        <v>0</v>
      </c>
      <c r="L79" s="84" t="str">
        <f t="shared" ca="1" si="62"/>
        <v xml:space="preserve"> </v>
      </c>
      <c r="M79" s="4">
        <v>55</v>
      </c>
      <c r="N79" s="4">
        <f t="shared" ca="1" si="36"/>
        <v>0</v>
      </c>
      <c r="O79" s="4">
        <f t="shared" ca="1" si="43"/>
        <v>20</v>
      </c>
      <c r="P79" s="22">
        <f t="shared" ca="1" si="44"/>
        <v>0</v>
      </c>
      <c r="Q79" s="22">
        <f t="shared" ca="1" si="45"/>
        <v>0</v>
      </c>
      <c r="R79" s="22">
        <f t="shared" ca="1" si="63"/>
        <v>0</v>
      </c>
      <c r="S79" s="22" t="str">
        <f t="shared" ca="1" si="64"/>
        <v xml:space="preserve"> </v>
      </c>
      <c r="T79" s="22" t="e">
        <f t="shared" ca="1" si="65"/>
        <v>#VALUE!</v>
      </c>
      <c r="U79" s="22">
        <f t="shared" ca="1" si="78"/>
        <v>0</v>
      </c>
      <c r="V79" s="22">
        <f t="shared" ca="1" si="79"/>
        <v>0</v>
      </c>
      <c r="W79" s="22">
        <f t="shared" ca="1" si="66"/>
        <v>0</v>
      </c>
      <c r="X79" s="22">
        <f t="shared" ca="1" si="67"/>
        <v>0</v>
      </c>
      <c r="Y79" s="22">
        <f t="shared" ca="1" si="46"/>
        <v>0</v>
      </c>
      <c r="Z79" s="22">
        <f t="shared" ca="1" si="77"/>
        <v>0</v>
      </c>
      <c r="AA79" s="22">
        <f t="shared" ca="1" si="47"/>
        <v>0</v>
      </c>
      <c r="AB79" s="22">
        <f t="shared" ca="1" si="37"/>
        <v>0</v>
      </c>
      <c r="AC79" s="22">
        <f t="shared" ca="1" si="48"/>
        <v>0</v>
      </c>
      <c r="AD79" s="22">
        <f t="shared" ca="1" si="49"/>
        <v>0</v>
      </c>
      <c r="AE79" s="22">
        <f t="shared" ca="1" si="68"/>
        <v>0</v>
      </c>
      <c r="AF79" s="22">
        <f t="shared" ca="1" si="50"/>
        <v>0</v>
      </c>
      <c r="AG79" s="22">
        <f t="shared" ca="1" si="69"/>
        <v>0</v>
      </c>
      <c r="AH79" s="22">
        <f t="shared" ca="1" si="51"/>
        <v>0</v>
      </c>
      <c r="AI79" s="22">
        <f t="shared" ca="1" si="52"/>
        <v>0</v>
      </c>
      <c r="AJ79" s="22">
        <f t="shared" ca="1" si="80"/>
        <v>0</v>
      </c>
      <c r="AK79" s="22">
        <f t="shared" ca="1" si="81"/>
        <v>0</v>
      </c>
      <c r="AL79" s="69">
        <f t="shared" ca="1" si="70"/>
        <v>0</v>
      </c>
      <c r="AM79" s="69">
        <f t="shared" ca="1" si="53"/>
        <v>0</v>
      </c>
      <c r="AN79" s="4">
        <f t="shared" ca="1" si="71"/>
        <v>0</v>
      </c>
      <c r="AO79" s="4">
        <f t="shared" ca="1" si="54"/>
        <v>0</v>
      </c>
      <c r="AP79" s="4">
        <f t="shared" ca="1" si="55"/>
        <v>0</v>
      </c>
      <c r="AQ79" s="4">
        <f t="shared" ca="1" si="56"/>
        <v>30</v>
      </c>
      <c r="AR79" s="4">
        <f t="shared" si="57"/>
        <v>20</v>
      </c>
      <c r="AS79" s="4">
        <f t="shared" ca="1" si="72"/>
        <v>30</v>
      </c>
      <c r="AT79" s="4"/>
      <c r="AU79" s="4"/>
      <c r="AV79" s="4"/>
      <c r="AW79" s="4"/>
      <c r="AX79" s="4"/>
      <c r="AY79" s="4">
        <f t="shared" ca="1" si="58"/>
        <v>0</v>
      </c>
      <c r="AZ79" s="4"/>
      <c r="BA79" s="4"/>
      <c r="BB79" s="4"/>
      <c r="BC79" s="4"/>
      <c r="BD79" s="4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9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60"/>
        <v xml:space="preserve"> </v>
      </c>
      <c r="I80" s="84">
        <f t="shared" ca="1" si="61"/>
        <v>0</v>
      </c>
      <c r="J80" s="84">
        <f t="shared" ca="1" si="42"/>
        <v>0</v>
      </c>
      <c r="K80" s="84">
        <v>0</v>
      </c>
      <c r="L80" s="84" t="str">
        <f t="shared" ca="1" si="62"/>
        <v xml:space="preserve"> </v>
      </c>
      <c r="M80" s="4">
        <v>56</v>
      </c>
      <c r="N80" s="4">
        <f t="shared" ca="1" si="36"/>
        <v>0</v>
      </c>
      <c r="O80" s="4">
        <f t="shared" ca="1" si="43"/>
        <v>20</v>
      </c>
      <c r="P80" s="22">
        <f t="shared" ca="1" si="44"/>
        <v>0</v>
      </c>
      <c r="Q80" s="22">
        <f t="shared" ca="1" si="45"/>
        <v>0</v>
      </c>
      <c r="R80" s="22">
        <f t="shared" ca="1" si="63"/>
        <v>0</v>
      </c>
      <c r="S80" s="22" t="str">
        <f t="shared" ca="1" si="64"/>
        <v xml:space="preserve"> </v>
      </c>
      <c r="T80" s="22" t="e">
        <f t="shared" ca="1" si="65"/>
        <v>#VALUE!</v>
      </c>
      <c r="U80" s="22">
        <f t="shared" ca="1" si="78"/>
        <v>0</v>
      </c>
      <c r="V80" s="22">
        <f t="shared" ca="1" si="79"/>
        <v>0</v>
      </c>
      <c r="W80" s="22">
        <f t="shared" ca="1" si="66"/>
        <v>0</v>
      </c>
      <c r="X80" s="22">
        <f t="shared" ca="1" si="67"/>
        <v>0</v>
      </c>
      <c r="Y80" s="22">
        <f t="shared" ca="1" si="46"/>
        <v>0</v>
      </c>
      <c r="Z80" s="22">
        <f t="shared" ca="1" si="77"/>
        <v>0</v>
      </c>
      <c r="AA80" s="22">
        <f t="shared" ca="1" si="47"/>
        <v>0</v>
      </c>
      <c r="AB80" s="22">
        <f t="shared" ca="1" si="37"/>
        <v>0</v>
      </c>
      <c r="AC80" s="22">
        <f t="shared" ca="1" si="48"/>
        <v>0</v>
      </c>
      <c r="AD80" s="22">
        <f t="shared" ca="1" si="49"/>
        <v>0</v>
      </c>
      <c r="AE80" s="22">
        <f t="shared" ca="1" si="68"/>
        <v>0</v>
      </c>
      <c r="AF80" s="22">
        <f t="shared" ca="1" si="50"/>
        <v>0</v>
      </c>
      <c r="AG80" s="22">
        <f t="shared" ca="1" si="69"/>
        <v>0</v>
      </c>
      <c r="AH80" s="22">
        <f t="shared" ca="1" si="51"/>
        <v>0</v>
      </c>
      <c r="AI80" s="22">
        <f t="shared" ca="1" si="52"/>
        <v>0</v>
      </c>
      <c r="AJ80" s="22">
        <f t="shared" ca="1" si="80"/>
        <v>0</v>
      </c>
      <c r="AK80" s="22">
        <f t="shared" ca="1" si="81"/>
        <v>0</v>
      </c>
      <c r="AL80" s="69">
        <f t="shared" ca="1" si="70"/>
        <v>0</v>
      </c>
      <c r="AM80" s="69">
        <f t="shared" ca="1" si="53"/>
        <v>0</v>
      </c>
      <c r="AN80" s="4">
        <f t="shared" ca="1" si="71"/>
        <v>0</v>
      </c>
      <c r="AO80" s="4">
        <f t="shared" ca="1" si="54"/>
        <v>0</v>
      </c>
      <c r="AP80" s="4">
        <f t="shared" ca="1" si="55"/>
        <v>0</v>
      </c>
      <c r="AQ80" s="4">
        <f t="shared" ca="1" si="56"/>
        <v>30</v>
      </c>
      <c r="AR80" s="4">
        <f t="shared" si="57"/>
        <v>20</v>
      </c>
      <c r="AS80" s="4">
        <f t="shared" ca="1" si="72"/>
        <v>30</v>
      </c>
      <c r="AT80" s="4"/>
      <c r="AU80" s="4"/>
      <c r="AV80" s="4"/>
      <c r="AW80" s="4"/>
      <c r="AX80" s="4"/>
      <c r="AY80" s="4">
        <f t="shared" ca="1" si="58"/>
        <v>0</v>
      </c>
      <c r="AZ80" s="4"/>
      <c r="BA80" s="4"/>
      <c r="BB80" s="4"/>
      <c r="BC80" s="4"/>
      <c r="BD80" s="4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9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60"/>
        <v xml:space="preserve"> </v>
      </c>
      <c r="I81" s="84">
        <f t="shared" ca="1" si="61"/>
        <v>0</v>
      </c>
      <c r="J81" s="84">
        <f t="shared" ca="1" si="42"/>
        <v>0</v>
      </c>
      <c r="K81" s="84">
        <v>0</v>
      </c>
      <c r="L81" s="84" t="str">
        <f t="shared" ca="1" si="62"/>
        <v xml:space="preserve"> </v>
      </c>
      <c r="M81" s="4">
        <v>57</v>
      </c>
      <c r="N81" s="4">
        <f t="shared" ca="1" si="36"/>
        <v>0</v>
      </c>
      <c r="O81" s="4">
        <f t="shared" ca="1" si="43"/>
        <v>20</v>
      </c>
      <c r="P81" s="22">
        <f t="shared" ca="1" si="44"/>
        <v>0</v>
      </c>
      <c r="Q81" s="22">
        <f t="shared" ca="1" si="45"/>
        <v>0</v>
      </c>
      <c r="R81" s="22">
        <f t="shared" ca="1" si="63"/>
        <v>0</v>
      </c>
      <c r="S81" s="22" t="str">
        <f t="shared" ca="1" si="64"/>
        <v xml:space="preserve"> </v>
      </c>
      <c r="T81" s="22" t="e">
        <f t="shared" ca="1" si="65"/>
        <v>#VALUE!</v>
      </c>
      <c r="U81" s="22">
        <f t="shared" ca="1" si="78"/>
        <v>0</v>
      </c>
      <c r="V81" s="22">
        <f t="shared" ca="1" si="79"/>
        <v>0</v>
      </c>
      <c r="W81" s="22">
        <f t="shared" ca="1" si="66"/>
        <v>0</v>
      </c>
      <c r="X81" s="22">
        <f t="shared" ca="1" si="67"/>
        <v>0</v>
      </c>
      <c r="Y81" s="22">
        <f t="shared" ca="1" si="46"/>
        <v>0</v>
      </c>
      <c r="Z81" s="22">
        <f t="shared" ca="1" si="77"/>
        <v>0</v>
      </c>
      <c r="AA81" s="22">
        <f t="shared" ca="1" si="47"/>
        <v>0</v>
      </c>
      <c r="AB81" s="22">
        <f t="shared" ca="1" si="37"/>
        <v>0</v>
      </c>
      <c r="AC81" s="22">
        <f t="shared" ca="1" si="48"/>
        <v>0</v>
      </c>
      <c r="AD81" s="22">
        <f t="shared" ca="1" si="49"/>
        <v>0</v>
      </c>
      <c r="AE81" s="22">
        <f t="shared" ca="1" si="68"/>
        <v>0</v>
      </c>
      <c r="AF81" s="22">
        <f t="shared" ca="1" si="50"/>
        <v>0</v>
      </c>
      <c r="AG81" s="22">
        <f t="shared" ca="1" si="69"/>
        <v>0</v>
      </c>
      <c r="AH81" s="22">
        <f t="shared" ca="1" si="51"/>
        <v>0</v>
      </c>
      <c r="AI81" s="22">
        <f t="shared" ca="1" si="52"/>
        <v>0</v>
      </c>
      <c r="AJ81" s="22">
        <f t="shared" ca="1" si="80"/>
        <v>0</v>
      </c>
      <c r="AK81" s="22">
        <f t="shared" ca="1" si="81"/>
        <v>0</v>
      </c>
      <c r="AL81" s="69">
        <f t="shared" ca="1" si="70"/>
        <v>0</v>
      </c>
      <c r="AM81" s="69">
        <f t="shared" ca="1" si="53"/>
        <v>0</v>
      </c>
      <c r="AN81" s="4">
        <f t="shared" ca="1" si="71"/>
        <v>0</v>
      </c>
      <c r="AO81" s="4">
        <f t="shared" ca="1" si="54"/>
        <v>0</v>
      </c>
      <c r="AP81" s="4">
        <f t="shared" ca="1" si="55"/>
        <v>0</v>
      </c>
      <c r="AQ81" s="4">
        <f t="shared" ca="1" si="56"/>
        <v>30</v>
      </c>
      <c r="AR81" s="4">
        <f t="shared" si="57"/>
        <v>20</v>
      </c>
      <c r="AS81" s="4">
        <f t="shared" ca="1" si="72"/>
        <v>30</v>
      </c>
      <c r="AT81" s="4"/>
      <c r="AU81" s="4"/>
      <c r="AV81" s="4"/>
      <c r="AW81" s="4"/>
      <c r="AX81" s="4"/>
      <c r="AY81" s="4">
        <f t="shared" ca="1" si="58"/>
        <v>0</v>
      </c>
      <c r="AZ81" s="4"/>
      <c r="BA81" s="4"/>
      <c r="BB81" s="4"/>
      <c r="BC81" s="4"/>
      <c r="BD81" s="4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9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60"/>
        <v xml:space="preserve"> </v>
      </c>
      <c r="I82" s="84">
        <f t="shared" ca="1" si="61"/>
        <v>0</v>
      </c>
      <c r="J82" s="84">
        <f t="shared" ca="1" si="42"/>
        <v>0</v>
      </c>
      <c r="K82" s="84">
        <v>0</v>
      </c>
      <c r="L82" s="84" t="str">
        <f t="shared" ca="1" si="62"/>
        <v xml:space="preserve"> </v>
      </c>
      <c r="M82" s="4">
        <v>58</v>
      </c>
      <c r="N82" s="4">
        <f t="shared" ca="1" si="36"/>
        <v>0</v>
      </c>
      <c r="O82" s="4">
        <f t="shared" ca="1" si="43"/>
        <v>20</v>
      </c>
      <c r="P82" s="22">
        <f t="shared" ca="1" si="44"/>
        <v>0</v>
      </c>
      <c r="Q82" s="22">
        <f t="shared" ca="1" si="45"/>
        <v>0</v>
      </c>
      <c r="R82" s="22">
        <f t="shared" ca="1" si="63"/>
        <v>0</v>
      </c>
      <c r="S82" s="22" t="str">
        <f t="shared" ca="1" si="64"/>
        <v xml:space="preserve"> </v>
      </c>
      <c r="T82" s="22" t="e">
        <f t="shared" ca="1" si="65"/>
        <v>#VALUE!</v>
      </c>
      <c r="U82" s="22">
        <f t="shared" ca="1" si="78"/>
        <v>0</v>
      </c>
      <c r="V82" s="22">
        <f t="shared" ca="1" si="79"/>
        <v>0</v>
      </c>
      <c r="W82" s="22">
        <f t="shared" ca="1" si="66"/>
        <v>0</v>
      </c>
      <c r="X82" s="22">
        <f t="shared" ca="1" si="67"/>
        <v>0</v>
      </c>
      <c r="Y82" s="22">
        <f t="shared" ca="1" si="46"/>
        <v>0</v>
      </c>
      <c r="Z82" s="22">
        <f t="shared" ca="1" si="77"/>
        <v>0</v>
      </c>
      <c r="AA82" s="22">
        <f t="shared" ca="1" si="47"/>
        <v>0</v>
      </c>
      <c r="AB82" s="22">
        <f t="shared" ca="1" si="37"/>
        <v>0</v>
      </c>
      <c r="AC82" s="22">
        <f t="shared" ca="1" si="48"/>
        <v>0</v>
      </c>
      <c r="AD82" s="22">
        <f t="shared" ca="1" si="49"/>
        <v>0</v>
      </c>
      <c r="AE82" s="22">
        <f t="shared" ca="1" si="68"/>
        <v>0</v>
      </c>
      <c r="AF82" s="22">
        <f t="shared" ca="1" si="50"/>
        <v>0</v>
      </c>
      <c r="AG82" s="22">
        <f t="shared" ca="1" si="69"/>
        <v>0</v>
      </c>
      <c r="AH82" s="22">
        <f t="shared" ca="1" si="51"/>
        <v>0</v>
      </c>
      <c r="AI82" s="22">
        <f t="shared" ca="1" si="52"/>
        <v>0</v>
      </c>
      <c r="AJ82" s="22">
        <f t="shared" ca="1" si="80"/>
        <v>0</v>
      </c>
      <c r="AK82" s="22">
        <f t="shared" ca="1" si="81"/>
        <v>0</v>
      </c>
      <c r="AL82" s="69">
        <f t="shared" ca="1" si="70"/>
        <v>0</v>
      </c>
      <c r="AM82" s="69">
        <f t="shared" ca="1" si="53"/>
        <v>0</v>
      </c>
      <c r="AN82" s="4">
        <f t="shared" ca="1" si="71"/>
        <v>0</v>
      </c>
      <c r="AO82" s="4">
        <f t="shared" ca="1" si="54"/>
        <v>0</v>
      </c>
      <c r="AP82" s="4">
        <f t="shared" ca="1" si="55"/>
        <v>0</v>
      </c>
      <c r="AQ82" s="4">
        <f t="shared" ca="1" si="56"/>
        <v>30</v>
      </c>
      <c r="AR82" s="4">
        <f t="shared" si="57"/>
        <v>20</v>
      </c>
      <c r="AS82" s="4">
        <f t="shared" ca="1" si="72"/>
        <v>30</v>
      </c>
      <c r="AT82" s="4"/>
      <c r="AU82" s="4"/>
      <c r="AV82" s="4"/>
      <c r="AW82" s="4"/>
      <c r="AX82" s="4"/>
      <c r="AY82" s="4">
        <f t="shared" ca="1" si="58"/>
        <v>0</v>
      </c>
      <c r="AZ82" s="4"/>
      <c r="BA82" s="4"/>
      <c r="BB82" s="4"/>
      <c r="BC82" s="4"/>
      <c r="BD82" s="4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9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60"/>
        <v xml:space="preserve"> </v>
      </c>
      <c r="I83" s="84">
        <f t="shared" ca="1" si="61"/>
        <v>0</v>
      </c>
      <c r="J83" s="84">
        <f t="shared" ca="1" si="42"/>
        <v>0</v>
      </c>
      <c r="K83" s="84">
        <v>0</v>
      </c>
      <c r="L83" s="84" t="str">
        <f t="shared" ca="1" si="62"/>
        <v xml:space="preserve"> </v>
      </c>
      <c r="M83" s="4">
        <v>59</v>
      </c>
      <c r="N83" s="4">
        <f t="shared" ca="1" si="36"/>
        <v>0</v>
      </c>
      <c r="O83" s="4">
        <f t="shared" ca="1" si="43"/>
        <v>20</v>
      </c>
      <c r="P83" s="22">
        <f t="shared" ca="1" si="44"/>
        <v>0</v>
      </c>
      <c r="Q83" s="22">
        <f t="shared" ca="1" si="45"/>
        <v>0</v>
      </c>
      <c r="R83" s="22">
        <f t="shared" ca="1" si="63"/>
        <v>0</v>
      </c>
      <c r="S83" s="22" t="str">
        <f t="shared" ca="1" si="64"/>
        <v xml:space="preserve"> </v>
      </c>
      <c r="T83" s="22" t="e">
        <f t="shared" ca="1" si="65"/>
        <v>#VALUE!</v>
      </c>
      <c r="U83" s="22">
        <f t="shared" ca="1" si="78"/>
        <v>0</v>
      </c>
      <c r="V83" s="22">
        <f t="shared" ca="1" si="79"/>
        <v>0</v>
      </c>
      <c r="W83" s="22">
        <f t="shared" ca="1" si="66"/>
        <v>0</v>
      </c>
      <c r="X83" s="22">
        <f t="shared" ca="1" si="67"/>
        <v>0</v>
      </c>
      <c r="Y83" s="22">
        <f t="shared" ca="1" si="46"/>
        <v>0</v>
      </c>
      <c r="Z83" s="22">
        <f t="shared" ca="1" si="77"/>
        <v>0</v>
      </c>
      <c r="AA83" s="22">
        <f t="shared" ca="1" si="47"/>
        <v>0</v>
      </c>
      <c r="AB83" s="22">
        <f t="shared" ca="1" si="37"/>
        <v>0</v>
      </c>
      <c r="AC83" s="22">
        <f t="shared" ca="1" si="48"/>
        <v>0</v>
      </c>
      <c r="AD83" s="22">
        <f t="shared" ca="1" si="49"/>
        <v>0</v>
      </c>
      <c r="AE83" s="22">
        <f t="shared" ca="1" si="68"/>
        <v>0</v>
      </c>
      <c r="AF83" s="22">
        <f t="shared" ca="1" si="50"/>
        <v>0</v>
      </c>
      <c r="AG83" s="22">
        <f t="shared" ca="1" si="69"/>
        <v>0</v>
      </c>
      <c r="AH83" s="22">
        <f t="shared" ca="1" si="51"/>
        <v>0</v>
      </c>
      <c r="AI83" s="22">
        <f t="shared" ca="1" si="52"/>
        <v>0</v>
      </c>
      <c r="AJ83" s="22">
        <f t="shared" ca="1" si="80"/>
        <v>0</v>
      </c>
      <c r="AK83" s="22">
        <f t="shared" ca="1" si="81"/>
        <v>0</v>
      </c>
      <c r="AL83" s="69">
        <f t="shared" ca="1" si="70"/>
        <v>0</v>
      </c>
      <c r="AM83" s="69">
        <f t="shared" ca="1" si="53"/>
        <v>0</v>
      </c>
      <c r="AN83" s="4">
        <f t="shared" ca="1" si="71"/>
        <v>0</v>
      </c>
      <c r="AO83" s="4">
        <f t="shared" ca="1" si="54"/>
        <v>0</v>
      </c>
      <c r="AP83" s="4">
        <f t="shared" ca="1" si="55"/>
        <v>0</v>
      </c>
      <c r="AQ83" s="4">
        <f t="shared" ca="1" si="56"/>
        <v>30</v>
      </c>
      <c r="AR83" s="4">
        <f t="shared" si="57"/>
        <v>20</v>
      </c>
      <c r="AS83" s="4">
        <f t="shared" ca="1" si="72"/>
        <v>30</v>
      </c>
      <c r="AT83" s="4"/>
      <c r="AU83" s="4"/>
      <c r="AV83" s="4"/>
      <c r="AW83" s="4"/>
      <c r="AX83" s="4"/>
      <c r="AY83" s="4">
        <f t="shared" ca="1" si="58"/>
        <v>0</v>
      </c>
      <c r="AZ83" s="4"/>
      <c r="BA83" s="4"/>
      <c r="BB83" s="4"/>
      <c r="BC83" s="4"/>
      <c r="BD83" s="4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9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60"/>
        <v xml:space="preserve"> </v>
      </c>
      <c r="I84" s="84">
        <f t="shared" ca="1" si="61"/>
        <v>0</v>
      </c>
      <c r="J84" s="84">
        <f t="shared" ca="1" si="42"/>
        <v>0</v>
      </c>
      <c r="K84" s="84">
        <v>0</v>
      </c>
      <c r="L84" s="84" t="str">
        <f t="shared" ca="1" si="62"/>
        <v xml:space="preserve"> </v>
      </c>
      <c r="M84" s="4">
        <v>60</v>
      </c>
      <c r="N84" s="4">
        <f t="shared" ca="1" si="36"/>
        <v>0</v>
      </c>
      <c r="O84" s="4">
        <f t="shared" ca="1" si="43"/>
        <v>20</v>
      </c>
      <c r="P84" s="22">
        <f t="shared" ca="1" si="44"/>
        <v>0</v>
      </c>
      <c r="Q84" s="22">
        <f t="shared" ca="1" si="45"/>
        <v>0</v>
      </c>
      <c r="R84" s="22">
        <f t="shared" ca="1" si="63"/>
        <v>0</v>
      </c>
      <c r="S84" s="22" t="str">
        <f t="shared" ca="1" si="64"/>
        <v xml:space="preserve"> </v>
      </c>
      <c r="T84" s="22" t="e">
        <f t="shared" ca="1" si="65"/>
        <v>#VALUE!</v>
      </c>
      <c r="U84" s="22">
        <f ca="1">IF(N85=1,R83*D11*20/36000+R84*D11*10/36000,IF(N85=0,IF(N84=0,0,R84*D11*Q12/36000+R83*D11*20/36000+R84*D11*10/36000)))</f>
        <v>0</v>
      </c>
      <c r="V84" s="22">
        <f ca="1">IF(N85=1,R83*D11*20/36000+R84*D11*10/36000,IF(N85=0,IF(N84=0,0,R84*D11*Q12/36000+R83*D11*20/36000+R84*D11*10/36000)))</f>
        <v>0</v>
      </c>
      <c r="W84" s="22">
        <f t="shared" ca="1" si="66"/>
        <v>0</v>
      </c>
      <c r="X84" s="22">
        <f t="shared" ca="1" si="67"/>
        <v>0</v>
      </c>
      <c r="Y84" s="22">
        <f t="shared" ca="1" si="46"/>
        <v>0</v>
      </c>
      <c r="Z84" s="22">
        <f t="shared" ca="1" si="77"/>
        <v>0</v>
      </c>
      <c r="AA84" s="22">
        <f t="shared" ca="1" si="47"/>
        <v>0</v>
      </c>
      <c r="AB84" s="22">
        <f t="shared" ca="1" si="37"/>
        <v>0</v>
      </c>
      <c r="AC84" s="22">
        <f t="shared" ca="1" si="48"/>
        <v>0</v>
      </c>
      <c r="AD84" s="22">
        <f t="shared" ca="1" si="49"/>
        <v>0</v>
      </c>
      <c r="AE84" s="22">
        <f t="shared" ca="1" si="68"/>
        <v>0</v>
      </c>
      <c r="AF84" s="22">
        <f t="shared" ca="1" si="50"/>
        <v>0</v>
      </c>
      <c r="AG84" s="22">
        <f t="shared" ca="1" si="69"/>
        <v>0</v>
      </c>
      <c r="AH84" s="22">
        <f t="shared" ca="1" si="51"/>
        <v>0</v>
      </c>
      <c r="AI84" s="22">
        <f t="shared" ca="1" si="52"/>
        <v>0</v>
      </c>
      <c r="AJ84" s="22">
        <f t="shared" ca="1" si="80"/>
        <v>0</v>
      </c>
      <c r="AK84" s="22">
        <f t="shared" ca="1" si="81"/>
        <v>0</v>
      </c>
      <c r="AL84" s="69">
        <f t="shared" ca="1" si="70"/>
        <v>0</v>
      </c>
      <c r="AM84" s="69">
        <f t="shared" ca="1" si="53"/>
        <v>0</v>
      </c>
      <c r="AN84" s="4">
        <f t="shared" ca="1" si="71"/>
        <v>0</v>
      </c>
      <c r="AO84" s="4">
        <f t="shared" ca="1" si="54"/>
        <v>0</v>
      </c>
      <c r="AP84" s="4">
        <f t="shared" ca="1" si="55"/>
        <v>0</v>
      </c>
      <c r="AQ84" s="4">
        <f t="shared" ca="1" si="56"/>
        <v>30</v>
      </c>
      <c r="AR84" s="4">
        <f t="shared" si="57"/>
        <v>20</v>
      </c>
      <c r="AS84" s="4">
        <f t="shared" ca="1" si="72"/>
        <v>30</v>
      </c>
      <c r="AT84" s="4"/>
      <c r="AU84" s="4"/>
      <c r="AV84" s="4"/>
      <c r="AW84" s="4"/>
      <c r="AX84" s="4"/>
      <c r="AY84" s="4">
        <f t="shared" ca="1" si="58"/>
        <v>0</v>
      </c>
      <c r="AZ84" s="4"/>
      <c r="BA84" s="4"/>
      <c r="BB84" s="4"/>
      <c r="BC84" s="4"/>
      <c r="BD84" s="4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9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60"/>
        <v xml:space="preserve"> </v>
      </c>
      <c r="I85" s="84">
        <f t="shared" ca="1" si="61"/>
        <v>0</v>
      </c>
      <c r="J85" s="84">
        <f t="shared" ca="1" si="42"/>
        <v>0</v>
      </c>
      <c r="K85" s="84">
        <v>0</v>
      </c>
      <c r="L85" s="84" t="str">
        <f t="shared" ca="1" si="62"/>
        <v xml:space="preserve"> </v>
      </c>
      <c r="M85" s="4">
        <v>61</v>
      </c>
      <c r="N85" s="4">
        <f t="shared" ca="1" si="36"/>
        <v>0</v>
      </c>
      <c r="O85" s="4">
        <f t="shared" ca="1" si="43"/>
        <v>20</v>
      </c>
      <c r="P85" s="22">
        <f t="shared" ca="1" si="44"/>
        <v>0</v>
      </c>
      <c r="Q85" s="22">
        <f t="shared" ca="1" si="45"/>
        <v>0</v>
      </c>
      <c r="R85" s="22">
        <f t="shared" ca="1" si="63"/>
        <v>0</v>
      </c>
      <c r="S85" s="22" t="str">
        <f t="shared" ca="1" si="64"/>
        <v xml:space="preserve"> </v>
      </c>
      <c r="T85" s="22" t="e">
        <f t="shared" ca="1" si="65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7"/>
        <v>0</v>
      </c>
      <c r="Y85" s="22">
        <f t="shared" ca="1" si="46"/>
        <v>0</v>
      </c>
      <c r="Z85" s="22">
        <f t="shared" ca="1" si="77"/>
        <v>0</v>
      </c>
      <c r="AA85" s="22">
        <f t="shared" ca="1" si="47"/>
        <v>0</v>
      </c>
      <c r="AB85" s="22">
        <f ca="1">R85*Q$12</f>
        <v>0</v>
      </c>
      <c r="AC85" s="22">
        <f t="shared" ca="1" si="48"/>
        <v>0</v>
      </c>
      <c r="AD85" s="22">
        <f t="shared" ca="1" si="49"/>
        <v>0</v>
      </c>
      <c r="AE85" s="22">
        <f ca="1">IF(N86=1,D10*G$12*20/36000+D10*G$12*10/36000,IF(N86=0,IF(N85=0,0,D10*G$12*Q$12/36000)))</f>
        <v>0</v>
      </c>
      <c r="AF85" s="22">
        <f t="shared" ca="1" si="50"/>
        <v>0</v>
      </c>
      <c r="AG85" s="22">
        <f ca="1">IF(N86=1,Y84*G$12*20/36000+Y85*G$12*10/36000,IF(N86=0,IF(N85=0,0,Y85*G$12*Q$12/36000)))</f>
        <v>0</v>
      </c>
      <c r="AH85" s="22">
        <f t="shared" ca="1" si="51"/>
        <v>0</v>
      </c>
      <c r="AI85" s="22">
        <f t="shared" ca="1" si="52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70"/>
        <v>0</v>
      </c>
      <c r="AM85" s="69">
        <f t="shared" ca="1" si="53"/>
        <v>0</v>
      </c>
      <c r="AN85" s="4">
        <f t="shared" ca="1" si="71"/>
        <v>0</v>
      </c>
      <c r="AO85" s="4">
        <f t="shared" ca="1" si="54"/>
        <v>0</v>
      </c>
      <c r="AP85" s="4">
        <f t="shared" ca="1" si="55"/>
        <v>0</v>
      </c>
      <c r="AQ85" s="4">
        <f t="shared" ca="1" si="56"/>
        <v>30</v>
      </c>
      <c r="AR85" s="4">
        <f t="shared" si="57"/>
        <v>20</v>
      </c>
      <c r="AS85" s="4">
        <f t="shared" ca="1" si="72"/>
        <v>30</v>
      </c>
      <c r="AT85" s="4"/>
      <c r="AU85" s="4"/>
      <c r="AV85" s="4"/>
      <c r="AW85" s="4"/>
      <c r="AX85" s="4"/>
      <c r="AY85" s="4">
        <f t="shared" ca="1" si="58"/>
        <v>0</v>
      </c>
      <c r="AZ85" s="4"/>
      <c r="BA85" s="4"/>
      <c r="BB85" s="4"/>
      <c r="BC85" s="4"/>
      <c r="BD85" s="4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60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24558340</v>
      </c>
      <c r="Q86" s="71">
        <f ca="1">SUM(Q25:Q85)</f>
        <v>24558340</v>
      </c>
      <c r="R86" s="71">
        <f ca="1">SUM(R25:R85)</f>
        <v>455000220</v>
      </c>
      <c r="S86" s="71"/>
      <c r="T86" s="71"/>
      <c r="U86" s="71">
        <f ca="1">SUM(U25:U85)</f>
        <v>24558343.233333327</v>
      </c>
      <c r="V86" s="71">
        <f ca="1">SUM(V25:V85)</f>
        <v>24558343.233333327</v>
      </c>
      <c r="W86" s="71">
        <f ca="1">SUM(W25:W85)</f>
        <v>41883333.333333336</v>
      </c>
      <c r="X86" s="71">
        <f ca="1">SUM(X25:X85)</f>
        <v>41883330</v>
      </c>
      <c r="Y86" s="71"/>
      <c r="Z86" s="71"/>
      <c r="AA86" s="71"/>
      <c r="AB86" s="71">
        <f ca="1">SUM(AB25:AB85)</f>
        <v>14443338240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455000220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</row>
    <row r="87" spans="1:141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141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141" s="19" customFormat="1" ht="12.75" hidden="1" customHeight="1">
      <c r="A95" s="31"/>
      <c r="B95" s="302" t="s">
        <v>87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141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</row>
    <row r="97" spans="1:56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</row>
    <row r="98" spans="1:56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</row>
    <row r="99" spans="1:56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98</v>
      </c>
      <c r="V99" s="37" t="s">
        <v>98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</row>
    <row r="100" spans="1:56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</row>
    <row r="101" spans="1:56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</row>
    <row r="102" spans="1:56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</row>
    <row r="103" spans="1:56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</row>
    <row r="104" spans="1:56" s="34" customFormat="1" ht="25.5" hidden="1" customHeight="1">
      <c r="A104" s="32"/>
      <c r="B104" s="299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</row>
    <row r="105" spans="1:56" s="34" customFormat="1" ht="25.5" hidden="1" customHeight="1">
      <c r="A105" s="32">
        <f t="shared" ref="A105:A120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</row>
    <row r="106" spans="1:56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1:56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1:56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98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1:56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1:56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98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1:56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1:56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1:56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1:56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1:56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1:56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65"/>
      <c r="N116" s="37" t="s">
        <v>98</v>
      </c>
      <c r="O116" s="37" t="s">
        <v>98</v>
      </c>
      <c r="P116" s="37" t="s">
        <v>98</v>
      </c>
      <c r="Q116" s="37" t="s">
        <v>98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1:56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1:56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1:56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65"/>
      <c r="N119" s="37" t="s">
        <v>105</v>
      </c>
      <c r="O119" s="37" t="s">
        <v>146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1:56" s="34" customFormat="1" ht="25.5" hidden="1" customHeight="1">
      <c r="A120" s="32">
        <f t="shared" si="84"/>
        <v>1</v>
      </c>
      <c r="B120" s="299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65"/>
      <c r="N120" s="33" t="s">
        <v>61</v>
      </c>
      <c r="O120" s="33" t="s">
        <v>61</v>
      </c>
      <c r="P120" s="33" t="s">
        <v>36</v>
      </c>
      <c r="Q120" s="33" t="s">
        <v>36</v>
      </c>
      <c r="R120" s="33" t="s">
        <v>36</v>
      </c>
      <c r="S120" s="33"/>
      <c r="T120" s="33"/>
      <c r="U120" s="33" t="s">
        <v>36</v>
      </c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1:56" s="34" customFormat="1" ht="39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65"/>
      <c r="N121" s="33"/>
      <c r="O121" s="33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1:56" s="34" customFormat="1" ht="32.25" customHeight="1">
      <c r="A122" s="32"/>
      <c r="B122" s="385" t="s">
        <v>155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65"/>
      <c r="N122" s="33"/>
      <c r="O122" s="33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1:56" s="34" customFormat="1" ht="43.5" customHeight="1">
      <c r="A123" s="32"/>
      <c r="B123" s="385" t="s">
        <v>153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65"/>
      <c r="N123" s="33"/>
      <c r="O123" s="33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1:56" s="34" customFormat="1" ht="50.25" customHeight="1">
      <c r="A124" s="32"/>
      <c r="B124" s="385" t="s">
        <v>193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65"/>
      <c r="N124" s="33"/>
      <c r="O124" s="33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1:56" s="34" customFormat="1" ht="24.75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65"/>
      <c r="N125" s="33"/>
      <c r="O125" s="33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1:56" s="34" customFormat="1" ht="43.5" customHeight="1">
      <c r="A126" s="32"/>
      <c r="B126" s="385" t="s">
        <v>195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65"/>
      <c r="N126" s="33"/>
      <c r="O126" s="33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1:56" s="34" customFormat="1" ht="52.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65"/>
      <c r="N127" s="33"/>
      <c r="O127" s="33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1:56" s="34" customFormat="1" ht="42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65"/>
      <c r="N128" s="33"/>
      <c r="O128" s="33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</row>
    <row r="129" spans="1:56" s="34" customFormat="1" ht="37.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65"/>
      <c r="N129" s="33"/>
      <c r="O129" s="33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1:56" s="34" customFormat="1" ht="28.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65"/>
      <c r="N130" s="33"/>
      <c r="O130" s="33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1:56" s="34" customFormat="1" ht="37.5" customHeight="1">
      <c r="A131" s="32"/>
      <c r="B131" s="434" t="s">
        <v>194</v>
      </c>
      <c r="C131" s="434"/>
      <c r="D131" s="434"/>
      <c r="E131" s="434"/>
      <c r="F131" s="434"/>
      <c r="G131" s="434"/>
      <c r="H131" s="434"/>
      <c r="I131" s="434"/>
      <c r="J131" s="434"/>
      <c r="K131" s="434"/>
      <c r="L131" s="434"/>
      <c r="M131" s="65"/>
      <c r="N131" s="33"/>
      <c r="O131" s="33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1:56" s="34" customFormat="1" ht="46.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65"/>
      <c r="N132" s="33"/>
      <c r="O132" s="33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1:56" s="34" customFormat="1" ht="32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65"/>
      <c r="N133" s="33"/>
      <c r="O133" s="33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1:56" s="34" customFormat="1" ht="20.25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65"/>
      <c r="N134" s="33"/>
      <c r="O134" s="33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1:56" s="34" customFormat="1" ht="12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65"/>
      <c r="N135" s="33"/>
      <c r="O135" s="33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1:56" s="34" customFormat="1" ht="24.7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163</v>
      </c>
      <c r="J136" s="391"/>
      <c r="K136" s="391"/>
      <c r="L136" s="392"/>
      <c r="M136" s="65"/>
      <c r="N136" s="33"/>
      <c r="O136" s="33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1:56" s="34" customFormat="1" ht="44.2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165</v>
      </c>
      <c r="J137" s="391"/>
      <c r="K137" s="391"/>
      <c r="L137" s="392"/>
      <c r="M137" s="65"/>
      <c r="N137" s="33"/>
      <c r="O137" s="33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1:56" s="34" customFormat="1" ht="54.75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165</v>
      </c>
      <c r="J138" s="391"/>
      <c r="K138" s="391"/>
      <c r="L138" s="392"/>
      <c r="M138" s="65"/>
      <c r="N138" s="33"/>
      <c r="O138" s="33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1:56" s="34" customFormat="1" ht="53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168</v>
      </c>
      <c r="J139" s="391"/>
      <c r="K139" s="391"/>
      <c r="L139" s="392"/>
      <c r="M139" s="65"/>
      <c r="N139" s="33"/>
      <c r="O139" s="33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1:56" s="34" customFormat="1" ht="20.2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65"/>
      <c r="N140" s="33"/>
      <c r="O140" s="33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1:56" s="34" customFormat="1" ht="19.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65"/>
      <c r="N141" s="33"/>
      <c r="O141" s="33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</row>
    <row r="142" spans="1:56" s="34" customFormat="1" ht="20.2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65"/>
      <c r="N142" s="33"/>
      <c r="O142" s="33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</row>
    <row r="143" spans="1:56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65"/>
      <c r="N143" s="33"/>
      <c r="O143" s="33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</row>
    <row r="144" spans="1:56" s="34" customFormat="1" ht="44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175</v>
      </c>
      <c r="J144" s="391"/>
      <c r="K144" s="391"/>
      <c r="L144" s="392"/>
      <c r="M144" s="65"/>
      <c r="N144" s="33"/>
      <c r="O144" s="33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5" spans="1:56" s="34" customFormat="1" ht="50.2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176</v>
      </c>
      <c r="J145" s="391"/>
      <c r="K145" s="391"/>
      <c r="L145" s="392"/>
      <c r="M145" s="65"/>
      <c r="N145" s="33"/>
      <c r="O145" s="33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</row>
    <row r="146" spans="1:56" s="34" customFormat="1" ht="58.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177</v>
      </c>
      <c r="J146" s="391"/>
      <c r="K146" s="391"/>
      <c r="L146" s="392"/>
      <c r="M146" s="65"/>
      <c r="N146" s="33"/>
      <c r="O146" s="33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</row>
    <row r="147" spans="1:56" s="34" customFormat="1" ht="32.25" customHeight="1">
      <c r="A147" s="32"/>
      <c r="B147" s="390" t="s">
        <v>173</v>
      </c>
      <c r="C147" s="391"/>
      <c r="D147" s="391"/>
      <c r="E147" s="391"/>
      <c r="F147" s="391"/>
      <c r="G147" s="391"/>
      <c r="H147" s="392"/>
      <c r="I147" s="390" t="s">
        <v>178</v>
      </c>
      <c r="J147" s="391"/>
      <c r="K147" s="391"/>
      <c r="L147" s="392"/>
      <c r="M147" s="65"/>
      <c r="N147" s="33"/>
      <c r="O147" s="33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</row>
    <row r="148" spans="1:56" s="34" customFormat="1" ht="72.7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65"/>
      <c r="N148" s="33"/>
      <c r="O148" s="33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</row>
    <row r="149" spans="1:56" s="34" customFormat="1" ht="35.2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65"/>
      <c r="N149" s="33"/>
      <c r="O149" s="33"/>
      <c r="P149" s="33"/>
      <c r="Q149" s="33"/>
      <c r="R149" s="33"/>
      <c r="S149" s="33"/>
      <c r="T149" s="33"/>
      <c r="U149" s="33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</row>
    <row r="150" spans="1:56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56" ht="16.5" thickBot="1">
      <c r="A151" s="2"/>
      <c r="B151" s="396">
        <f ca="1">IF(A151=0,TODAY(),A151)</f>
        <v>45294</v>
      </c>
      <c r="C151" s="396"/>
      <c r="D151" s="398"/>
      <c r="E151" s="398"/>
      <c r="F151" s="398"/>
      <c r="G151" s="385" t="str">
        <f>D7</f>
        <v>Иванов И.И.</v>
      </c>
      <c r="H151" s="385"/>
      <c r="I151" s="123"/>
      <c r="J151" s="123"/>
      <c r="K151" s="123"/>
      <c r="L151" s="123"/>
    </row>
    <row r="152" spans="1: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6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D24:E24"/>
    <mergeCell ref="D22:E22"/>
    <mergeCell ref="D23:H23"/>
    <mergeCell ref="B23:C24"/>
    <mergeCell ref="B53:C53"/>
    <mergeCell ref="D53:E53"/>
    <mergeCell ref="D45:E45"/>
    <mergeCell ref="B49:C49"/>
    <mergeCell ref="D49:E49"/>
    <mergeCell ref="B48:C48"/>
    <mergeCell ref="D50:E50"/>
    <mergeCell ref="B45:C45"/>
    <mergeCell ref="D44:E44"/>
    <mergeCell ref="B46:C46"/>
    <mergeCell ref="D46:E46"/>
    <mergeCell ref="B51:C51"/>
    <mergeCell ref="D42:E42"/>
    <mergeCell ref="D39:E39"/>
    <mergeCell ref="B40:C40"/>
    <mergeCell ref="B43:C43"/>
    <mergeCell ref="B52:C52"/>
    <mergeCell ref="D52:E52"/>
    <mergeCell ref="D51:E51"/>
    <mergeCell ref="B47:C47"/>
    <mergeCell ref="D27:E27"/>
    <mergeCell ref="D37:E37"/>
    <mergeCell ref="B39:C39"/>
    <mergeCell ref="D43:E43"/>
    <mergeCell ref="D40:E40"/>
    <mergeCell ref="B37:C37"/>
    <mergeCell ref="B41:C41"/>
    <mergeCell ref="D41:E41"/>
    <mergeCell ref="B42:C42"/>
    <mergeCell ref="D47:E47"/>
    <mergeCell ref="D48:E48"/>
    <mergeCell ref="N1:Q1"/>
    <mergeCell ref="B7:C7"/>
    <mergeCell ref="D7:F7"/>
    <mergeCell ref="B5:I5"/>
    <mergeCell ref="F1:H4"/>
    <mergeCell ref="B18:C18"/>
    <mergeCell ref="D18:F18"/>
    <mergeCell ref="D17:F17"/>
    <mergeCell ref="B12:C12"/>
    <mergeCell ref="D15:E15"/>
    <mergeCell ref="D13:F13"/>
    <mergeCell ref="B14:C14"/>
    <mergeCell ref="B15:C15"/>
    <mergeCell ref="M12:P12"/>
    <mergeCell ref="D12:E12"/>
    <mergeCell ref="M11:P11"/>
    <mergeCell ref="B8:C8"/>
    <mergeCell ref="D8:F8"/>
    <mergeCell ref="B11:C11"/>
    <mergeCell ref="B10:C10"/>
    <mergeCell ref="D10:E10"/>
    <mergeCell ref="D11:E11"/>
    <mergeCell ref="D58:E58"/>
    <mergeCell ref="D14:E14"/>
    <mergeCell ref="B13:C13"/>
    <mergeCell ref="I23:L23"/>
    <mergeCell ref="D19:F19"/>
    <mergeCell ref="B17:C17"/>
    <mergeCell ref="D16:E16"/>
    <mergeCell ref="B30:C30"/>
    <mergeCell ref="B31:C31"/>
    <mergeCell ref="D20:F20"/>
    <mergeCell ref="D31:E31"/>
    <mergeCell ref="B32:C32"/>
    <mergeCell ref="B34:C34"/>
    <mergeCell ref="B26:C26"/>
    <mergeCell ref="D26:E26"/>
    <mergeCell ref="B25:C25"/>
    <mergeCell ref="B28:C28"/>
    <mergeCell ref="B33:C33"/>
    <mergeCell ref="B29:C29"/>
    <mergeCell ref="B27:C27"/>
    <mergeCell ref="D25:E25"/>
    <mergeCell ref="B16:C16"/>
    <mergeCell ref="D21:F21"/>
    <mergeCell ref="B44:C44"/>
    <mergeCell ref="B59:C59"/>
    <mergeCell ref="D59:E59"/>
    <mergeCell ref="D54:E54"/>
    <mergeCell ref="B55:C55"/>
    <mergeCell ref="D55:E55"/>
    <mergeCell ref="B57:C57"/>
    <mergeCell ref="D57:E57"/>
    <mergeCell ref="B56:C56"/>
    <mergeCell ref="D28:E28"/>
    <mergeCell ref="D34:E34"/>
    <mergeCell ref="B35:C35"/>
    <mergeCell ref="D35:E35"/>
    <mergeCell ref="D32:E32"/>
    <mergeCell ref="D33:E33"/>
    <mergeCell ref="D29:E29"/>
    <mergeCell ref="D30:E30"/>
    <mergeCell ref="B36:C36"/>
    <mergeCell ref="D36:E36"/>
    <mergeCell ref="B38:C38"/>
    <mergeCell ref="D38:E38"/>
    <mergeCell ref="B50:C50"/>
    <mergeCell ref="D56:E56"/>
    <mergeCell ref="B54:C54"/>
    <mergeCell ref="B58:C58"/>
    <mergeCell ref="B60:C60"/>
    <mergeCell ref="D60:E60"/>
    <mergeCell ref="B63:C63"/>
    <mergeCell ref="D63:E63"/>
    <mergeCell ref="B61:C61"/>
    <mergeCell ref="D61:E61"/>
    <mergeCell ref="B62:C62"/>
    <mergeCell ref="D62:E62"/>
    <mergeCell ref="B64:C64"/>
    <mergeCell ref="D64:E64"/>
    <mergeCell ref="D67:E67"/>
    <mergeCell ref="B68:C68"/>
    <mergeCell ref="D66:E66"/>
    <mergeCell ref="B65:C65"/>
    <mergeCell ref="D65:E65"/>
    <mergeCell ref="D70:E70"/>
    <mergeCell ref="B66:C66"/>
    <mergeCell ref="B69:C69"/>
    <mergeCell ref="D68:E68"/>
    <mergeCell ref="B70:C70"/>
    <mergeCell ref="D69:E69"/>
    <mergeCell ref="B67:C67"/>
    <mergeCell ref="B80:C80"/>
    <mergeCell ref="D80:E80"/>
    <mergeCell ref="B79:C79"/>
    <mergeCell ref="D79:E79"/>
    <mergeCell ref="D83:E83"/>
    <mergeCell ref="B85:C85"/>
    <mergeCell ref="B72:C72"/>
    <mergeCell ref="D72:E72"/>
    <mergeCell ref="B71:C71"/>
    <mergeCell ref="D71:E71"/>
    <mergeCell ref="D78:E78"/>
    <mergeCell ref="B73:C73"/>
    <mergeCell ref="D73:E73"/>
    <mergeCell ref="D74:E74"/>
    <mergeCell ref="B74:C74"/>
    <mergeCell ref="B78:C78"/>
    <mergeCell ref="D77:E77"/>
    <mergeCell ref="B75:C75"/>
    <mergeCell ref="B77:C77"/>
    <mergeCell ref="B76:C76"/>
    <mergeCell ref="D76:E76"/>
    <mergeCell ref="D75:E75"/>
    <mergeCell ref="B81:C81"/>
    <mergeCell ref="D81:E81"/>
    <mergeCell ref="B87:L87"/>
    <mergeCell ref="B83:C83"/>
    <mergeCell ref="B86:C86"/>
    <mergeCell ref="B89:H89"/>
    <mergeCell ref="B102:L102"/>
    <mergeCell ref="B103:L103"/>
    <mergeCell ref="B101:L101"/>
    <mergeCell ref="B95:J95"/>
    <mergeCell ref="B92:L92"/>
    <mergeCell ref="B82:C82"/>
    <mergeCell ref="D82:E82"/>
    <mergeCell ref="B93:L93"/>
    <mergeCell ref="B112:L112"/>
    <mergeCell ref="P94:Q94"/>
    <mergeCell ref="B96:H96"/>
    <mergeCell ref="B116:L116"/>
    <mergeCell ref="B113:L113"/>
    <mergeCell ref="B114:L114"/>
    <mergeCell ref="B111:L111"/>
    <mergeCell ref="B100:L100"/>
    <mergeCell ref="B98:L98"/>
    <mergeCell ref="B99:L99"/>
    <mergeCell ref="B109:L109"/>
    <mergeCell ref="B110:L110"/>
    <mergeCell ref="N94:O94"/>
    <mergeCell ref="B107:L107"/>
    <mergeCell ref="B108:L108"/>
    <mergeCell ref="D84:E84"/>
    <mergeCell ref="D85:E85"/>
    <mergeCell ref="D86:E86"/>
    <mergeCell ref="B84:C84"/>
    <mergeCell ref="B106:L106"/>
    <mergeCell ref="B97:L97"/>
    <mergeCell ref="B105:L105"/>
    <mergeCell ref="B104:L104"/>
    <mergeCell ref="B136:H136"/>
    <mergeCell ref="I136:L136"/>
    <mergeCell ref="B135:L135"/>
    <mergeCell ref="B140:L140"/>
    <mergeCell ref="B133:L133"/>
    <mergeCell ref="B125:L125"/>
    <mergeCell ref="B126:L126"/>
    <mergeCell ref="B141:L141"/>
    <mergeCell ref="B137:H137"/>
    <mergeCell ref="I137:L137"/>
    <mergeCell ref="B139:H139"/>
    <mergeCell ref="I139:L139"/>
    <mergeCell ref="B138:H138"/>
    <mergeCell ref="I138:L138"/>
    <mergeCell ref="B117:L117"/>
    <mergeCell ref="B115:L115"/>
    <mergeCell ref="B120:L120"/>
    <mergeCell ref="B127:L127"/>
    <mergeCell ref="B122:L122"/>
    <mergeCell ref="B124:L124"/>
    <mergeCell ref="B121:L121"/>
    <mergeCell ref="B118:L118"/>
    <mergeCell ref="B119:L119"/>
    <mergeCell ref="B123:L123"/>
    <mergeCell ref="H158:R158"/>
    <mergeCell ref="B150:L150"/>
    <mergeCell ref="B148:L148"/>
    <mergeCell ref="B149:L149"/>
    <mergeCell ref="B151:C151"/>
    <mergeCell ref="D151:F151"/>
    <mergeCell ref="G151:H151"/>
    <mergeCell ref="B132:L132"/>
    <mergeCell ref="B128:L128"/>
    <mergeCell ref="B129:L129"/>
    <mergeCell ref="B131:L131"/>
    <mergeCell ref="B130:L130"/>
    <mergeCell ref="I147:L147"/>
    <mergeCell ref="B145:H145"/>
    <mergeCell ref="I145:L145"/>
    <mergeCell ref="B146:H146"/>
    <mergeCell ref="I146:L146"/>
    <mergeCell ref="B147:H147"/>
    <mergeCell ref="B144:H144"/>
    <mergeCell ref="I144:L144"/>
    <mergeCell ref="B142:L142"/>
    <mergeCell ref="B143:H143"/>
    <mergeCell ref="I143:L143"/>
    <mergeCell ref="B134:L134"/>
  </mergeCells>
  <phoneticPr fontId="22" type="noConversion"/>
  <conditionalFormatting sqref="B26:C85 D48:F85 H48:H85">
    <cfRule type="expression" dxfId="621" priority="1" stopIfTrue="1">
      <formula>$N26</formula>
    </cfRule>
  </conditionalFormatting>
  <conditionalFormatting sqref="B18:F18">
    <cfRule type="expression" dxfId="620" priority="26" stopIfTrue="1">
      <formula>$M$8</formula>
    </cfRule>
  </conditionalFormatting>
  <conditionalFormatting sqref="B25:H25">
    <cfRule type="expression" dxfId="619" priority="7" stopIfTrue="1">
      <formula>$N$25</formula>
    </cfRule>
  </conditionalFormatting>
  <conditionalFormatting sqref="B96:I120">
    <cfRule type="expression" dxfId="618" priority="5" stopIfTrue="1">
      <formula>A96</formula>
    </cfRule>
  </conditionalFormatting>
  <conditionalFormatting sqref="D12">
    <cfRule type="expression" dxfId="617" priority="33" stopIfTrue="1">
      <formula>$A$24</formula>
    </cfRule>
  </conditionalFormatting>
  <conditionalFormatting sqref="D45:F45 H45">
    <cfRule type="expression" dxfId="616" priority="30" stopIfTrue="1">
      <formula>$N$45</formula>
    </cfRule>
  </conditionalFormatting>
  <conditionalFormatting sqref="D46:F46 H46">
    <cfRule type="expression" dxfId="615" priority="31" stopIfTrue="1">
      <formula>$N$46</formula>
    </cfRule>
  </conditionalFormatting>
  <conditionalFormatting sqref="D47:F47 H47">
    <cfRule type="expression" dxfId="614" priority="32" stopIfTrue="1">
      <formula>$N$47</formula>
    </cfRule>
  </conditionalFormatting>
  <conditionalFormatting sqref="D26:H26">
    <cfRule type="expression" dxfId="613" priority="8" stopIfTrue="1">
      <formula>$N$26</formula>
    </cfRule>
  </conditionalFormatting>
  <conditionalFormatting sqref="D27:H27">
    <cfRule type="expression" dxfId="612" priority="9" stopIfTrue="1">
      <formula>$N$27</formula>
    </cfRule>
  </conditionalFormatting>
  <conditionalFormatting sqref="D28:H28">
    <cfRule type="expression" dxfId="611" priority="10" stopIfTrue="1">
      <formula>$N$28</formula>
    </cfRule>
  </conditionalFormatting>
  <conditionalFormatting sqref="D29:H29">
    <cfRule type="expression" dxfId="610" priority="11" stopIfTrue="1">
      <formula>$N$29</formula>
    </cfRule>
  </conditionalFormatting>
  <conditionalFormatting sqref="D30:H30">
    <cfRule type="expression" dxfId="609" priority="12" stopIfTrue="1">
      <formula>$N$30</formula>
    </cfRule>
  </conditionalFormatting>
  <conditionalFormatting sqref="D31:H31">
    <cfRule type="expression" dxfId="608" priority="13" stopIfTrue="1">
      <formula>$N$31</formula>
    </cfRule>
  </conditionalFormatting>
  <conditionalFormatting sqref="D32:H32">
    <cfRule type="expression" dxfId="607" priority="14" stopIfTrue="1">
      <formula>$N$32</formula>
    </cfRule>
  </conditionalFormatting>
  <conditionalFormatting sqref="D33:H33">
    <cfRule type="expression" dxfId="606" priority="15" stopIfTrue="1">
      <formula>$N$33</formula>
    </cfRule>
  </conditionalFormatting>
  <conditionalFormatting sqref="D34:H34">
    <cfRule type="expression" dxfId="605" priority="16" stopIfTrue="1">
      <formula>$N$34</formula>
    </cfRule>
  </conditionalFormatting>
  <conditionalFormatting sqref="D35:H35">
    <cfRule type="expression" dxfId="604" priority="17" stopIfTrue="1">
      <formula>$N$35</formula>
    </cfRule>
  </conditionalFormatting>
  <conditionalFormatting sqref="D36:H36">
    <cfRule type="expression" dxfId="603" priority="18" stopIfTrue="1">
      <formula>$N$36</formula>
    </cfRule>
  </conditionalFormatting>
  <conditionalFormatting sqref="D37:H37">
    <cfRule type="expression" dxfId="602" priority="19" stopIfTrue="1">
      <formula>$N$37</formula>
    </cfRule>
  </conditionalFormatting>
  <conditionalFormatting sqref="D38:H38">
    <cfRule type="expression" dxfId="601" priority="20" stopIfTrue="1">
      <formula>$N$38</formula>
    </cfRule>
  </conditionalFormatting>
  <conditionalFormatting sqref="D39:H39">
    <cfRule type="expression" dxfId="600" priority="21" stopIfTrue="1">
      <formula>$N$39</formula>
    </cfRule>
  </conditionalFormatting>
  <conditionalFormatting sqref="D40:H40">
    <cfRule type="expression" dxfId="599" priority="22" stopIfTrue="1">
      <formula>$N$40</formula>
    </cfRule>
  </conditionalFormatting>
  <conditionalFormatting sqref="D41:H41">
    <cfRule type="expression" dxfId="598" priority="23" stopIfTrue="1">
      <formula>$N$41</formula>
    </cfRule>
  </conditionalFormatting>
  <conditionalFormatting sqref="D42:H42">
    <cfRule type="expression" dxfId="597" priority="24" stopIfTrue="1">
      <formula>$N$42</formula>
    </cfRule>
  </conditionalFormatting>
  <conditionalFormatting sqref="D43:H43">
    <cfRule type="expression" dxfId="596" priority="28" stopIfTrue="1">
      <formula>$N$43</formula>
    </cfRule>
  </conditionalFormatting>
  <conditionalFormatting sqref="D44:H44 G45:G85">
    <cfRule type="expression" dxfId="595" priority="29" stopIfTrue="1">
      <formula>$N$44</formula>
    </cfRule>
  </conditionalFormatting>
  <conditionalFormatting sqref="F10 D11:E11">
    <cfRule type="expression" dxfId="594" priority="25" stopIfTrue="1">
      <formula>$M$5</formula>
    </cfRule>
  </conditionalFormatting>
  <conditionalFormatting sqref="G10:L10">
    <cfRule type="expression" dxfId="593" priority="27" stopIfTrue="1">
      <formula>$A$1</formula>
    </cfRule>
  </conditionalFormatting>
  <conditionalFormatting sqref="I24:K24">
    <cfRule type="expression" dxfId="592" priority="36" stopIfTrue="1">
      <formula>$D$15</formula>
    </cfRule>
  </conditionalFormatting>
  <conditionalFormatting sqref="I23:L23 L24">
    <cfRule type="expression" dxfId="591" priority="37" stopIfTrue="1">
      <formula>$D$15</formula>
    </cfRule>
  </conditionalFormatting>
  <conditionalFormatting sqref="I25:L85">
    <cfRule type="expression" dxfId="590" priority="2" stopIfTrue="1">
      <formula>$AY25</formula>
    </cfRule>
  </conditionalFormatting>
  <conditionalFormatting sqref="J96:J120">
    <cfRule type="expression" dxfId="589" priority="6" stopIfTrue="1">
      <formula>H96</formula>
    </cfRule>
  </conditionalFormatting>
  <conditionalFormatting sqref="K96:K120">
    <cfRule type="expression" dxfId="588" priority="4" stopIfTrue="1">
      <formula>H96</formula>
    </cfRule>
  </conditionalFormatting>
  <conditionalFormatting sqref="L96:L120">
    <cfRule type="expression" dxfId="587" priority="3" stopIfTrue="1">
      <formula>H96</formula>
    </cfRule>
  </conditionalFormatting>
  <dataValidations count="2">
    <dataValidation type="list" allowBlank="1" showInputMessage="1" showErrorMessage="1" sqref="D14:E14" xr:uid="{00000000-0002-0000-0400-000000000000}">
      <formula1>$AC$10:$AC$14</formula1>
    </dataValidation>
    <dataValidation type="list" allowBlank="1" showInputMessage="1" showErrorMessage="1" sqref="D15:E15" xr:uid="{00000000-0002-0000-0400-000001000000}">
      <formula1>$AD$9:$AD$11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L176"/>
  <sheetViews>
    <sheetView zoomScale="90" zoomScaleNormal="100" workbookViewId="0">
      <selection activeCell="D14" sqref="D14:E14"/>
    </sheetView>
  </sheetViews>
  <sheetFormatPr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8.140625" style="21" customWidth="1"/>
    <col min="7" max="7" width="16.5703125" style="21" hidden="1" customWidth="1"/>
    <col min="8" max="8" width="20.5703125" style="21" customWidth="1"/>
    <col min="9" max="9" width="16.5703125" style="21" customWidth="1"/>
    <col min="10" max="10" width="17.42578125" style="21" customWidth="1"/>
    <col min="11" max="11" width="16.5703125" style="21" hidden="1" customWidth="1"/>
    <col min="12" max="12" width="21.85546875" style="21" customWidth="1"/>
    <col min="13" max="39" width="20.7109375" style="4" customWidth="1"/>
    <col min="40" max="40" width="3.28515625" style="4" bestFit="1" customWidth="1"/>
    <col min="41" max="42" width="5.5703125" style="4" bestFit="1" customWidth="1"/>
    <col min="43" max="43" width="2.140625" style="4" bestFit="1" customWidth="1"/>
    <col min="44" max="46" width="3.28515625" style="4" bestFit="1" customWidth="1"/>
    <col min="47" max="47" width="0" style="4" hidden="1" customWidth="1"/>
    <col min="48" max="48" width="16.140625" style="4" customWidth="1"/>
    <col min="49" max="49" width="15.7109375" style="4" customWidth="1"/>
    <col min="50" max="52" width="2.140625" style="4" bestFit="1" customWidth="1"/>
    <col min="53" max="56" width="9.140625" style="4"/>
    <col min="57" max="57" width="9.140625" style="10"/>
    <col min="58" max="59" width="9.140625" style="19"/>
    <col min="60" max="142" width="9.140625" style="20"/>
    <col min="143" max="16384" width="9.140625" style="21"/>
  </cols>
  <sheetData>
    <row r="1" spans="1:31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31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31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31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31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31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1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31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31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AE9" s="4">
        <v>0</v>
      </c>
    </row>
    <row r="10" spans="1:31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49">
        <v>13000000</v>
      </c>
      <c r="E10" s="450"/>
      <c r="F10" s="11" t="s">
        <v>189</v>
      </c>
      <c r="G10" s="12" t="s">
        <v>7</v>
      </c>
      <c r="H10" s="13">
        <f ca="1">F22+G22+A92+D10</f>
        <v>14804820</v>
      </c>
      <c r="I10" s="40"/>
      <c r="J10" s="40"/>
      <c r="K10" s="40"/>
      <c r="L10" s="40"/>
      <c r="AD10" s="4">
        <v>6</v>
      </c>
      <c r="AE10" s="4">
        <v>1</v>
      </c>
    </row>
    <row r="11" spans="1:31" ht="14.25">
      <c r="A11" s="7"/>
      <c r="B11" s="408" t="s">
        <v>8</v>
      </c>
      <c r="C11" s="409"/>
      <c r="D11" s="413">
        <v>42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">
        <f ca="1">IF(DAY(D16)=31,31,30)</f>
        <v>30</v>
      </c>
      <c r="AD11" s="4">
        <v>12</v>
      </c>
      <c r="AE11" s="4">
        <v>3</v>
      </c>
    </row>
    <row r="12" spans="1:31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2</v>
      </c>
      <c r="AD12" s="4">
        <v>18</v>
      </c>
      <c r="AE12" s="4">
        <v>6</v>
      </c>
    </row>
    <row r="13" spans="1:31" ht="28.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AD13" s="4">
        <v>24</v>
      </c>
      <c r="AE13" s="4">
        <v>12</v>
      </c>
    </row>
    <row r="14" spans="1:31" ht="15" customHeight="1">
      <c r="A14" s="17">
        <f ca="1">IF(DAY(D16)&lt;=21,D14,D14+1)</f>
        <v>6</v>
      </c>
      <c r="B14" s="408" t="s">
        <v>13</v>
      </c>
      <c r="C14" s="409"/>
      <c r="D14" s="413">
        <v>6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</v>
      </c>
      <c r="AD14" s="4">
        <v>36</v>
      </c>
    </row>
    <row r="15" spans="1:31" ht="15" customHeight="1">
      <c r="A15" s="82"/>
      <c r="B15" s="309" t="s">
        <v>139</v>
      </c>
      <c r="C15" s="310"/>
      <c r="D15" s="355">
        <v>1</v>
      </c>
      <c r="E15" s="356"/>
      <c r="F15" s="14" t="str">
        <f>IF(D15&gt;4,"месяцев",IF(D15&gt;1,"месяца",IF(D15=1,"месяц","месяцев")))</f>
        <v>месяц</v>
      </c>
      <c r="G15" s="4"/>
      <c r="H15" s="4"/>
      <c r="I15" s="4"/>
      <c r="J15" s="4"/>
      <c r="K15" s="4"/>
      <c r="L15" s="4"/>
      <c r="AD15" s="4">
        <v>48</v>
      </c>
    </row>
    <row r="16" spans="1:31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</v>
      </c>
      <c r="AD16" s="4">
        <v>60</v>
      </c>
    </row>
    <row r="17" spans="1:142" ht="13.5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2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2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2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2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2" hidden="1">
      <c r="A22" s="4"/>
      <c r="B22" s="4"/>
      <c r="C22" s="4"/>
      <c r="D22" s="404">
        <f ca="1">SUM(D25:E85)</f>
        <v>26000000</v>
      </c>
      <c r="E22" s="272"/>
      <c r="F22" s="22">
        <f ca="1">SUM(F25:F86)/2</f>
        <v>1804820</v>
      </c>
      <c r="G22" s="22">
        <v>0</v>
      </c>
      <c r="H22" s="22">
        <f ca="1">SUM(H25:H72)</f>
        <v>29609640</v>
      </c>
      <c r="I22" s="22"/>
      <c r="J22" s="22"/>
      <c r="K22" s="22"/>
      <c r="L22" s="22"/>
    </row>
    <row r="23" spans="1:142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2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186</v>
      </c>
      <c r="AD24" s="76" t="s">
        <v>28</v>
      </c>
      <c r="AE24" s="76" t="s">
        <v>29</v>
      </c>
      <c r="AF24" s="76" t="s">
        <v>143</v>
      </c>
      <c r="AG24" s="76" t="s">
        <v>143</v>
      </c>
      <c r="AH24" s="76"/>
      <c r="AI24" s="76"/>
      <c r="AJ24" s="76" t="s">
        <v>30</v>
      </c>
      <c r="AK24" s="76" t="s">
        <v>31</v>
      </c>
      <c r="AL24" s="76" t="s">
        <v>32</v>
      </c>
    </row>
    <row r="25" spans="1:142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рублей",IF(AX25&lt;=5,ROUND(AV25,0)-AX25,ROUND(AV25,0)+AY25)," ")))</f>
        <v>2166670</v>
      </c>
      <c r="E25" s="443"/>
      <c r="F25" s="84">
        <f ca="1">IF(M1=1,P25,IF(M1=2,Q25," "))</f>
        <v>409500</v>
      </c>
      <c r="G25" s="84">
        <v>0</v>
      </c>
      <c r="H25" s="84">
        <f ca="1">SUM(D25:G25)+A87</f>
        <v>2576170</v>
      </c>
      <c r="I25" s="84">
        <f ca="1">T25</f>
        <v>2166670</v>
      </c>
      <c r="J25" s="84">
        <f t="shared" ref="J25:J56" ca="1" si="0">AA25</f>
        <v>409500</v>
      </c>
      <c r="K25" s="84">
        <v>0</v>
      </c>
      <c r="L25" s="84">
        <f ca="1">SUM(I25:K25)+A87</f>
        <v>2576170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IF(D$14+1=A$14,IF(M25=A$14,IF(DATE(YEAR(0),MONTH(0),DAY(D$16)-1)&gt;AS25,DATE(YEAR(0),MONTH(0),DAY(D$16)-1),AS25),AS25),IF(M25=A$14,IF(DATE(YEAR(0),MONTH(0),DAY(D$16)-1)&lt;AS25,DATE(YEAR(0),MONTH(0),DAY(D$16)-1),AS25),AS25))</f>
        <v>20</v>
      </c>
      <c r="P25" s="22">
        <f t="shared" ref="P25:P56" ca="1" si="2">IF(U25&lt;&gt;0,IF(VALUE(RIGHT(ROUND(U25,0)))&lt;=5,ROUND(U25,0)-VALUE(RIGHT(ROUND(U25,0))),ROUND(U25,0)+10-VALUE(RIGHT(ROUND(U25,0)))),0)</f>
        <v>409500</v>
      </c>
      <c r="Q25" s="22">
        <f t="shared" ref="Q25:Q56" ca="1" si="3">IF(V25&lt;&gt;0,IF(VALUE(RIGHT(ROUND(V25,0)))&lt;=5,ROUND(V25,0)-VALUE(RIGHT(ROUND(V25,0))),ROUND(V25,0)+10-VALUE(RIGHT(ROUND(V25,0)))),0)</f>
        <v>409500</v>
      </c>
      <c r="R25" s="22">
        <f>D10</f>
        <v>13000000</v>
      </c>
      <c r="S25" s="22">
        <f ca="1">IF(N25=0,0,IF(F10="USD",ROUND(D10/M14,2),IF(F10="бел. рублей",IF(AX25&lt;=5,ROUND(AV25,0)-AX25,ROUND(AV25,0)+AY25)," ")))</f>
        <v>2166670</v>
      </c>
      <c r="T25" s="22">
        <f ca="1">IF(N25=0,0,IF(F10="USD",ROUND(D10/M14,2),IF(F10="бел. рублей",IF(AX25&lt;=5,ROUND(AV25,0)-AX25,ROUND(AV25,0)+AY25)," ")))</f>
        <v>2166670</v>
      </c>
      <c r="U25" s="22">
        <f ca="1">R25*Q11*D11/36000</f>
        <v>409500</v>
      </c>
      <c r="V25" s="22">
        <f ca="1">R25*Q11*D11/36000</f>
        <v>409500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409500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409500</v>
      </c>
      <c r="Y25" s="22">
        <f t="shared" ref="Y25:Y56" si="4">IF(M25&lt;=(D$15+1),D$10,Y24-I24)</f>
        <v>13000000</v>
      </c>
      <c r="Z25" s="22">
        <f ca="1">Y25*Q11*D11/36000</f>
        <v>409500</v>
      </c>
      <c r="AA25" s="22">
        <f t="shared" ref="AA25:AA56" ca="1" si="5">IF(Z25&lt;&gt;0,IF(VALUE(RIGHT(ROUND(Z25,0)))&lt;=5,ROUND(Z25,0)-VALUE(RIGHT(ROUND(Z25,0))),ROUND(Z25,0)+10-VALUE(RIGHT(ROUND(Z25,0)))),0)</f>
        <v>409500</v>
      </c>
      <c r="AB25" s="22">
        <f ca="1">R25*Q11</f>
        <v>351000000</v>
      </c>
      <c r="AC25" s="22">
        <f ca="1">Y25*Q11</f>
        <v>351000000</v>
      </c>
      <c r="AD25" s="22">
        <f t="shared" ref="AD25:AD56" ca="1" si="6">IF(AK25&lt;&gt;0,IF(VALUE(RIGHT(ROUND(AK25,0)))&lt;=5,ROUND(AK25,0)-VALUE(RIGHT(ROUND(AK25,0))),ROUND(AK25,0)+10-VALUE(RIGHT(ROUND(AK25,0)))),0)</f>
        <v>0</v>
      </c>
      <c r="AE25" s="22">
        <f t="shared" ref="AE25:AE56" ca="1" si="7">IF(AL25&lt;&gt;0,IF(VALUE(RIGHT(ROUND(AL25,0)))&lt;=5,ROUND(AL25,0)-VALUE(RIGHT(ROUND(AL25,0))),ROUND(AL25,0)+10-VALUE(RIGHT(ROUND(AL25,0)))),0)</f>
        <v>0</v>
      </c>
      <c r="AF25" s="22">
        <f ca="1">AJ25*Q11*G12/36000</f>
        <v>0</v>
      </c>
      <c r="AG25" s="22">
        <f t="shared" ref="AG25:AG56" ca="1" si="8">IF(AF25&lt;&gt;0,IF(VALUE(RIGHT(ROUND(AF25,0)))&lt;=5,ROUND(AF25,0)-VALUE(RIGHT(ROUND(AF25,0))),ROUND(AF25,0)+10-VALUE(RIGHT(ROUND(AF25,0)))),0)</f>
        <v>0</v>
      </c>
      <c r="AH25" s="22">
        <f ca="1">Y25*Q11*G12/36000</f>
        <v>0</v>
      </c>
      <c r="AI25" s="22">
        <f t="shared" ref="AI25:AI56" ca="1" si="9">IF(AH25&lt;&gt;0,IF(VALUE(RIGHT(ROUND(AH25,0)))&lt;=5,ROUND(AH25,0)-VALUE(RIGHT(ROUND(AH25,0))),ROUND(AH25,0)+10-VALUE(RIGHT(ROUND(AH25,0)))),0)</f>
        <v>0</v>
      </c>
      <c r="AJ25" s="22">
        <f t="shared" ref="AJ25:AJ56" si="10">R25</f>
        <v>13000000</v>
      </c>
      <c r="AK25" s="22">
        <f ca="1">AJ25*Q11*G12/36000</f>
        <v>0</v>
      </c>
      <c r="AL25" s="22">
        <f ca="1">AJ25*Q11*G12/36000</f>
        <v>0</v>
      </c>
      <c r="AM25" s="69">
        <f ca="1">IF(N25=0,0,MONTH(D16)+1)</f>
        <v>2</v>
      </c>
      <c r="AN25" s="69">
        <f t="shared" ref="AN25:AN56" ca="1" si="11">IF(AM25=13,1,AM25)</f>
        <v>2</v>
      </c>
      <c r="AO25" s="4">
        <f ca="1">IF(N25=0,0,YEAR(D16))</f>
        <v>2024</v>
      </c>
      <c r="AP25" s="4">
        <f t="shared" ref="AP25:AP56" ca="1" si="12">IF(AN25=1,AO25+1,AO25)</f>
        <v>2024</v>
      </c>
      <c r="AQ25" s="4">
        <f t="shared" ref="AQ25:AQ56" ca="1" si="13">IF((AO25/2012)=1,1,IF((AO25/2016)=1,1,IF((AO25/2020)=1,1,IF((AO25/2024)=1,1,IF((AO25/2028)=1,1,IF((AO25/2032)=1,1,0))))))</f>
        <v>1</v>
      </c>
      <c r="AR25" s="4">
        <f t="shared" ref="AR25:AR56" ca="1" si="14">IF(AN25=2,IF(AQ25=1,29,28),30)</f>
        <v>29</v>
      </c>
      <c r="AS25" s="4">
        <f t="shared" ref="AS25:AS56" si="15">IF(C$24=30,AR25,20)</f>
        <v>20</v>
      </c>
      <c r="AT25" s="4"/>
      <c r="AU25" s="4"/>
      <c r="AV25" s="4">
        <f ca="1">IF(N25=0,0,IF(F10="USD",ROUND(D10/M14,2),IF(F10="бел. рублей",ROUND(D10/M14,0)," ")))</f>
        <v>2166667</v>
      </c>
      <c r="AW25" s="69" t="str">
        <f ca="1">RIGHT(AV25)</f>
        <v>7</v>
      </c>
      <c r="AX25" s="4">
        <f ca="1">VALUE(AW25)</f>
        <v>7</v>
      </c>
      <c r="AY25" s="4">
        <f ca="1">10-AX25</f>
        <v>3</v>
      </c>
      <c r="AZ25" s="4">
        <f t="shared" ref="AZ25:AZ56" ca="1" si="16">IF(D$15=0,0,IF(N25=1,1,0))</f>
        <v>1</v>
      </c>
      <c r="BA25" s="4"/>
      <c r="BB25" s="4"/>
      <c r="BC25" s="4"/>
      <c r="BD25" s="4"/>
      <c r="BE25" s="10"/>
      <c r="BF25" s="19"/>
      <c r="BG25" s="19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</row>
    <row r="26" spans="1:142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"),IF(A$14=D$14+1,IF(M26=A$14,IF(MONTH(B25)=2,IF(DAY(D$16)&gt;29,DATE(YEAR(B25),MONTH(B25),AT26),DATE(YEAR(B25),MONTH(B25),O26)),DATE(YEAR(B25),MONTH(B25),O26)),DATE(YEAR(B25),MONTH(B25)+1,O26)),DATE(YEAR(B25),MONTH(B25)+1,O26)))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2166670</v>
      </c>
      <c r="E26" s="443"/>
      <c r="F26" s="84">
        <f ca="1">IF(N26=0,IF(N25=1,F25," "),IF(M1=1,P26,IF(M1=2,Q26," ")))</f>
        <v>429720</v>
      </c>
      <c r="G26" s="84">
        <v>0</v>
      </c>
      <c r="H26" s="84">
        <f t="shared" ref="H26:H57" ca="1" si="19">IF(SUM(D26:G26)=0," ",SUM(D26:G26))</f>
        <v>2596390</v>
      </c>
      <c r="I26" s="84">
        <f t="shared" ref="I26:I57" ca="1" si="20">IF(N26=1,IF(N27=1,IF(M26&lt;=D$15,T26,AW$26),D$10-AW$26*M$16+AW$26),0)</f>
        <v>2600000</v>
      </c>
      <c r="J26" s="84">
        <f t="shared" ca="1" si="0"/>
        <v>455000</v>
      </c>
      <c r="K26" s="84">
        <v>0</v>
      </c>
      <c r="L26" s="84">
        <f t="shared" ref="L26:L57" ca="1" si="21">IF(SUM(I26:K26)=0," ",SUM(I26:K26))</f>
        <v>3055000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429720</v>
      </c>
      <c r="Q26" s="22">
        <f t="shared" ca="1" si="3"/>
        <v>429720</v>
      </c>
      <c r="R26" s="22">
        <f t="shared" ref="R26:R57" ca="1" si="23">IF(N26=0,0,R25-D25)</f>
        <v>10833330</v>
      </c>
      <c r="S26" s="22">
        <f t="shared" ref="S26:S57" ca="1" si="24">IF(M26&lt;=D$15,D$10/(D$14-M25),D26)</f>
        <v>2166670</v>
      </c>
      <c r="T26" s="22">
        <f t="shared" ref="T26:T57" ca="1" si="25">IF(S26&lt;&gt;0,IF(VALUE(RIGHT(ROUND(S26,0)))&lt;=5,ROUND(S26,0)-VALUE(RIGHT(ROUND(S26,0))),ROUND(S26,0)+10-VALUE(RIGHT(ROUND(S26,0)))),0)</f>
        <v>2166670</v>
      </c>
      <c r="U26" s="22">
        <f ca="1">IF(N27=1,R25*D11*20/36000+R26*D11*10/36000,IF(N27=0,IF(N26=0,0,R26*D11*Q12/36000+R25*D11*20/36000+R26*D11*10/36000)))</f>
        <v>429722.18333333335</v>
      </c>
      <c r="V26" s="22">
        <f ca="1">IF(N27=1,R25*D11*20/36000+R26*D11*10/36000,IF(N27=0,IF(N26=0,0,R26*D11*Q12/36000+R25*D11*20/36000+R26*D11*10/36000)))</f>
        <v>429722.18333333335</v>
      </c>
      <c r="W26" s="22">
        <f t="shared" ref="W26:W57" ca="1" si="26">IF(N27=1,$D$10*$D$11*20/36000+$D$10*$D$11*10/36000,IF(N27=0,IF(N26=0,0,$D$10*$D$11*$Q$12/36000+$D$10*$D$11*20/36000+$D$10*$D$11*10/36000)))</f>
        <v>455000</v>
      </c>
      <c r="X26" s="22">
        <f t="shared" ref="X26:X57" ca="1" si="27">IF(W26&lt;&gt;0,IF(VALUE(RIGHT(ROUND(W26,0)))&lt;=5,ROUND(W26,0)-VALUE(RIGHT(ROUND(W26,0))),ROUND(W26,0)+10-VALUE(RIGHT(ROUND(W26,0)))),0)</f>
        <v>455000</v>
      </c>
      <c r="Y26" s="22">
        <f t="shared" si="4"/>
        <v>13000000</v>
      </c>
      <c r="Z26" s="22">
        <f ca="1">IF(N27=1,Y25*D$11*20/36000+Y26*D$11*10/36000,IF(N27=0,IF(N26=0,0,Y26*D$11*Q$12/36000+Y25*D$11*20/36000+Y26*D$11*10/36000)))</f>
        <v>455000</v>
      </c>
      <c r="AA26" s="22">
        <f t="shared" ca="1" si="5"/>
        <v>455000</v>
      </c>
      <c r="AB26" s="22">
        <f ca="1">IF(R27=0,R26*Q12,(R25*20+R26*10))</f>
        <v>368333300</v>
      </c>
      <c r="AC26" s="22">
        <f t="shared" ref="AC26:AC34" ca="1" si="28">IF(Y27=0,Y26*Q12,(Y25*20+Y26*10))</f>
        <v>390000000</v>
      </c>
      <c r="AD26" s="22">
        <f t="shared" ca="1" si="6"/>
        <v>0</v>
      </c>
      <c r="AE26" s="22">
        <f t="shared" ca="1" si="7"/>
        <v>0</v>
      </c>
      <c r="AF26" s="22">
        <f t="shared" ref="AF26:AF57" ca="1" si="29">IF(N27=1,D$10*G$12*20/36000+D$10*G$12*10/36000,IF(N27=0,IF(N26=0,0,D$10*G$12*Q$12/36000+D$10*G$12*20/36000+D$10*G$12*10/36000)))</f>
        <v>0</v>
      </c>
      <c r="AG26" s="22">
        <f t="shared" ca="1" si="8"/>
        <v>0</v>
      </c>
      <c r="AH26" s="22">
        <f t="shared" ref="AH26:AH57" ca="1" si="30">IF(N27=1,Y25*G$12*20/36000+Y26*G$12*10/36000,IF(N27=0,IF(N26=0,0,Y26*G$12*Q$12/36000+Y25*G$12*20/36000+Y26*G$12*10/36000)))</f>
        <v>0</v>
      </c>
      <c r="AI26" s="22">
        <f t="shared" ca="1" si="9"/>
        <v>0</v>
      </c>
      <c r="AJ26" s="22">
        <f t="shared" ca="1" si="10"/>
        <v>10833330</v>
      </c>
      <c r="AK26" s="22">
        <f ca="1">IF(N27=1,AJ25*G12*20/36000+AJ26*G12*10/36000,IF(N27=0,IF(N26=0,0,AJ26*G12*Q12/36000+AJ25*G12*20/36000+AJ26*G12*10/36000)))</f>
        <v>0</v>
      </c>
      <c r="AL26" s="22">
        <f ca="1">IF(N27=1,AJ25*G12*20/36000+AJ26*G12*10/36000,IF(N27=0,IF(N26=0,0,AJ26*G12*Q12/36000+AJ25*G12*20/36000+AJ26*G12*10/36000)))</f>
        <v>0</v>
      </c>
      <c r="AM26" s="69">
        <f t="shared" ref="AM26:AM57" ca="1" si="31">IF(N26=0,0,MONTH(B25)+1)</f>
        <v>3</v>
      </c>
      <c r="AN26" s="69">
        <f t="shared" ca="1" si="11"/>
        <v>3</v>
      </c>
      <c r="AO26" s="4">
        <f t="shared" ref="AO26:AO57" ca="1" si="32">IF(N26=0,0,YEAR(B25))</f>
        <v>2024</v>
      </c>
      <c r="AP26" s="4">
        <f t="shared" ca="1" si="12"/>
        <v>2024</v>
      </c>
      <c r="AQ26" s="4">
        <f t="shared" ca="1" si="13"/>
        <v>1</v>
      </c>
      <c r="AR26" s="4">
        <f t="shared" ca="1" si="14"/>
        <v>30</v>
      </c>
      <c r="AS26" s="4">
        <f t="shared" si="15"/>
        <v>20</v>
      </c>
      <c r="AT26" s="4">
        <f t="shared" ref="AT26:AT57" ca="1" si="33">AR25</f>
        <v>29</v>
      </c>
      <c r="AU26" s="4"/>
      <c r="AV26" s="4">
        <f ca="1">ROUNDUP(D$10/(A$14-D$15),0)</f>
        <v>2600000</v>
      </c>
      <c r="AW26" s="22">
        <f ca="1">IF(AV26&lt;&gt;0,IF(VALUE(RIGHT(ROUND(AV26,0)))&lt;=5,ROUND(AV26,0)-VALUE(RIGHT(ROUND(AV26,0))),ROUND(AV26,0)+10-VALUE(RIGHT(ROUND(AV26,0)))),0)</f>
        <v>2600000</v>
      </c>
      <c r="AX26" s="4"/>
      <c r="AY26" s="4"/>
      <c r="AZ26" s="4">
        <f t="shared" ca="1" si="16"/>
        <v>1</v>
      </c>
      <c r="BA26" s="4"/>
      <c r="BB26" s="4"/>
      <c r="BC26" s="4"/>
      <c r="BD26" s="4"/>
      <c r="BE26" s="10"/>
      <c r="BF26" s="19"/>
      <c r="BG26" s="19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</row>
    <row r="27" spans="1:142" s="24" customFormat="1" ht="15" customHeight="1">
      <c r="A27" s="4">
        <f t="shared" si="17"/>
        <v>3</v>
      </c>
      <c r="B27" s="268">
        <f t="shared" ca="1" si="18"/>
        <v>45402</v>
      </c>
      <c r="C27" s="401"/>
      <c r="D27" s="443">
        <f ca="1">IF(N27=0,IF(N26=1,D25+D26," "),IF(N27=0,0,IF(N28=1,D25,IF(N28=0,D10-D25*(M14-1)," "))))</f>
        <v>2166670</v>
      </c>
      <c r="E27" s="443"/>
      <c r="F27" s="84">
        <f ca="1">IF(N27=0,IF(N26=1,F25+F26," "),IF(M1=1,P27,IF(M1=2,Q27," ")))</f>
        <v>353890</v>
      </c>
      <c r="G27" s="84">
        <v>0</v>
      </c>
      <c r="H27" s="84">
        <f t="shared" ca="1" si="19"/>
        <v>2520560</v>
      </c>
      <c r="I27" s="84">
        <f t="shared" ca="1" si="20"/>
        <v>2600000</v>
      </c>
      <c r="J27" s="84">
        <f t="shared" ca="1" si="0"/>
        <v>424670</v>
      </c>
      <c r="K27" s="84">
        <v>0</v>
      </c>
      <c r="L27" s="84">
        <f t="shared" ca="1" si="21"/>
        <v>3024670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353890</v>
      </c>
      <c r="Q27" s="22">
        <f t="shared" ca="1" si="3"/>
        <v>353890</v>
      </c>
      <c r="R27" s="22">
        <f t="shared" ca="1" si="23"/>
        <v>8666660</v>
      </c>
      <c r="S27" s="22">
        <f t="shared" ca="1" si="24"/>
        <v>2166670</v>
      </c>
      <c r="T27" s="22">
        <f t="shared" ca="1" si="25"/>
        <v>2166670</v>
      </c>
      <c r="U27" s="22">
        <f ca="1">IF(N28=1,R26*D11*20/36000+R27*D11*10/36000,IF(N28=0,IF(N27=0,0,R27*D11*Q12/36000+R26*D11*20/36000+R27*D11*10/36000)))</f>
        <v>353888.73333333334</v>
      </c>
      <c r="V27" s="22">
        <f ca="1">IF(N28=1,R26*D11*20/36000+R27*D11*10/36000,IF(N28=0,IF(N27=0,0,R27*D11*Q12/36000+R26*D11*20/36000+R27*D11*10/36000)))</f>
        <v>353888.73333333334</v>
      </c>
      <c r="W27" s="22">
        <f t="shared" ca="1" si="26"/>
        <v>455000</v>
      </c>
      <c r="X27" s="22">
        <f t="shared" ca="1" si="27"/>
        <v>455000</v>
      </c>
      <c r="Y27" s="22">
        <f t="shared" ca="1" si="4"/>
        <v>10400000</v>
      </c>
      <c r="Z27" s="22">
        <f ca="1">IF(N28=1,Y26*D$11*20/36000+Y27*D$11*10/36000,IF(N28=0,IF(N27=0,0,Y27*D$11*Q$12/36000+Y26*D$11*20/36000+Y27*D$11*10/36000)))</f>
        <v>424666.66666666663</v>
      </c>
      <c r="AA27" s="22">
        <f t="shared" ca="1" si="5"/>
        <v>424670</v>
      </c>
      <c r="AB27" s="22">
        <f ca="1">IF(R28=0,R27*Q12,(R26*20+R27*10))</f>
        <v>303333200</v>
      </c>
      <c r="AC27" s="22">
        <f t="shared" ca="1" si="28"/>
        <v>364000000</v>
      </c>
      <c r="AD27" s="22">
        <f t="shared" ca="1" si="6"/>
        <v>0</v>
      </c>
      <c r="AE27" s="22">
        <f t="shared" ca="1" si="7"/>
        <v>0</v>
      </c>
      <c r="AF27" s="22">
        <f t="shared" ca="1" si="29"/>
        <v>0</v>
      </c>
      <c r="AG27" s="22">
        <f t="shared" ca="1" si="8"/>
        <v>0</v>
      </c>
      <c r="AH27" s="22">
        <f t="shared" ca="1" si="30"/>
        <v>0</v>
      </c>
      <c r="AI27" s="22">
        <f t="shared" ca="1" si="9"/>
        <v>0</v>
      </c>
      <c r="AJ27" s="22">
        <f t="shared" ca="1" si="10"/>
        <v>8666660</v>
      </c>
      <c r="AK27" s="22">
        <f ca="1">IF(N28=1,AJ26*G12*20/36000+AJ27*G12*10/36000,IF(N28=0,IF(N27=0,0,AJ27*G12*Q12/36000+AJ26*G12*20/36000+AJ27*G12*10/36000)))</f>
        <v>0</v>
      </c>
      <c r="AL27" s="22">
        <f ca="1">IF(N28=1,AJ26*G12*20/36000+AJ27*G12*10/36000,IF(N28=0,IF(N27=0,0,AJ27*G12*Q12/36000+AJ26*G12*20/36000+AJ27*G12*10/36000)))</f>
        <v>0</v>
      </c>
      <c r="AM27" s="69">
        <f t="shared" ca="1" si="31"/>
        <v>4</v>
      </c>
      <c r="AN27" s="69">
        <f t="shared" ca="1" si="11"/>
        <v>4</v>
      </c>
      <c r="AO27" s="4">
        <f t="shared" ca="1" si="32"/>
        <v>2024</v>
      </c>
      <c r="AP27" s="4">
        <f t="shared" ca="1" si="12"/>
        <v>2024</v>
      </c>
      <c r="AQ27" s="4">
        <f t="shared" ca="1" si="13"/>
        <v>1</v>
      </c>
      <c r="AR27" s="4">
        <f t="shared" ca="1" si="14"/>
        <v>30</v>
      </c>
      <c r="AS27" s="4">
        <f t="shared" si="15"/>
        <v>20</v>
      </c>
      <c r="AT27" s="4">
        <f t="shared" ca="1" si="33"/>
        <v>30</v>
      </c>
      <c r="AU27" s="4"/>
      <c r="AV27" s="4"/>
      <c r="AW27" s="4"/>
      <c r="AX27" s="4"/>
      <c r="AY27" s="4"/>
      <c r="AZ27" s="4">
        <f t="shared" ca="1" si="16"/>
        <v>1</v>
      </c>
      <c r="BA27" s="4"/>
      <c r="BB27" s="4"/>
      <c r="BC27" s="4"/>
      <c r="BD27" s="4"/>
      <c r="BE27" s="10"/>
      <c r="BF27" s="19"/>
      <c r="BG27" s="19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</row>
    <row r="28" spans="1:142" s="24" customFormat="1" ht="15" customHeight="1">
      <c r="A28" s="4">
        <f t="shared" si="17"/>
        <v>4</v>
      </c>
      <c r="B28" s="268">
        <f t="shared" ca="1" si="18"/>
        <v>45432</v>
      </c>
      <c r="C28" s="401"/>
      <c r="D28" s="443">
        <f ca="1">IF(N28=0,IF(N27=1,D25+D26+D27," "),IF(N28=0,0,IF(N29=1,D25,IF(N29=0,D10-D25*(M14-1)," "))))</f>
        <v>2166670</v>
      </c>
      <c r="E28" s="443"/>
      <c r="F28" s="84">
        <f ca="1">IF(N28=0,IF(N27=1,F25+F26+F27," "),IF(M1=1,P28,IF(M1=2,Q28," ")))</f>
        <v>278050</v>
      </c>
      <c r="G28" s="84">
        <v>0</v>
      </c>
      <c r="H28" s="84">
        <f t="shared" ca="1" si="19"/>
        <v>2444720</v>
      </c>
      <c r="I28" s="84">
        <f t="shared" ca="1" si="20"/>
        <v>2600000</v>
      </c>
      <c r="J28" s="84">
        <f t="shared" ca="1" si="0"/>
        <v>333670</v>
      </c>
      <c r="K28" s="84">
        <v>0</v>
      </c>
      <c r="L28" s="84">
        <f t="shared" ca="1" si="21"/>
        <v>2933670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278050</v>
      </c>
      <c r="Q28" s="22">
        <f t="shared" ca="1" si="3"/>
        <v>278050</v>
      </c>
      <c r="R28" s="22">
        <f t="shared" ca="1" si="23"/>
        <v>6499990</v>
      </c>
      <c r="S28" s="22">
        <f t="shared" ca="1" si="24"/>
        <v>2166670</v>
      </c>
      <c r="T28" s="22">
        <f t="shared" ca="1" si="25"/>
        <v>2166670</v>
      </c>
      <c r="U28" s="22">
        <f ca="1">IF(N29=1,R27*D11*20/36000+R28*D11*10/36000,IF(N29=0,IF(N28=0,0,R28*D11*Q12/36000+R27*D11*20/36000+R28*D11*10/36000)))</f>
        <v>278055.28333333333</v>
      </c>
      <c r="V28" s="22">
        <f ca="1">IF(N29=1,R27*D11*20/36000+R28*D11*10/36000,IF(N29=0,IF(N28=0,0,R28*D11*Q12/36000+R27*D11*20/36000+R28*D11*10/36000)))</f>
        <v>278055.28333333333</v>
      </c>
      <c r="W28" s="22">
        <f t="shared" ca="1" si="26"/>
        <v>455000</v>
      </c>
      <c r="X28" s="22">
        <f t="shared" ca="1" si="27"/>
        <v>455000</v>
      </c>
      <c r="Y28" s="22">
        <f t="shared" ca="1" si="4"/>
        <v>7800000</v>
      </c>
      <c r="Z28" s="22">
        <f ca="1">IF(N29=1,Y27*D$11*20/36000+Y28*D$11*10/36000,IF(N29=0,IF(N28=0,0,Y28*D$11*Q$12/36000+Y27*D$11*20/36000+Y28*D$11*10/36000)))</f>
        <v>333666.66666666663</v>
      </c>
      <c r="AA28" s="22">
        <f t="shared" ca="1" si="5"/>
        <v>333670</v>
      </c>
      <c r="AB28" s="22">
        <f ca="1">IF(R29=0,R28*Q12,(R27*20+R28*10))</f>
        <v>238333100</v>
      </c>
      <c r="AC28" s="22">
        <f t="shared" ca="1" si="28"/>
        <v>286000000</v>
      </c>
      <c r="AD28" s="22">
        <f t="shared" ca="1" si="6"/>
        <v>0</v>
      </c>
      <c r="AE28" s="22">
        <f t="shared" ca="1" si="7"/>
        <v>0</v>
      </c>
      <c r="AF28" s="22">
        <f t="shared" ca="1" si="29"/>
        <v>0</v>
      </c>
      <c r="AG28" s="22">
        <f t="shared" ca="1" si="8"/>
        <v>0</v>
      </c>
      <c r="AH28" s="22">
        <f t="shared" ca="1" si="30"/>
        <v>0</v>
      </c>
      <c r="AI28" s="22">
        <f t="shared" ca="1" si="9"/>
        <v>0</v>
      </c>
      <c r="AJ28" s="22">
        <f t="shared" ca="1" si="10"/>
        <v>6499990</v>
      </c>
      <c r="AK28" s="22">
        <f ca="1">IF(N29=1,AJ27*G12*20/36000+AJ28*G12*10/36000,IF(N29=0,IF(N28=0,0,AJ28*G12*Q12/36000+AJ27*G12*20/36000+AJ28*G12*10/36000)))</f>
        <v>0</v>
      </c>
      <c r="AL28" s="22">
        <f ca="1">IF(N29=1,AJ27*G12*20/36000+AJ28*G12*10/36000,IF(N29=0,IF(N28=0,0,AJ28*G12*Q12/36000+AJ27*G12*20/36000+AJ28*G12*10/36000)))</f>
        <v>0</v>
      </c>
      <c r="AM28" s="69">
        <f t="shared" ca="1" si="31"/>
        <v>5</v>
      </c>
      <c r="AN28" s="69">
        <f t="shared" ca="1" si="11"/>
        <v>5</v>
      </c>
      <c r="AO28" s="4">
        <f t="shared" ca="1" si="32"/>
        <v>2024</v>
      </c>
      <c r="AP28" s="4">
        <f t="shared" ca="1" si="12"/>
        <v>2024</v>
      </c>
      <c r="AQ28" s="4">
        <f t="shared" ca="1" si="13"/>
        <v>1</v>
      </c>
      <c r="AR28" s="4">
        <f t="shared" ca="1" si="14"/>
        <v>30</v>
      </c>
      <c r="AS28" s="4">
        <f t="shared" si="15"/>
        <v>20</v>
      </c>
      <c r="AT28" s="4">
        <f t="shared" ca="1" si="33"/>
        <v>30</v>
      </c>
      <c r="AU28" s="4"/>
      <c r="AV28" s="4"/>
      <c r="AW28" s="4"/>
      <c r="AX28" s="4"/>
      <c r="AY28" s="4"/>
      <c r="AZ28" s="4">
        <f t="shared" ca="1" si="16"/>
        <v>1</v>
      </c>
      <c r="BA28" s="4"/>
      <c r="BB28" s="4"/>
      <c r="BC28" s="4"/>
      <c r="BD28" s="4"/>
      <c r="BE28" s="10"/>
      <c r="BF28" s="19"/>
      <c r="BG28" s="19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</row>
    <row r="29" spans="1:142" s="24" customFormat="1" ht="15" customHeight="1">
      <c r="A29" s="4">
        <f t="shared" si="17"/>
        <v>5</v>
      </c>
      <c r="B29" s="268">
        <f t="shared" ca="1" si="18"/>
        <v>45463</v>
      </c>
      <c r="C29" s="401"/>
      <c r="D29" s="443">
        <f ca="1">IF(N29=0,IF(N28=1,D25+D26+D27+D28," "),IF(N29=0,0,IF(N30=1,D25,IF(N30=0,D10-D25*(M14-1)," "))))</f>
        <v>2166670</v>
      </c>
      <c r="E29" s="443"/>
      <c r="F29" s="84">
        <f ca="1">IF(N29=0,IF(N28=1,F25+F26+F27+F28," "),IF(M1=1,P29,IF(M1=2,Q29," ")))</f>
        <v>202220</v>
      </c>
      <c r="G29" s="84">
        <v>0</v>
      </c>
      <c r="H29" s="84">
        <f t="shared" ca="1" si="19"/>
        <v>2368890</v>
      </c>
      <c r="I29" s="84">
        <f t="shared" ca="1" si="20"/>
        <v>2600000</v>
      </c>
      <c r="J29" s="84">
        <f t="shared" ca="1" si="0"/>
        <v>242670</v>
      </c>
      <c r="K29" s="84">
        <v>0</v>
      </c>
      <c r="L29" s="84">
        <f t="shared" ca="1" si="21"/>
        <v>2842670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202220</v>
      </c>
      <c r="Q29" s="22">
        <f t="shared" ca="1" si="3"/>
        <v>202220</v>
      </c>
      <c r="R29" s="22">
        <f t="shared" ca="1" si="23"/>
        <v>4333320</v>
      </c>
      <c r="S29" s="22">
        <f t="shared" ca="1" si="24"/>
        <v>2166670</v>
      </c>
      <c r="T29" s="22">
        <f t="shared" ca="1" si="25"/>
        <v>2166670</v>
      </c>
      <c r="U29" s="22">
        <f ca="1">IF(N30=1,R28*D11*20/36000+R29*D11*10/36000,IF(N30=0,IF(N29=0,0,R29*D11*Q12/36000+R28*D11*20/36000+R29*D11*10/36000)))</f>
        <v>202221.83333333331</v>
      </c>
      <c r="V29" s="22">
        <f ca="1">IF(N30=1,R28*D11*20/36000+R29*D11*10/36000,IF(N30=0,IF(N29=0,0,R29*D11*Q12/36000+R28*D11*20/36000+R29*D11*10/36000)))</f>
        <v>202221.83333333331</v>
      </c>
      <c r="W29" s="22">
        <f t="shared" ca="1" si="26"/>
        <v>455000</v>
      </c>
      <c r="X29" s="22">
        <f t="shared" ca="1" si="27"/>
        <v>455000</v>
      </c>
      <c r="Y29" s="22">
        <f t="shared" ca="1" si="4"/>
        <v>5200000</v>
      </c>
      <c r="Z29" s="22">
        <f ca="1">IF(N30=1,Y28*D$11*20/36000+Y29*D$11*10/36000,IF(N30=0,IF(N29=0,0,Y29*D$11*Q$12/36000+Y28*D$11*20/36000+Y29*D$11*10/36000)))</f>
        <v>242666.66666666666</v>
      </c>
      <c r="AA29" s="22">
        <f t="shared" ca="1" si="5"/>
        <v>242670</v>
      </c>
      <c r="AB29" s="22">
        <f ca="1">IF(R30=0,R29*Q12,(R28*20+R29*10))</f>
        <v>173333000</v>
      </c>
      <c r="AC29" s="22">
        <f t="shared" ca="1" si="28"/>
        <v>208000000</v>
      </c>
      <c r="AD29" s="22">
        <f t="shared" ca="1" si="6"/>
        <v>0</v>
      </c>
      <c r="AE29" s="22">
        <f t="shared" ca="1" si="7"/>
        <v>0</v>
      </c>
      <c r="AF29" s="22">
        <f t="shared" ca="1" si="29"/>
        <v>0</v>
      </c>
      <c r="AG29" s="22">
        <f t="shared" ca="1" si="8"/>
        <v>0</v>
      </c>
      <c r="AH29" s="22">
        <f t="shared" ca="1" si="30"/>
        <v>0</v>
      </c>
      <c r="AI29" s="22">
        <f t="shared" ca="1" si="9"/>
        <v>0</v>
      </c>
      <c r="AJ29" s="22">
        <f t="shared" ca="1" si="10"/>
        <v>4333320</v>
      </c>
      <c r="AK29" s="22">
        <f ca="1">IF(N30=1,AJ28*G12*20/36000+AJ29*G12*10/36000,IF(N30=0,IF(N29=0,0,AJ29*G12*Q12/36000+AJ28*G12*20/36000+AJ29*G12*10/36000)))</f>
        <v>0</v>
      </c>
      <c r="AL29" s="22">
        <f ca="1">IF(N30=1,AJ28*G12*20/36000+AJ29*G12*10/36000,IF(N30=0,IF(N29=0,0,AJ29*G12*Q12/36000+AJ28*G12*20/36000+AJ29*G12*10/36000)))</f>
        <v>0</v>
      </c>
      <c r="AM29" s="69">
        <f t="shared" ca="1" si="31"/>
        <v>6</v>
      </c>
      <c r="AN29" s="69">
        <f t="shared" ca="1" si="11"/>
        <v>6</v>
      </c>
      <c r="AO29" s="4">
        <f t="shared" ca="1" si="32"/>
        <v>2024</v>
      </c>
      <c r="AP29" s="4">
        <f t="shared" ca="1" si="12"/>
        <v>2024</v>
      </c>
      <c r="AQ29" s="4">
        <f t="shared" ca="1" si="13"/>
        <v>1</v>
      </c>
      <c r="AR29" s="4">
        <f t="shared" ca="1" si="14"/>
        <v>30</v>
      </c>
      <c r="AS29" s="4">
        <f t="shared" si="15"/>
        <v>20</v>
      </c>
      <c r="AT29" s="4">
        <f t="shared" ca="1" si="33"/>
        <v>30</v>
      </c>
      <c r="AU29" s="4"/>
      <c r="AV29" s="4"/>
      <c r="AW29" s="4"/>
      <c r="AX29" s="4"/>
      <c r="AY29" s="4"/>
      <c r="AZ29" s="4">
        <f t="shared" ca="1" si="16"/>
        <v>1</v>
      </c>
      <c r="BA29" s="4"/>
      <c r="BB29" s="4"/>
      <c r="BC29" s="4"/>
      <c r="BD29" s="4"/>
      <c r="BE29" s="10"/>
      <c r="BF29" s="19"/>
      <c r="BG29" s="19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</row>
    <row r="30" spans="1:142" s="24" customFormat="1" ht="15" customHeight="1">
      <c r="A30" s="4">
        <f t="shared" si="17"/>
        <v>6</v>
      </c>
      <c r="B30" s="268">
        <f t="shared" ca="1" si="18"/>
        <v>45475</v>
      </c>
      <c r="C30" s="401"/>
      <c r="D30" s="443">
        <f ca="1">IF(N30=0,IF(N29=1,D25+D26+D27+D28+D29," "),IF(N30=0,0,IF(N31=1,D25,IF(N31=0,D10-D25*(M14-1)," "))))</f>
        <v>2166650</v>
      </c>
      <c r="E30" s="443"/>
      <c r="F30" s="84">
        <f ca="1">IF(N30=0,IF(N29=1,F25+F26+F27+F28+F29," "),IF(M1=1,P30,IF(M1=2,Q30," ")))</f>
        <v>131440</v>
      </c>
      <c r="G30" s="84">
        <v>0</v>
      </c>
      <c r="H30" s="84">
        <f t="shared" ca="1" si="19"/>
        <v>2298090</v>
      </c>
      <c r="I30" s="84">
        <f t="shared" ca="1" si="20"/>
        <v>2600000</v>
      </c>
      <c r="J30" s="84">
        <f t="shared" ca="1" si="0"/>
        <v>157730</v>
      </c>
      <c r="K30" s="84">
        <v>0</v>
      </c>
      <c r="L30" s="84">
        <f t="shared" ca="1" si="21"/>
        <v>2757730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</v>
      </c>
      <c r="P30" s="22">
        <f t="shared" ca="1" si="2"/>
        <v>131440</v>
      </c>
      <c r="Q30" s="22">
        <f t="shared" ca="1" si="3"/>
        <v>131440</v>
      </c>
      <c r="R30" s="22">
        <f t="shared" ca="1" si="23"/>
        <v>2166650</v>
      </c>
      <c r="S30" s="22">
        <f t="shared" ca="1" si="24"/>
        <v>2166650</v>
      </c>
      <c r="T30" s="22">
        <f t="shared" ca="1" si="25"/>
        <v>2166650</v>
      </c>
      <c r="U30" s="22">
        <f ca="1">IF(N31=1,R29*D11*20/36000+R30*D11*10/36000,IF(N31=0,IF(N30=0,0,R30*D11*Q12/36000+R29*D11*20/36000+R30*D11*10/36000)))</f>
        <v>131443.9</v>
      </c>
      <c r="V30" s="22">
        <f ca="1">IF(N31=1,R29*D11*20/36000+R30*D11*10/36000,IF(N31=0,IF(N30=0,0,R30*D11*Q12/36000+R29*D11*20/36000+R30*D11*10/36000)))</f>
        <v>131443.9</v>
      </c>
      <c r="W30" s="22">
        <f t="shared" ca="1" si="26"/>
        <v>485333.33333333326</v>
      </c>
      <c r="X30" s="22">
        <f t="shared" ca="1" si="27"/>
        <v>485330</v>
      </c>
      <c r="Y30" s="22">
        <f t="shared" ca="1" si="4"/>
        <v>2600000</v>
      </c>
      <c r="Z30" s="22">
        <f ca="1">IF(N31=1,Y29*D$11*20/36000+Y30*D$11*10/36000,IF(N31=0,IF(N30=0,0,Y30*D$11*Q$12/36000+Y29*D$11*20/36000+Y30*D$11*10/36000)))</f>
        <v>157733.33333333334</v>
      </c>
      <c r="AA30" s="22">
        <f t="shared" ca="1" si="5"/>
        <v>157730</v>
      </c>
      <c r="AB30" s="22">
        <f ca="1">IF(R31=0,R30*Q12,(R29*20+R30*10))</f>
        <v>4333300</v>
      </c>
      <c r="AC30" s="22">
        <f t="shared" ca="1" si="28"/>
        <v>0</v>
      </c>
      <c r="AD30" s="22">
        <f t="shared" ca="1" si="6"/>
        <v>0</v>
      </c>
      <c r="AE30" s="22">
        <f t="shared" ca="1" si="7"/>
        <v>0</v>
      </c>
      <c r="AF30" s="22">
        <f t="shared" ca="1" si="29"/>
        <v>0</v>
      </c>
      <c r="AG30" s="22">
        <f t="shared" ca="1" si="8"/>
        <v>0</v>
      </c>
      <c r="AH30" s="22">
        <f t="shared" ca="1" si="30"/>
        <v>0</v>
      </c>
      <c r="AI30" s="22">
        <f t="shared" ca="1" si="9"/>
        <v>0</v>
      </c>
      <c r="AJ30" s="22">
        <f t="shared" ca="1" si="10"/>
        <v>2166650</v>
      </c>
      <c r="AK30" s="22">
        <f ca="1">IF(N31=1,AJ29*G12*20/36000+AJ30*G12*10/36000,IF(N31=0,IF(N30=0,0,AJ30*G12*Q12/36000+AJ29*G12*20/36000+AJ30*G12*10/36000)))</f>
        <v>0</v>
      </c>
      <c r="AL30" s="22">
        <f ca="1">IF(N31=1,AJ29*G12*20/36000+AJ30*G12*10/36000,IF(N31=0,IF(N30=0,0,AJ30*G12*Q12/36000+AJ29*G12*20/36000+AJ30*G12*10/36000)))</f>
        <v>0</v>
      </c>
      <c r="AM30" s="69">
        <f t="shared" ca="1" si="31"/>
        <v>7</v>
      </c>
      <c r="AN30" s="69">
        <f t="shared" ca="1" si="11"/>
        <v>7</v>
      </c>
      <c r="AO30" s="4">
        <f t="shared" ca="1" si="32"/>
        <v>2024</v>
      </c>
      <c r="AP30" s="4">
        <f t="shared" ca="1" si="12"/>
        <v>2024</v>
      </c>
      <c r="AQ30" s="4">
        <f t="shared" ca="1" si="13"/>
        <v>1</v>
      </c>
      <c r="AR30" s="4">
        <f t="shared" ca="1" si="14"/>
        <v>30</v>
      </c>
      <c r="AS30" s="4">
        <f t="shared" si="15"/>
        <v>20</v>
      </c>
      <c r="AT30" s="4">
        <f t="shared" ca="1" si="33"/>
        <v>30</v>
      </c>
      <c r="AU30" s="4"/>
      <c r="AV30" s="4"/>
      <c r="AW30" s="4"/>
      <c r="AX30" s="4"/>
      <c r="AY30" s="4"/>
      <c r="AZ30" s="4">
        <f t="shared" ca="1" si="16"/>
        <v>1</v>
      </c>
      <c r="BA30" s="4"/>
      <c r="BB30" s="4"/>
      <c r="BC30" s="4"/>
      <c r="BD30" s="4"/>
      <c r="BE30" s="10"/>
      <c r="BF30" s="19"/>
      <c r="BG30" s="19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</row>
    <row r="31" spans="1:142" s="24" customFormat="1" ht="15" customHeight="1">
      <c r="A31" s="19">
        <f t="shared" si="17"/>
        <v>7</v>
      </c>
      <c r="B31" s="268" t="str">
        <f t="shared" ca="1" si="18"/>
        <v>ИТОГО</v>
      </c>
      <c r="C31" s="401"/>
      <c r="D31" s="443">
        <f ca="1">IF(N31=0,IF(N30=1,D25+D26+D27+D28+D29+D30," "),IF(N31=0," ",IF(N32=1,D25,IF(N32=0,D10-D25*(M14-1)," "))))</f>
        <v>13000000</v>
      </c>
      <c r="E31" s="443"/>
      <c r="F31" s="84">
        <f ca="1">IF(N31=0,IF(N30=1,F25+F26+F27+F28+F29+F30," "),IF(M1=1,P31,IF(M1=2,Q31," ")))</f>
        <v>1804820</v>
      </c>
      <c r="G31" s="84">
        <v>0</v>
      </c>
      <c r="H31" s="84">
        <f t="shared" ca="1" si="19"/>
        <v>14804820</v>
      </c>
      <c r="I31" s="84">
        <f t="shared" ca="1" si="20"/>
        <v>0</v>
      </c>
      <c r="J31" s="84">
        <f t="shared" ca="1" si="0"/>
        <v>0</v>
      </c>
      <c r="K31" s="84">
        <v>0</v>
      </c>
      <c r="L31" s="84" t="str">
        <f t="shared" ca="1" si="21"/>
        <v xml:space="preserve"> </v>
      </c>
      <c r="M31" s="4">
        <f t="shared" si="22"/>
        <v>7</v>
      </c>
      <c r="N31" s="4">
        <f ca="1">IF(M1=1,IF(M14&gt;6,1,0),IF(M1=2,IF(M14&gt;6,1,0),0))</f>
        <v>0</v>
      </c>
      <c r="O31" s="4">
        <f t="shared" ca="1" si="1"/>
        <v>20</v>
      </c>
      <c r="P31" s="22">
        <f t="shared" ca="1" si="2"/>
        <v>0</v>
      </c>
      <c r="Q31" s="22">
        <f t="shared" ca="1" si="3"/>
        <v>0</v>
      </c>
      <c r="R31" s="22">
        <f t="shared" ca="1" si="23"/>
        <v>0</v>
      </c>
      <c r="S31" s="22">
        <f t="shared" ca="1" si="24"/>
        <v>13000000</v>
      </c>
      <c r="T31" s="22">
        <f t="shared" ca="1" si="25"/>
        <v>13000000</v>
      </c>
      <c r="U31" s="22">
        <f ca="1">IF(N32=1,R30*D$11*20/36000+R31*D$11*10/36000,IF(N32=0,IF(N31=0,0,IF(D$16&gt;20,R30*D$11*20/36000+R31*D$11*(Q$12-20)/36000,R31*D$11*Q$12/36000))))</f>
        <v>0</v>
      </c>
      <c r="V31" s="22">
        <f ca="1">IF(N32=1,R30*D11*20/36000+R31*D11*10/36000,IF(N32=0,IF(N31=0,0,IF(D16&gt;20,R30*D$11*20/36000+R31*D$11*(Q$12-20)/36000,R31*D$11*Q$12/36000))))</f>
        <v>0</v>
      </c>
      <c r="W31" s="22">
        <f t="shared" ca="1" si="26"/>
        <v>0</v>
      </c>
      <c r="X31" s="22">
        <f t="shared" ca="1" si="27"/>
        <v>0</v>
      </c>
      <c r="Y31" s="22">
        <f t="shared" ca="1" si="4"/>
        <v>0</v>
      </c>
      <c r="Z31" s="22">
        <f ca="1">IF(N32=1,Y30*D$11*20/36000+Y31*D$11*10/36000,IF(N32=0,IF(N31=0,0,IF(D$16&gt;20,Y30*D$11*20/36000+Y31*D$11*(Q$12-20)/36000,Y31*D$11*Q$12/36000))))</f>
        <v>0</v>
      </c>
      <c r="AA31" s="22">
        <f t="shared" ca="1" si="5"/>
        <v>0</v>
      </c>
      <c r="AB31" s="22">
        <f ca="1">IF(R32=0,R31*Q12,(R30*20+R31*10))</f>
        <v>0</v>
      </c>
      <c r="AC31" s="22">
        <f t="shared" ca="1" si="28"/>
        <v>0</v>
      </c>
      <c r="AD31" s="22">
        <f t="shared" ca="1" si="6"/>
        <v>0</v>
      </c>
      <c r="AE31" s="22">
        <f t="shared" ca="1" si="7"/>
        <v>0</v>
      </c>
      <c r="AF31" s="22">
        <f t="shared" ca="1" si="29"/>
        <v>0</v>
      </c>
      <c r="AG31" s="22">
        <f t="shared" ca="1" si="8"/>
        <v>0</v>
      </c>
      <c r="AH31" s="22">
        <f t="shared" ca="1" si="30"/>
        <v>0</v>
      </c>
      <c r="AI31" s="22">
        <f t="shared" ca="1" si="9"/>
        <v>0</v>
      </c>
      <c r="AJ31" s="22">
        <f t="shared" ca="1" si="10"/>
        <v>0</v>
      </c>
      <c r="AK31" s="22">
        <f ca="1">IF(N32=1,AJ30*G$12*20/36000+AJ31*G$12*10/36000,IF(N32=0,IF(N31=0,0,AJ31*G$12*Q$12/36000)))</f>
        <v>0</v>
      </c>
      <c r="AL31" s="22">
        <f ca="1">IF(N32=1,AJ30*G$12*20/36000+AJ31*G$12*10/36000,IF(N32=0,IF(N31=0,0,AJ31*G$12*Q$12/36000)))</f>
        <v>0</v>
      </c>
      <c r="AM31" s="69">
        <f t="shared" ca="1" si="31"/>
        <v>0</v>
      </c>
      <c r="AN31" s="69">
        <f t="shared" ca="1" si="11"/>
        <v>0</v>
      </c>
      <c r="AO31" s="4">
        <f t="shared" ca="1" si="32"/>
        <v>0</v>
      </c>
      <c r="AP31" s="4">
        <f t="shared" ca="1" si="12"/>
        <v>0</v>
      </c>
      <c r="AQ31" s="4">
        <f t="shared" ca="1" si="13"/>
        <v>0</v>
      </c>
      <c r="AR31" s="4">
        <f t="shared" ca="1" si="14"/>
        <v>30</v>
      </c>
      <c r="AS31" s="4">
        <f t="shared" si="15"/>
        <v>20</v>
      </c>
      <c r="AT31" s="4">
        <f t="shared" ca="1" si="33"/>
        <v>30</v>
      </c>
      <c r="AU31" s="4"/>
      <c r="AV31" s="4"/>
      <c r="AW31" s="4"/>
      <c r="AX31" s="4"/>
      <c r="AY31" s="4"/>
      <c r="AZ31" s="4">
        <f t="shared" ca="1" si="16"/>
        <v>0</v>
      </c>
      <c r="BA31" s="4"/>
      <c r="BB31" s="4"/>
      <c r="BC31" s="4"/>
      <c r="BD31" s="4"/>
      <c r="BE31" s="10"/>
      <c r="BF31" s="19"/>
      <c r="BG31" s="19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</row>
    <row r="32" spans="1:142" s="24" customFormat="1" ht="15" customHeight="1">
      <c r="A32" s="4">
        <f t="shared" si="17"/>
        <v>8</v>
      </c>
      <c r="B32" s="268" t="str">
        <f t="shared" ca="1" si="18"/>
        <v xml:space="preserve"> </v>
      </c>
      <c r="C32" s="401"/>
      <c r="D32" s="443" t="str">
        <f ca="1">IF(N32=0,IF(N31=1,D25+D26+D27+D28+D29+D30+D31," "),IF(N32=0," ",IF(N33=1,D25,IF(N33=0,D10-D25*(M14-1)," "))))</f>
        <v xml:space="preserve"> </v>
      </c>
      <c r="E32" s="443"/>
      <c r="F32" s="84" t="str">
        <f ca="1">IF(N32=0,IF(N31=1,F25+F26+F27+F28+F29+F30+F31," "),IF(M1=1,P32,IF(M1=2,Q32," ")))</f>
        <v xml:space="preserve"> </v>
      </c>
      <c r="G32" s="84">
        <v>0</v>
      </c>
      <c r="H32" s="84" t="str">
        <f t="shared" ca="1" si="19"/>
        <v xml:space="preserve"> </v>
      </c>
      <c r="I32" s="84">
        <f t="shared" ca="1" si="20"/>
        <v>0</v>
      </c>
      <c r="J32" s="84">
        <f t="shared" ca="1" si="0"/>
        <v>0</v>
      </c>
      <c r="K32" s="84">
        <v>0</v>
      </c>
      <c r="L32" s="84" t="str">
        <f t="shared" ca="1" si="21"/>
        <v xml:space="preserve"> </v>
      </c>
      <c r="M32" s="4">
        <f t="shared" si="22"/>
        <v>8</v>
      </c>
      <c r="N32" s="4">
        <f ca="1">IF(M1=1,IF(M14&gt;7,1,0),IF(M1=2,IF(M14&gt;7,1,0),0))</f>
        <v>0</v>
      </c>
      <c r="O32" s="4">
        <f t="shared" ca="1" si="1"/>
        <v>20</v>
      </c>
      <c r="P32" s="22">
        <f t="shared" ca="1" si="2"/>
        <v>0</v>
      </c>
      <c r="Q32" s="22">
        <f t="shared" ca="1" si="3"/>
        <v>0</v>
      </c>
      <c r="R32" s="22">
        <f t="shared" ca="1" si="23"/>
        <v>0</v>
      </c>
      <c r="S32" s="22" t="str">
        <f t="shared" ca="1" si="24"/>
        <v xml:space="preserve"> </v>
      </c>
      <c r="T32" s="22" t="e">
        <f t="shared" ca="1" si="25"/>
        <v>#VALUE!</v>
      </c>
      <c r="U32" s="22">
        <f ca="1">IF(N33=1,R31*D11*20/36000+R32*D11*10/36000,IF(N33=0,IF(N32=0,0,R32*D11*Q12/36000+R31*D11*20/36000+R32*D11*10/36000)))</f>
        <v>0</v>
      </c>
      <c r="V32" s="22">
        <f ca="1">IF(N33=1,R31*D11*20/36000+R32*D11*10/36000,IF(N33=0,IF(N32=0,0,R32*D11*Q12/36000+R31*D11*20/36000+R32*D11*10/36000)))</f>
        <v>0</v>
      </c>
      <c r="W32" s="22">
        <f t="shared" ca="1" si="26"/>
        <v>0</v>
      </c>
      <c r="X32" s="22">
        <f t="shared" ca="1" si="27"/>
        <v>0</v>
      </c>
      <c r="Y32" s="22">
        <f t="shared" ca="1" si="4"/>
        <v>0</v>
      </c>
      <c r="Z32" s="22">
        <f ca="1">IF(N33=1,Y31*D$11*20/36000+Y32*D$11*10/36000,IF(N33=0,IF(N32=0,0,Y32*D$11*Q$12/36000+Y31*D$11*20/36000+Y32*D$11*10/36000)))</f>
        <v>0</v>
      </c>
      <c r="AA32" s="22">
        <f t="shared" ca="1" si="5"/>
        <v>0</v>
      </c>
      <c r="AB32" s="22">
        <f ca="1">IF(R33=0,R32*Q12,(R31*20+R32*10))</f>
        <v>0</v>
      </c>
      <c r="AC32" s="22">
        <f t="shared" ca="1" si="28"/>
        <v>0</v>
      </c>
      <c r="AD32" s="22">
        <f t="shared" ca="1" si="6"/>
        <v>0</v>
      </c>
      <c r="AE32" s="22">
        <f t="shared" ca="1" si="7"/>
        <v>0</v>
      </c>
      <c r="AF32" s="22">
        <f t="shared" ca="1" si="29"/>
        <v>0</v>
      </c>
      <c r="AG32" s="22">
        <f t="shared" ca="1" si="8"/>
        <v>0</v>
      </c>
      <c r="AH32" s="22">
        <f t="shared" ca="1" si="30"/>
        <v>0</v>
      </c>
      <c r="AI32" s="22">
        <f t="shared" ca="1" si="9"/>
        <v>0</v>
      </c>
      <c r="AJ32" s="22">
        <f t="shared" ca="1" si="10"/>
        <v>0</v>
      </c>
      <c r="AK32" s="22">
        <f ca="1">IF(N33=1,AJ31*G12*20/36000+AJ32*G12*10/36000,IF(N33=0,IF(N32=0,0,AJ32*G12*Q12/36000+AJ31*G12*20/36000+AJ32*G12*10/36000)))</f>
        <v>0</v>
      </c>
      <c r="AL32" s="22">
        <f ca="1">IF(N33=1,AJ31*G12*20/36000+AJ32*G12*10/36000,IF(N33=0,IF(N32=0,0,AJ32*G12*Q12/36000+AJ31*G12*20/36000+AJ32*G12*10/36000)))</f>
        <v>0</v>
      </c>
      <c r="AM32" s="69">
        <f t="shared" ca="1" si="31"/>
        <v>0</v>
      </c>
      <c r="AN32" s="69">
        <f t="shared" ca="1" si="11"/>
        <v>0</v>
      </c>
      <c r="AO32" s="4">
        <f t="shared" ca="1" si="32"/>
        <v>0</v>
      </c>
      <c r="AP32" s="4">
        <f t="shared" ca="1" si="12"/>
        <v>0</v>
      </c>
      <c r="AQ32" s="4">
        <f t="shared" ca="1" si="13"/>
        <v>0</v>
      </c>
      <c r="AR32" s="4">
        <f t="shared" ca="1" si="14"/>
        <v>30</v>
      </c>
      <c r="AS32" s="4">
        <f t="shared" si="15"/>
        <v>20</v>
      </c>
      <c r="AT32" s="4">
        <f t="shared" ca="1" si="33"/>
        <v>30</v>
      </c>
      <c r="AU32" s="4"/>
      <c r="AV32" s="4"/>
      <c r="AW32" s="4"/>
      <c r="AX32" s="4"/>
      <c r="AY32" s="4"/>
      <c r="AZ32" s="4">
        <f t="shared" ca="1" si="16"/>
        <v>0</v>
      </c>
      <c r="BA32" s="4"/>
      <c r="BB32" s="4"/>
      <c r="BC32" s="4"/>
      <c r="BD32" s="4"/>
      <c r="BE32" s="10"/>
      <c r="BF32" s="19"/>
      <c r="BG32" s="19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</row>
    <row r="33" spans="1:142" s="24" customFormat="1" ht="15" customHeight="1">
      <c r="A33" s="4">
        <f t="shared" si="17"/>
        <v>9</v>
      </c>
      <c r="B33" s="268" t="str">
        <f t="shared" ca="1" si="18"/>
        <v xml:space="preserve"> </v>
      </c>
      <c r="C33" s="401"/>
      <c r="D33" s="443" t="str">
        <f ca="1">IF(N33=0,IF(N32=1,D25+D26+D27+D28+D29+D30+D31+D32," "),IF(N33=0," ",IF(N34=1,D25,IF(N34=0,D10-D25*(M14-1)," "))))</f>
        <v xml:space="preserve"> </v>
      </c>
      <c r="E33" s="443"/>
      <c r="F33" s="84" t="str">
        <f ca="1">IF(N33=0,IF(N32=1,F25+F26+F27+F28+F29+F30+F31+F32," "),IF(M1=1,P33,IF(M1=2,Q33," ")))</f>
        <v xml:space="preserve"> </v>
      </c>
      <c r="G33" s="84">
        <v>0</v>
      </c>
      <c r="H33" s="84" t="str">
        <f t="shared" ca="1" si="19"/>
        <v xml:space="preserve"> </v>
      </c>
      <c r="I33" s="84">
        <f t="shared" ca="1" si="20"/>
        <v>0</v>
      </c>
      <c r="J33" s="84">
        <f t="shared" ca="1" si="0"/>
        <v>0</v>
      </c>
      <c r="K33" s="84">
        <v>0</v>
      </c>
      <c r="L33" s="84" t="str">
        <f t="shared" ca="1" si="21"/>
        <v xml:space="preserve"> </v>
      </c>
      <c r="M33" s="4">
        <f t="shared" si="22"/>
        <v>9</v>
      </c>
      <c r="N33" s="4">
        <f ca="1">IF(M1=1,IF(M14&gt;8,1,0),IF(M1=2,IF(M14&gt;8,1,0),0))</f>
        <v>0</v>
      </c>
      <c r="O33" s="4">
        <f t="shared" ca="1" si="1"/>
        <v>20</v>
      </c>
      <c r="P33" s="22">
        <f t="shared" ca="1" si="2"/>
        <v>0</v>
      </c>
      <c r="Q33" s="22">
        <f t="shared" ca="1" si="3"/>
        <v>0</v>
      </c>
      <c r="R33" s="22">
        <f t="shared" ca="1" si="23"/>
        <v>0</v>
      </c>
      <c r="S33" s="22" t="str">
        <f t="shared" ca="1" si="24"/>
        <v xml:space="preserve"> </v>
      </c>
      <c r="T33" s="22" t="e">
        <f t="shared" ca="1" si="25"/>
        <v>#VALUE!</v>
      </c>
      <c r="U33" s="22">
        <f ca="1">IF(N34=1,R32*D11*20/36000+R33*D11*10/36000,IF(N34=0,IF(N33=0,0,R33*D11*Q12/36000+R32*D11*20/36000+R33*D11*10/36000)))</f>
        <v>0</v>
      </c>
      <c r="V33" s="22">
        <f ca="1">IF(N34=1,R32*D11*20/36000+R33*D11*10/36000,IF(N34=0,IF(N33=0,0,R33*D11*Q12/36000+R32*D11*20/36000+R33*D11*10/36000)))</f>
        <v>0</v>
      </c>
      <c r="W33" s="22">
        <f t="shared" ca="1" si="26"/>
        <v>0</v>
      </c>
      <c r="X33" s="22">
        <f t="shared" ca="1" si="27"/>
        <v>0</v>
      </c>
      <c r="Y33" s="22">
        <f t="shared" ca="1" si="4"/>
        <v>0</v>
      </c>
      <c r="Z33" s="22">
        <f ca="1">IF(N34=1,Y32*D$11*20/36000+Y33*D$11*10/36000,IF(N34=0,IF(N33=0,0,Y33*D$11*Q$12/36000+Y32*D$11*20/36000+Y33*D$11*10/36000)))</f>
        <v>0</v>
      </c>
      <c r="AA33" s="22">
        <f t="shared" ca="1" si="5"/>
        <v>0</v>
      </c>
      <c r="AB33" s="22">
        <f ca="1">IF(R34=0,R33*Q12,(R32*20+R33*10))</f>
        <v>0</v>
      </c>
      <c r="AC33" s="22">
        <f t="shared" ca="1" si="28"/>
        <v>0</v>
      </c>
      <c r="AD33" s="22">
        <f t="shared" ca="1" si="6"/>
        <v>0</v>
      </c>
      <c r="AE33" s="22">
        <f t="shared" ca="1" si="7"/>
        <v>0</v>
      </c>
      <c r="AF33" s="22">
        <f t="shared" ca="1" si="29"/>
        <v>0</v>
      </c>
      <c r="AG33" s="22">
        <f t="shared" ca="1" si="8"/>
        <v>0</v>
      </c>
      <c r="AH33" s="22">
        <f t="shared" ca="1" si="30"/>
        <v>0</v>
      </c>
      <c r="AI33" s="22">
        <f t="shared" ca="1" si="9"/>
        <v>0</v>
      </c>
      <c r="AJ33" s="22">
        <f t="shared" ca="1" si="10"/>
        <v>0</v>
      </c>
      <c r="AK33" s="22">
        <f ca="1">IF(N34=1,AJ32*G12*20/36000+AJ33*G12*10/36000,IF(N34=0,IF(N33=0,0,AJ33*G12*Q12/36000+AJ32*G12*20/36000+AJ33*G12*10/36000)))</f>
        <v>0</v>
      </c>
      <c r="AL33" s="22">
        <f ca="1">IF(N34=1,AJ32*G12*20/36000+AJ33*G12*10/36000,IF(N34=0,IF(N33=0,0,AJ33*G12*Q12/36000+AJ32*G12*20/36000+AJ33*G12*10/36000)))</f>
        <v>0</v>
      </c>
      <c r="AM33" s="69">
        <f t="shared" ca="1" si="31"/>
        <v>0</v>
      </c>
      <c r="AN33" s="69">
        <f t="shared" ca="1" si="11"/>
        <v>0</v>
      </c>
      <c r="AO33" s="4">
        <f t="shared" ca="1" si="32"/>
        <v>0</v>
      </c>
      <c r="AP33" s="4">
        <f t="shared" ca="1" si="12"/>
        <v>0</v>
      </c>
      <c r="AQ33" s="4">
        <f t="shared" ca="1" si="13"/>
        <v>0</v>
      </c>
      <c r="AR33" s="4">
        <f t="shared" ca="1" si="14"/>
        <v>30</v>
      </c>
      <c r="AS33" s="4">
        <f t="shared" si="15"/>
        <v>20</v>
      </c>
      <c r="AT33" s="4">
        <f t="shared" ca="1" si="33"/>
        <v>30</v>
      </c>
      <c r="AU33" s="4"/>
      <c r="AV33" s="4"/>
      <c r="AW33" s="4"/>
      <c r="AX33" s="4"/>
      <c r="AY33" s="4"/>
      <c r="AZ33" s="4">
        <f t="shared" ca="1" si="16"/>
        <v>0</v>
      </c>
      <c r="BA33" s="4"/>
      <c r="BB33" s="4"/>
      <c r="BC33" s="4"/>
      <c r="BD33" s="4"/>
      <c r="BE33" s="10"/>
      <c r="BF33" s="19"/>
      <c r="BG33" s="19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</row>
    <row r="34" spans="1:142" s="24" customFormat="1" ht="15" customHeight="1">
      <c r="A34" s="4">
        <f t="shared" si="17"/>
        <v>10</v>
      </c>
      <c r="B34" s="268" t="str">
        <f t="shared" ca="1" si="18"/>
        <v xml:space="preserve"> </v>
      </c>
      <c r="C34" s="401"/>
      <c r="D34" s="443" t="str">
        <f ca="1">IF(N34=0,IF(N33=1,D25+D26+D27+D28+D29+D30+D31+D32+D33," "),IF(N34=0," ",IF(N35=1,D25,IF(N35=0,D10-D25*(M14-1)," "))))</f>
        <v xml:space="preserve"> </v>
      </c>
      <c r="E34" s="443"/>
      <c r="F34" s="84" t="str">
        <f ca="1">IF(N34=0,IF(N33=1,F25+F26+F27+F28+F29+F30+F31+F32+F33," "),IF(M1=1,P34,IF(M1=2,Q34," ")))</f>
        <v xml:space="preserve"> </v>
      </c>
      <c r="G34" s="84">
        <v>0</v>
      </c>
      <c r="H34" s="84" t="str">
        <f t="shared" ca="1" si="19"/>
        <v xml:space="preserve"> </v>
      </c>
      <c r="I34" s="84">
        <f t="shared" ca="1" si="20"/>
        <v>0</v>
      </c>
      <c r="J34" s="84">
        <f t="shared" ca="1" si="0"/>
        <v>0</v>
      </c>
      <c r="K34" s="84">
        <v>0</v>
      </c>
      <c r="L34" s="84" t="str">
        <f t="shared" ca="1" si="21"/>
        <v xml:space="preserve"> </v>
      </c>
      <c r="M34" s="4">
        <f t="shared" si="22"/>
        <v>10</v>
      </c>
      <c r="N34" s="4">
        <f ca="1">IF(M1=1,IF(M14&gt;9,1,0),IF(M1=2,IF(M14&gt;9,1,0),0))</f>
        <v>0</v>
      </c>
      <c r="O34" s="4">
        <f t="shared" ca="1" si="1"/>
        <v>20</v>
      </c>
      <c r="P34" s="22">
        <f t="shared" ca="1" si="2"/>
        <v>0</v>
      </c>
      <c r="Q34" s="22">
        <f t="shared" ca="1" si="3"/>
        <v>0</v>
      </c>
      <c r="R34" s="22">
        <f t="shared" ca="1" si="23"/>
        <v>0</v>
      </c>
      <c r="S34" s="22" t="str">
        <f t="shared" ca="1" si="24"/>
        <v xml:space="preserve"> </v>
      </c>
      <c r="T34" s="22" t="e">
        <f t="shared" ca="1" si="25"/>
        <v>#VALUE!</v>
      </c>
      <c r="U34" s="22">
        <f ca="1">IF(N35=1,R33*D11*20/36000+R34*D11*10/36000,IF(N35=0,IF(N34=0,0,R34*D11*Q12/36000+29*D11*20/36000+R34*D11*10/36000)))</f>
        <v>0</v>
      </c>
      <c r="V34" s="22">
        <f ca="1">IF(N35=1,R33*D11*20/36000+R34*D11*10/36000,IF(N35=0,IF(N34=0,0,R34*D11*Q12/36000+29*D11*20/36000+R34*D11*10/36000)))</f>
        <v>0</v>
      </c>
      <c r="W34" s="22">
        <f t="shared" ca="1" si="26"/>
        <v>0</v>
      </c>
      <c r="X34" s="22">
        <f t="shared" ca="1" si="27"/>
        <v>0</v>
      </c>
      <c r="Y34" s="22">
        <f t="shared" ca="1" si="4"/>
        <v>0</v>
      </c>
      <c r="Z34" s="22">
        <f ca="1">IF(N35=1,Y33*D$11*20/36000+Y34*D$11*10/36000,IF(N35=0,IF(N34=0,0,Y34*D$11*Q$12/36000+Y33*D$11*20/36000+Y34*D$11*10/36000)))</f>
        <v>0</v>
      </c>
      <c r="AA34" s="22">
        <f t="shared" ca="1" si="5"/>
        <v>0</v>
      </c>
      <c r="AB34" s="22">
        <f ca="1">IF(R35=0,R34*Q12,(R33*20+R34*10))</f>
        <v>0</v>
      </c>
      <c r="AC34" s="22">
        <f t="shared" ca="1" si="28"/>
        <v>0</v>
      </c>
      <c r="AD34" s="22">
        <f t="shared" ca="1" si="6"/>
        <v>0</v>
      </c>
      <c r="AE34" s="22">
        <f t="shared" ca="1" si="7"/>
        <v>0</v>
      </c>
      <c r="AF34" s="22">
        <f t="shared" ca="1" si="29"/>
        <v>0</v>
      </c>
      <c r="AG34" s="22">
        <f t="shared" ca="1" si="8"/>
        <v>0</v>
      </c>
      <c r="AH34" s="22">
        <f t="shared" ca="1" si="30"/>
        <v>0</v>
      </c>
      <c r="AI34" s="22">
        <f t="shared" ca="1" si="9"/>
        <v>0</v>
      </c>
      <c r="AJ34" s="22">
        <f t="shared" ca="1" si="10"/>
        <v>0</v>
      </c>
      <c r="AK34" s="22">
        <f ca="1">IF(N35=1,AJ33*G12*20/36000+AJ34*G12*10/36000,IF(N35=0,IF(N34=0,0,AJ34*G12*Q12/36000+29*G12*20/36000+AJ34*G12*10/36000)))</f>
        <v>0</v>
      </c>
      <c r="AL34" s="22">
        <f ca="1">IF(N35=1,AJ33*G12*20/36000+AJ34*G12*10/36000,IF(N35=0,IF(N34=0,0,AJ34*G12*Q12/36000+29*G12*20/36000+AJ34*G12*10/36000)))</f>
        <v>0</v>
      </c>
      <c r="AM34" s="69">
        <f t="shared" ca="1" si="31"/>
        <v>0</v>
      </c>
      <c r="AN34" s="69">
        <f t="shared" ca="1" si="11"/>
        <v>0</v>
      </c>
      <c r="AO34" s="4">
        <f t="shared" ca="1" si="32"/>
        <v>0</v>
      </c>
      <c r="AP34" s="4">
        <f t="shared" ca="1" si="12"/>
        <v>0</v>
      </c>
      <c r="AQ34" s="4">
        <f t="shared" ca="1" si="13"/>
        <v>0</v>
      </c>
      <c r="AR34" s="4">
        <f t="shared" ca="1" si="14"/>
        <v>30</v>
      </c>
      <c r="AS34" s="4">
        <f t="shared" si="15"/>
        <v>20</v>
      </c>
      <c r="AT34" s="4">
        <f t="shared" ca="1" si="33"/>
        <v>30</v>
      </c>
      <c r="AU34" s="4"/>
      <c r="AV34" s="4"/>
      <c r="AW34" s="4"/>
      <c r="AX34" s="4"/>
      <c r="AY34" s="4"/>
      <c r="AZ34" s="4">
        <f t="shared" ca="1" si="16"/>
        <v>0</v>
      </c>
      <c r="BA34" s="4"/>
      <c r="BB34" s="4"/>
      <c r="BC34" s="4"/>
      <c r="BD34" s="4"/>
      <c r="BE34" s="10"/>
      <c r="BF34" s="19"/>
      <c r="BG34" s="19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</row>
    <row r="35" spans="1:142" s="24" customFormat="1" ht="15" customHeight="1">
      <c r="A35" s="4">
        <f t="shared" si="17"/>
        <v>11</v>
      </c>
      <c r="B35" s="268" t="str">
        <f t="shared" ca="1" si="18"/>
        <v xml:space="preserve"> </v>
      </c>
      <c r="C35" s="401"/>
      <c r="D35" s="443" t="str">
        <f ca="1">IF(N35=0,IF(N34=1,D25+D26+D27+D28+D29+D30+D31+D32+D33+D34," "),IF(N35=0," ",IF(N36=1,D25,IF(N36=0,D10-D25*(M14-1)," "))))</f>
        <v xml:space="preserve"> </v>
      </c>
      <c r="E35" s="443"/>
      <c r="F35" s="84" t="str">
        <f ca="1">IF(N35=0,IF(N34=1,F25+F26+F27+F28+F29+F30+F31+F32+F33+F34," "),IF(M1=1,P35,IF(M1=2,Q35," ")))</f>
        <v xml:space="preserve"> </v>
      </c>
      <c r="G35" s="84">
        <v>0</v>
      </c>
      <c r="H35" s="84" t="str">
        <f t="shared" ca="1" si="19"/>
        <v xml:space="preserve"> </v>
      </c>
      <c r="I35" s="84">
        <f t="shared" ca="1" si="20"/>
        <v>0</v>
      </c>
      <c r="J35" s="84">
        <f t="shared" ca="1" si="0"/>
        <v>0</v>
      </c>
      <c r="K35" s="84">
        <v>0</v>
      </c>
      <c r="L35" s="84" t="str">
        <f t="shared" ca="1" si="21"/>
        <v xml:space="preserve"> </v>
      </c>
      <c r="M35" s="4">
        <f t="shared" si="22"/>
        <v>11</v>
      </c>
      <c r="N35" s="4">
        <f ca="1">IF(M1=1,IF(M14&gt;10,1,0),IF(M1=2,IF(M14&gt;10,1,0),0))</f>
        <v>0</v>
      </c>
      <c r="O35" s="4">
        <f t="shared" ca="1" si="1"/>
        <v>20</v>
      </c>
      <c r="P35" s="22">
        <f t="shared" ca="1" si="2"/>
        <v>0</v>
      </c>
      <c r="Q35" s="22">
        <f t="shared" ca="1" si="3"/>
        <v>0</v>
      </c>
      <c r="R35" s="22">
        <f t="shared" ca="1" si="23"/>
        <v>0</v>
      </c>
      <c r="S35" s="22" t="str">
        <f t="shared" ca="1" si="24"/>
        <v xml:space="preserve"> </v>
      </c>
      <c r="T35" s="22" t="e">
        <f t="shared" ca="1" si="25"/>
        <v>#VALUE!</v>
      </c>
      <c r="U35" s="22">
        <f ca="1">IF(N36=1,R34*D11*20/36000+R35*D11*10/36000,IF(N36=0,IF(N35=0,0,R35*D11*Q12/36000+R34*D11*20/36000+R35*D11*10/36000)))</f>
        <v>0</v>
      </c>
      <c r="V35" s="22">
        <f ca="1">IF(N36=1,R34*D11*20/36000+R35*D11*10/36000,IF(N36=0,IF(N35=0,0,R35*D11*Q12/36000+R34*D11*20/36000+R35*D11*10/36000)))</f>
        <v>0</v>
      </c>
      <c r="W35" s="22">
        <f t="shared" ca="1" si="26"/>
        <v>0</v>
      </c>
      <c r="X35" s="22">
        <f t="shared" ca="1" si="27"/>
        <v>0</v>
      </c>
      <c r="Y35" s="22">
        <f t="shared" ca="1" si="4"/>
        <v>0</v>
      </c>
      <c r="Z35" s="22">
        <f ca="1">IF(N36=1,Y34*D$11*20/36000+Y35*D$11*10/36000,IF(N36=0,IF(N35=0,0,Y35*D$11*Q$12/36000+Y34*D$11*20/36000+Y35*D$11*10/36000)))</f>
        <v>0</v>
      </c>
      <c r="AA35" s="22">
        <f t="shared" ca="1" si="5"/>
        <v>0</v>
      </c>
      <c r="AB35" s="22">
        <f ca="1">IF(R36=0,R35*Q12,(R34*20+R35*10))</f>
        <v>0</v>
      </c>
      <c r="AC35" s="22"/>
      <c r="AD35" s="22">
        <f t="shared" ca="1" si="6"/>
        <v>0</v>
      </c>
      <c r="AE35" s="22">
        <f t="shared" ca="1" si="7"/>
        <v>0</v>
      </c>
      <c r="AF35" s="22">
        <f t="shared" ca="1" si="29"/>
        <v>0</v>
      </c>
      <c r="AG35" s="22">
        <f t="shared" ca="1" si="8"/>
        <v>0</v>
      </c>
      <c r="AH35" s="22">
        <f t="shared" ca="1" si="30"/>
        <v>0</v>
      </c>
      <c r="AI35" s="22">
        <f t="shared" ca="1" si="9"/>
        <v>0</v>
      </c>
      <c r="AJ35" s="22">
        <f t="shared" ca="1" si="10"/>
        <v>0</v>
      </c>
      <c r="AK35" s="22">
        <f ca="1">IF(N36=1,AJ34*G12*20/36000+AJ35*G12*10/36000,IF(N36=0,IF(N35=0,0,AJ35*G12*Q12/36000+AJ34*G12*20/36000+AJ35*G12*10/36000)))</f>
        <v>0</v>
      </c>
      <c r="AL35" s="22">
        <f ca="1">IF(N36=1,AJ34*G12*20/36000+AJ35*G12*10/36000,IF(N36=0,IF(N35=0,0,AJ35*G12*Q12/36000+AJ34*G12*20/36000+AJ35*G12*10/36000)))</f>
        <v>0</v>
      </c>
      <c r="AM35" s="69">
        <f t="shared" ca="1" si="31"/>
        <v>0</v>
      </c>
      <c r="AN35" s="69">
        <f t="shared" ca="1" si="11"/>
        <v>0</v>
      </c>
      <c r="AO35" s="4">
        <f t="shared" ca="1" si="32"/>
        <v>0</v>
      </c>
      <c r="AP35" s="4">
        <f t="shared" ca="1" si="12"/>
        <v>0</v>
      </c>
      <c r="AQ35" s="4">
        <f t="shared" ca="1" si="13"/>
        <v>0</v>
      </c>
      <c r="AR35" s="4">
        <f t="shared" ca="1" si="14"/>
        <v>30</v>
      </c>
      <c r="AS35" s="4">
        <f t="shared" si="15"/>
        <v>20</v>
      </c>
      <c r="AT35" s="4">
        <f t="shared" ca="1" si="33"/>
        <v>30</v>
      </c>
      <c r="AU35" s="4"/>
      <c r="AV35" s="4"/>
      <c r="AW35" s="4"/>
      <c r="AX35" s="4"/>
      <c r="AY35" s="4"/>
      <c r="AZ35" s="4">
        <f t="shared" ca="1" si="16"/>
        <v>0</v>
      </c>
      <c r="BA35" s="4"/>
      <c r="BB35" s="4"/>
      <c r="BC35" s="4"/>
      <c r="BD35" s="4"/>
      <c r="BE35" s="10"/>
      <c r="BF35" s="19"/>
      <c r="BG35" s="19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</row>
    <row r="36" spans="1:142" s="24" customFormat="1" ht="15" customHeight="1">
      <c r="A36" s="4">
        <f t="shared" si="17"/>
        <v>12</v>
      </c>
      <c r="B36" s="268" t="str">
        <f t="shared" ca="1" si="18"/>
        <v xml:space="preserve"> </v>
      </c>
      <c r="C36" s="401"/>
      <c r="D36" s="443" t="str">
        <f ca="1">IF(N36=0,IF(N35=1,D25+D26+D27+D28+D29+D30+D31+D32+D33+D34+D35," "),IF(N36=0," ",IF(N37=1,D25,IF(N37=0,D10-D25*(M14-1)," "))))</f>
        <v xml:space="preserve"> </v>
      </c>
      <c r="E36" s="443"/>
      <c r="F36" s="84" t="str">
        <f ca="1">IF(N36=0,IF(N35=1,F25+F26+F27+F28+F29+F30+F31+F32+F33+F34+F35," "),IF(M1=1,P36,IF(M1=2,Q36," ")))</f>
        <v xml:space="preserve"> </v>
      </c>
      <c r="G36" s="84">
        <v>0</v>
      </c>
      <c r="H36" s="84" t="str">
        <f t="shared" ca="1" si="19"/>
        <v xml:space="preserve"> </v>
      </c>
      <c r="I36" s="84">
        <f t="shared" ca="1" si="20"/>
        <v>0</v>
      </c>
      <c r="J36" s="84">
        <f t="shared" ca="1" si="0"/>
        <v>0</v>
      </c>
      <c r="K36" s="84">
        <v>0</v>
      </c>
      <c r="L36" s="84" t="str">
        <f t="shared" ca="1" si="21"/>
        <v xml:space="preserve"> </v>
      </c>
      <c r="M36" s="4">
        <f t="shared" si="22"/>
        <v>12</v>
      </c>
      <c r="N36" s="4">
        <f ca="1">IF(M1=1,IF(M14&gt;11,1,0),IF(M1=2,IF(M14&gt;11,1,0),0))</f>
        <v>0</v>
      </c>
      <c r="O36" s="4">
        <f t="shared" ca="1" si="1"/>
        <v>20</v>
      </c>
      <c r="P36" s="22">
        <f t="shared" ca="1" si="2"/>
        <v>0</v>
      </c>
      <c r="Q36" s="22">
        <f t="shared" ca="1" si="3"/>
        <v>0</v>
      </c>
      <c r="R36" s="22">
        <f t="shared" ca="1" si="23"/>
        <v>0</v>
      </c>
      <c r="S36" s="22" t="str">
        <f t="shared" ca="1" si="24"/>
        <v xml:space="preserve"> </v>
      </c>
      <c r="T36" s="22" t="e">
        <f t="shared" ca="1" si="25"/>
        <v>#VALUE!</v>
      </c>
      <c r="U36" s="22">
        <f ca="1">IF(N37=1,R35*D11*20/36000+R36*D11*10/36000,IF(N37=0,IF(N36=0,0,R36*D11*Q12/36000+R35*D11*20/36000+R36*D11*10/36000)))</f>
        <v>0</v>
      </c>
      <c r="V36" s="22">
        <f ca="1">IF(N37=1,R35*D11*20/36000+R36*D11*10/36000,IF(N37=0,IF(N36=0,0,R36*D11*Q12/36000+R35*D11*20/36000+R36*D11*10/36000)))</f>
        <v>0</v>
      </c>
      <c r="W36" s="22">
        <f t="shared" ca="1" si="26"/>
        <v>0</v>
      </c>
      <c r="X36" s="22">
        <f t="shared" ca="1" si="27"/>
        <v>0</v>
      </c>
      <c r="Y36" s="22">
        <f t="shared" ca="1" si="4"/>
        <v>0</v>
      </c>
      <c r="Z36" s="22">
        <f ca="1">IF(N37=1,Y35*D$11*20/36000+Y36*D$11*10/36000,IF(N37=0,IF(N36=0,0,Y36*D$11*Q$12/36000+Y35*D$11*20/36000+Y36*D$11*10/36000)))</f>
        <v>0</v>
      </c>
      <c r="AA36" s="22">
        <f t="shared" ca="1" si="5"/>
        <v>0</v>
      </c>
      <c r="AB36" s="22">
        <f ca="1">IF(R37=0,R36*Q12,(R35*20+R36*10))</f>
        <v>0</v>
      </c>
      <c r="AC36" s="22"/>
      <c r="AD36" s="22">
        <f t="shared" ca="1" si="6"/>
        <v>0</v>
      </c>
      <c r="AE36" s="22">
        <f t="shared" ca="1" si="7"/>
        <v>0</v>
      </c>
      <c r="AF36" s="22">
        <f t="shared" ca="1" si="29"/>
        <v>0</v>
      </c>
      <c r="AG36" s="22">
        <f t="shared" ca="1" si="8"/>
        <v>0</v>
      </c>
      <c r="AH36" s="22">
        <f t="shared" ca="1" si="30"/>
        <v>0</v>
      </c>
      <c r="AI36" s="22">
        <f t="shared" ca="1" si="9"/>
        <v>0</v>
      </c>
      <c r="AJ36" s="22">
        <f t="shared" ca="1" si="10"/>
        <v>0</v>
      </c>
      <c r="AK36" s="22">
        <f ca="1">IF(N37=1,AJ35*G12*20/36000+AJ36*G12*10/36000,IF(N37=0,IF(N36=0,0,AJ36*G12*Q12/36000+AJ35*G12*20/36000+AJ36*G12*10/36000)))</f>
        <v>0</v>
      </c>
      <c r="AL36" s="22">
        <f ca="1">IF(N37=1,AJ35*G12*20/36000+AJ36*G12*10/36000,IF(N37=0,IF(N36=0,0,AJ36*G12*Q12/36000+AJ35*G12*20/36000+AJ36*G12*10/36000)))</f>
        <v>0</v>
      </c>
      <c r="AM36" s="69">
        <f t="shared" ca="1" si="31"/>
        <v>0</v>
      </c>
      <c r="AN36" s="69">
        <f t="shared" ca="1" si="11"/>
        <v>0</v>
      </c>
      <c r="AO36" s="4">
        <f t="shared" ca="1" si="32"/>
        <v>0</v>
      </c>
      <c r="AP36" s="4">
        <f t="shared" ca="1" si="12"/>
        <v>0</v>
      </c>
      <c r="AQ36" s="4">
        <f t="shared" ca="1" si="13"/>
        <v>0</v>
      </c>
      <c r="AR36" s="4">
        <f t="shared" ca="1" si="14"/>
        <v>30</v>
      </c>
      <c r="AS36" s="4">
        <f t="shared" si="15"/>
        <v>20</v>
      </c>
      <c r="AT36" s="4">
        <f t="shared" ca="1" si="33"/>
        <v>30</v>
      </c>
      <c r="AU36" s="4"/>
      <c r="AV36" s="4"/>
      <c r="AW36" s="4"/>
      <c r="AX36" s="4"/>
      <c r="AY36" s="4"/>
      <c r="AZ36" s="4">
        <f t="shared" ca="1" si="16"/>
        <v>0</v>
      </c>
      <c r="BA36" s="4"/>
      <c r="BB36" s="4"/>
      <c r="BC36" s="4"/>
      <c r="BD36" s="4"/>
      <c r="BE36" s="10"/>
      <c r="BF36" s="19"/>
      <c r="BG36" s="19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</row>
    <row r="37" spans="1:142" s="24" customFormat="1" ht="15" customHeight="1">
      <c r="A37" s="19">
        <f t="shared" si="17"/>
        <v>13</v>
      </c>
      <c r="B37" s="268" t="str">
        <f t="shared" ca="1" si="18"/>
        <v xml:space="preserve"> </v>
      </c>
      <c r="C37" s="401"/>
      <c r="D37" s="443" t="str">
        <f ca="1">IF(N37=0,IF(N36=1,D25+D26+D27+D28+D29+D30+D31+D32+D33+D34+D35+D36," "),IF(N37=0," ",IF(N38=1,D25,IF(N38=0,D10-D25*(M14-1)," "))))</f>
        <v xml:space="preserve"> </v>
      </c>
      <c r="E37" s="443"/>
      <c r="F37" s="84" t="str">
        <f ca="1">IF(N37=0,IF(N36=1,F25+F26+F27+F28+F29+F30+F31+F32+F33+F34+F35+F36," "),IF(M1=1,P37,IF(M1=2,Q37," ")))</f>
        <v xml:space="preserve"> </v>
      </c>
      <c r="G37" s="84">
        <v>0</v>
      </c>
      <c r="H37" s="84" t="str">
        <f t="shared" ca="1" si="19"/>
        <v xml:space="preserve"> </v>
      </c>
      <c r="I37" s="84">
        <f t="shared" ca="1" si="20"/>
        <v>0</v>
      </c>
      <c r="J37" s="84">
        <f t="shared" ca="1" si="0"/>
        <v>0</v>
      </c>
      <c r="K37" s="84">
        <v>0</v>
      </c>
      <c r="L37" s="84" t="str">
        <f t="shared" ca="1" si="21"/>
        <v xml:space="preserve"> </v>
      </c>
      <c r="M37" s="4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2">
        <f t="shared" ca="1" si="2"/>
        <v>0</v>
      </c>
      <c r="Q37" s="22">
        <f t="shared" ca="1" si="3"/>
        <v>0</v>
      </c>
      <c r="R37" s="22">
        <f t="shared" ca="1" si="23"/>
        <v>0</v>
      </c>
      <c r="S37" s="22" t="str">
        <f t="shared" ca="1" si="24"/>
        <v xml:space="preserve"> </v>
      </c>
      <c r="T37" s="22" t="e">
        <f t="shared" ca="1" si="25"/>
        <v>#VALUE!</v>
      </c>
      <c r="U37" s="22">
        <f ca="1">IF(N38=1,R36*D$11*20/36000+R37*D$11*10/36000,IF(N38=0,IF(N37=0,0,IF(D16&gt;20,R36*D$11*20/36000+R37*D$11*(Q$12-20)/36000,R37*D$11*Q$12/36000))))</f>
        <v>0</v>
      </c>
      <c r="V37" s="22">
        <f ca="1">IF(N38=1,R36*D$11*20/36000+R37*D$11*10/36000,IF(N38=0,IF(N37=0,0,IF(D16&gt;20,R36*D$11*20/36000+R37*D$11*(Q$12-20)/36000,R37*D$11*Q$12/36000))))</f>
        <v>0</v>
      </c>
      <c r="W37" s="22">
        <f t="shared" ca="1" si="26"/>
        <v>0</v>
      </c>
      <c r="X37" s="22">
        <f t="shared" ca="1" si="27"/>
        <v>0</v>
      </c>
      <c r="Y37" s="22">
        <f t="shared" ca="1" si="4"/>
        <v>0</v>
      </c>
      <c r="Z37" s="22">
        <f ca="1">IF(N38=1,Y36*D$11*20/36000+Y37*D$11*10/36000,IF(N38=0,IF(N37=0,0,IF(D$16&gt;20,Y36*D$11*20/36000+Y37*D$11*(Q$12-20)/36000,Y37*D$11*Q$12/36000))))</f>
        <v>0</v>
      </c>
      <c r="AA37" s="22">
        <f t="shared" ca="1" si="5"/>
        <v>0</v>
      </c>
      <c r="AB37" s="22">
        <f ca="1">IF(R38=0,R37*Q12,(R36*20+R37*10))</f>
        <v>0</v>
      </c>
      <c r="AC37" s="22"/>
      <c r="AD37" s="22">
        <f t="shared" ca="1" si="6"/>
        <v>0</v>
      </c>
      <c r="AE37" s="22">
        <f t="shared" ca="1" si="7"/>
        <v>0</v>
      </c>
      <c r="AF37" s="22">
        <f t="shared" ca="1" si="29"/>
        <v>0</v>
      </c>
      <c r="AG37" s="22">
        <f t="shared" ca="1" si="8"/>
        <v>0</v>
      </c>
      <c r="AH37" s="22">
        <f t="shared" ca="1" si="30"/>
        <v>0</v>
      </c>
      <c r="AI37" s="22">
        <f t="shared" ca="1" si="9"/>
        <v>0</v>
      </c>
      <c r="AJ37" s="22">
        <f t="shared" ca="1" si="10"/>
        <v>0</v>
      </c>
      <c r="AK37" s="22">
        <f ca="1">IF(N38=1,AJ36*G12*20/36000+AJ37*G12*10/36000,IF(N38=0,IF(N37=0,0,AJ37*G12*Q12/36000)))</f>
        <v>0</v>
      </c>
      <c r="AL37" s="22">
        <f ca="1">IF(N38=1,AJ36*G12*20/36000+AJ37*G12*10/36000,IF(N38=0,IF(N37=0,0,AJ37*G12*Q12/36000)))</f>
        <v>0</v>
      </c>
      <c r="AM37" s="69">
        <f t="shared" ca="1" si="31"/>
        <v>0</v>
      </c>
      <c r="AN37" s="69">
        <f t="shared" ca="1" si="11"/>
        <v>0</v>
      </c>
      <c r="AO37" s="4">
        <f t="shared" ca="1" si="32"/>
        <v>0</v>
      </c>
      <c r="AP37" s="4">
        <f t="shared" ca="1" si="12"/>
        <v>0</v>
      </c>
      <c r="AQ37" s="4">
        <f t="shared" ca="1" si="13"/>
        <v>0</v>
      </c>
      <c r="AR37" s="4">
        <f t="shared" ca="1" si="14"/>
        <v>30</v>
      </c>
      <c r="AS37" s="4">
        <f t="shared" si="15"/>
        <v>20</v>
      </c>
      <c r="AT37" s="4">
        <f t="shared" ca="1" si="33"/>
        <v>30</v>
      </c>
      <c r="AU37" s="4"/>
      <c r="AV37" s="4"/>
      <c r="AW37" s="4"/>
      <c r="AX37" s="4"/>
      <c r="AY37" s="4"/>
      <c r="AZ37" s="4">
        <f t="shared" ca="1" si="16"/>
        <v>0</v>
      </c>
      <c r="BA37" s="4"/>
      <c r="BB37" s="4"/>
      <c r="BC37" s="4"/>
      <c r="BD37" s="4"/>
      <c r="BE37" s="10"/>
      <c r="BF37" s="19"/>
      <c r="BG37" s="19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</row>
    <row r="38" spans="1:142" s="24" customFormat="1" ht="15" customHeight="1">
      <c r="A38" s="4">
        <f t="shared" si="17"/>
        <v>14</v>
      </c>
      <c r="B38" s="268" t="str">
        <f t="shared" ca="1" si="18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9"/>
        <v xml:space="preserve"> </v>
      </c>
      <c r="I38" s="84">
        <f t="shared" ca="1" si="20"/>
        <v>0</v>
      </c>
      <c r="J38" s="84">
        <f t="shared" ca="1" si="0"/>
        <v>0</v>
      </c>
      <c r="K38" s="84">
        <v>0</v>
      </c>
      <c r="L38" s="84" t="str">
        <f t="shared" ca="1" si="21"/>
        <v xml:space="preserve"> </v>
      </c>
      <c r="M38" s="4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2">
        <f t="shared" ca="1" si="2"/>
        <v>0</v>
      </c>
      <c r="Q38" s="22">
        <f t="shared" ca="1" si="3"/>
        <v>0</v>
      </c>
      <c r="R38" s="22">
        <f t="shared" ca="1" si="23"/>
        <v>0</v>
      </c>
      <c r="S38" s="22" t="str">
        <f t="shared" ca="1" si="24"/>
        <v xml:space="preserve"> </v>
      </c>
      <c r="T38" s="22" t="e">
        <f t="shared" ca="1" si="25"/>
        <v>#VALUE!</v>
      </c>
      <c r="U38" s="22">
        <f ca="1">IF(N39=1,R37*D11*20/36000+R38*D11*10/36000,IF(N39=0,IF(N38=0,0,R38*D11*Q12/36000+R37*D11*20/36000+R38*D11*10/36000)))</f>
        <v>0</v>
      </c>
      <c r="V38" s="22">
        <f ca="1">IF(N39=1,R37*D11*20/36000+R38*D11*10/36000,IF(N39=0,IF(N38=0,0,R38*D11*Q12/36000+R37*D11*20/36000+R38*D11*10/36000)))</f>
        <v>0</v>
      </c>
      <c r="W38" s="22">
        <f t="shared" ca="1" si="26"/>
        <v>0</v>
      </c>
      <c r="X38" s="22">
        <f t="shared" ca="1" si="27"/>
        <v>0</v>
      </c>
      <c r="Y38" s="22">
        <f t="shared" ca="1" si="4"/>
        <v>0</v>
      </c>
      <c r="Z38" s="22">
        <f ca="1">IF(N39=1,Y37*D$11*20/36000+Y38*D$11*10/36000,IF(N39=0,IF(N38=0,0,Y38*D$11*Q$12/36000+Y37*D$11*20/36000+Y38*D$11*10/36000)))</f>
        <v>0</v>
      </c>
      <c r="AA38" s="22">
        <f t="shared" ca="1" si="5"/>
        <v>0</v>
      </c>
      <c r="AB38" s="22">
        <f ca="1">IF(R39=0,R38*Q12,(R37*20+R38*10))</f>
        <v>0</v>
      </c>
      <c r="AC38" s="22"/>
      <c r="AD38" s="22">
        <f t="shared" ca="1" si="6"/>
        <v>0</v>
      </c>
      <c r="AE38" s="22">
        <f t="shared" ca="1" si="7"/>
        <v>0</v>
      </c>
      <c r="AF38" s="22">
        <f t="shared" ca="1" si="29"/>
        <v>0</v>
      </c>
      <c r="AG38" s="22">
        <f t="shared" ca="1" si="8"/>
        <v>0</v>
      </c>
      <c r="AH38" s="22">
        <f t="shared" ca="1" si="30"/>
        <v>0</v>
      </c>
      <c r="AI38" s="22">
        <f t="shared" ca="1" si="9"/>
        <v>0</v>
      </c>
      <c r="AJ38" s="22">
        <f t="shared" ca="1" si="10"/>
        <v>0</v>
      </c>
      <c r="AK38" s="22">
        <f ca="1">IF(N39=1,AJ37*G12*20/36000+AJ38*G12*10/36000,IF(N39=0,IF(N38=0,0,AJ38*G12*Q12/36000+AJ37*G12*20/36000+AJ38*G12*10/36000)))</f>
        <v>0</v>
      </c>
      <c r="AL38" s="22">
        <f ca="1">IF(N39=1,AJ37*G12*20/36000+AJ38*G12*10/36000,IF(N39=0,IF(N38=0,0,AJ38*G12*Q12/36000+AJ37*G12*20/36000+AJ38*G12*10/36000)))</f>
        <v>0</v>
      </c>
      <c r="AM38" s="69">
        <f t="shared" ca="1" si="31"/>
        <v>0</v>
      </c>
      <c r="AN38" s="69">
        <f t="shared" ca="1" si="11"/>
        <v>0</v>
      </c>
      <c r="AO38" s="4">
        <f t="shared" ca="1" si="32"/>
        <v>0</v>
      </c>
      <c r="AP38" s="4">
        <f t="shared" ca="1" si="12"/>
        <v>0</v>
      </c>
      <c r="AQ38" s="4">
        <f t="shared" ca="1" si="13"/>
        <v>0</v>
      </c>
      <c r="AR38" s="4">
        <f t="shared" ca="1" si="14"/>
        <v>30</v>
      </c>
      <c r="AS38" s="4">
        <f t="shared" si="15"/>
        <v>20</v>
      </c>
      <c r="AT38" s="4">
        <f t="shared" ca="1" si="33"/>
        <v>30</v>
      </c>
      <c r="AU38" s="4"/>
      <c r="AV38" s="4"/>
      <c r="AW38" s="4"/>
      <c r="AX38" s="4"/>
      <c r="AY38" s="4"/>
      <c r="AZ38" s="4">
        <f t="shared" ca="1" si="16"/>
        <v>0</v>
      </c>
      <c r="BA38" s="4"/>
      <c r="BB38" s="4"/>
      <c r="BC38" s="4"/>
      <c r="BD38" s="4"/>
      <c r="BE38" s="10"/>
      <c r="BF38" s="19"/>
      <c r="BG38" s="19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</row>
    <row r="39" spans="1:142" s="24" customFormat="1" ht="15" customHeight="1">
      <c r="A39" s="4">
        <f t="shared" si="17"/>
        <v>15</v>
      </c>
      <c r="B39" s="268" t="str">
        <f t="shared" ca="1" si="18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9"/>
        <v xml:space="preserve"> </v>
      </c>
      <c r="I39" s="84">
        <f t="shared" ca="1" si="20"/>
        <v>0</v>
      </c>
      <c r="J39" s="84">
        <f t="shared" ca="1" si="0"/>
        <v>0</v>
      </c>
      <c r="K39" s="84">
        <v>0</v>
      </c>
      <c r="L39" s="84" t="str">
        <f t="shared" ca="1" si="21"/>
        <v xml:space="preserve"> </v>
      </c>
      <c r="M39" s="4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2">
        <f t="shared" ca="1" si="2"/>
        <v>0</v>
      </c>
      <c r="Q39" s="22">
        <f t="shared" ca="1" si="3"/>
        <v>0</v>
      </c>
      <c r="R39" s="22">
        <f t="shared" ca="1" si="23"/>
        <v>0</v>
      </c>
      <c r="S39" s="22" t="str">
        <f t="shared" ca="1" si="24"/>
        <v xml:space="preserve"> </v>
      </c>
      <c r="T39" s="22" t="e">
        <f t="shared" ca="1" si="25"/>
        <v>#VALUE!</v>
      </c>
      <c r="U39" s="22">
        <f ca="1">IF(N40=1,R38*D11*20/36000+R39*D11*10/36000,IF(N40=0,IF(N39=0,0,R39*D11*Q12/36000+R38*D11*20/36000+R39*D11*10/36000)))</f>
        <v>0</v>
      </c>
      <c r="V39" s="22">
        <f ca="1">IF(N40=1,R38*D11*20/36000+R39*D11*10/36000,IF(N40=0,IF(N39=0,0,R39*D11*Q12/36000+R38*D11*20/36000+R39*D11*10/36000)))</f>
        <v>0</v>
      </c>
      <c r="W39" s="22">
        <f t="shared" ca="1" si="26"/>
        <v>0</v>
      </c>
      <c r="X39" s="22">
        <f t="shared" ca="1" si="27"/>
        <v>0</v>
      </c>
      <c r="Y39" s="22">
        <f t="shared" ca="1" si="4"/>
        <v>0</v>
      </c>
      <c r="Z39" s="22">
        <f ca="1">IF(N40=1,Y38*D$11*20/36000+Y39*D$11*10/36000,IF(N40=0,IF(N39=0,0,Y39*D$11*Q$12/36000+Y38*D$11*20/36000+Y39*D$11*10/36000)))</f>
        <v>0</v>
      </c>
      <c r="AA39" s="22">
        <f t="shared" ca="1" si="5"/>
        <v>0</v>
      </c>
      <c r="AB39" s="22">
        <f ca="1">IF(R40=0,R39*Q12,(R38*20+R39*10))</f>
        <v>0</v>
      </c>
      <c r="AC39" s="22"/>
      <c r="AD39" s="22">
        <f t="shared" ca="1" si="6"/>
        <v>0</v>
      </c>
      <c r="AE39" s="22">
        <f t="shared" ca="1" si="7"/>
        <v>0</v>
      </c>
      <c r="AF39" s="22">
        <f t="shared" ca="1" si="29"/>
        <v>0</v>
      </c>
      <c r="AG39" s="22">
        <f t="shared" ca="1" si="8"/>
        <v>0</v>
      </c>
      <c r="AH39" s="22">
        <f t="shared" ca="1" si="30"/>
        <v>0</v>
      </c>
      <c r="AI39" s="22">
        <f t="shared" ca="1" si="9"/>
        <v>0</v>
      </c>
      <c r="AJ39" s="22">
        <f t="shared" ca="1" si="10"/>
        <v>0</v>
      </c>
      <c r="AK39" s="22">
        <f ca="1">IF(N40=1,AJ38*G12*20/36000+AJ39*G12*10/36000,IF(N40=0,IF(N39=0,0,AJ39*G12*Q12/36000+AJ38*G12*20/36000+AJ39*G12*10/36000)))</f>
        <v>0</v>
      </c>
      <c r="AL39" s="22">
        <f ca="1">IF(N40=1,AJ38*G12*20/36000+AJ39*G12*10/36000,IF(N40=0,IF(N39=0,0,AJ39*G12*Q12/36000+AJ38*G12*20/36000+AJ39*G12*10/36000)))</f>
        <v>0</v>
      </c>
      <c r="AM39" s="69">
        <f t="shared" ca="1" si="31"/>
        <v>0</v>
      </c>
      <c r="AN39" s="69">
        <f t="shared" ca="1" si="11"/>
        <v>0</v>
      </c>
      <c r="AO39" s="4">
        <f t="shared" ca="1" si="32"/>
        <v>0</v>
      </c>
      <c r="AP39" s="4">
        <f t="shared" ca="1" si="12"/>
        <v>0</v>
      </c>
      <c r="AQ39" s="4">
        <f t="shared" ca="1" si="13"/>
        <v>0</v>
      </c>
      <c r="AR39" s="4">
        <f t="shared" ca="1" si="14"/>
        <v>30</v>
      </c>
      <c r="AS39" s="4">
        <f t="shared" si="15"/>
        <v>20</v>
      </c>
      <c r="AT39" s="4">
        <f t="shared" ca="1" si="33"/>
        <v>30</v>
      </c>
      <c r="AU39" s="4"/>
      <c r="AV39" s="4"/>
      <c r="AW39" s="4"/>
      <c r="AX39" s="4"/>
      <c r="AY39" s="4"/>
      <c r="AZ39" s="4">
        <f t="shared" ca="1" si="16"/>
        <v>0</v>
      </c>
      <c r="BA39" s="4"/>
      <c r="BB39" s="4"/>
      <c r="BC39" s="4"/>
      <c r="BD39" s="4"/>
      <c r="BE39" s="10"/>
      <c r="BF39" s="19"/>
      <c r="BG39" s="19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</row>
    <row r="40" spans="1:142" s="24" customFormat="1" ht="15" customHeight="1">
      <c r="A40" s="4">
        <f t="shared" si="17"/>
        <v>16</v>
      </c>
      <c r="B40" s="268" t="str">
        <f t="shared" ca="1" si="18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9"/>
        <v xml:space="preserve"> </v>
      </c>
      <c r="I40" s="84">
        <f t="shared" ca="1" si="20"/>
        <v>0</v>
      </c>
      <c r="J40" s="84">
        <f t="shared" ca="1" si="0"/>
        <v>0</v>
      </c>
      <c r="K40" s="84">
        <v>0</v>
      </c>
      <c r="L40" s="84" t="str">
        <f t="shared" ca="1" si="21"/>
        <v xml:space="preserve"> </v>
      </c>
      <c r="M40" s="4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2">
        <f t="shared" ca="1" si="2"/>
        <v>0</v>
      </c>
      <c r="Q40" s="22">
        <f t="shared" ca="1" si="3"/>
        <v>0</v>
      </c>
      <c r="R40" s="22">
        <f t="shared" ca="1" si="23"/>
        <v>0</v>
      </c>
      <c r="S40" s="22" t="str">
        <f t="shared" ca="1" si="24"/>
        <v xml:space="preserve"> </v>
      </c>
      <c r="T40" s="22" t="e">
        <f t="shared" ca="1" si="25"/>
        <v>#VALUE!</v>
      </c>
      <c r="U40" s="22">
        <f ca="1">IF(N41=1,R39*D11*20/36000+R40*D11*10/36000,IF(N41=0,IF(N40=0,0,R40*D11*Q12/36000+R39*D11*20/36000+R40*D11*10/36000)))</f>
        <v>0</v>
      </c>
      <c r="V40" s="22">
        <f ca="1">IF(N41=1,R39*D11*20/36000+R40*D11*10/36000,IF(N41=0,IF(N40=0,0,R40*D11*Q12/36000+R39*D11*20/36000+R40*D11*10/36000)))</f>
        <v>0</v>
      </c>
      <c r="W40" s="22">
        <f t="shared" ca="1" si="26"/>
        <v>0</v>
      </c>
      <c r="X40" s="22">
        <f t="shared" ca="1" si="27"/>
        <v>0</v>
      </c>
      <c r="Y40" s="22">
        <f t="shared" ca="1" si="4"/>
        <v>0</v>
      </c>
      <c r="Z40" s="22">
        <f ca="1">IF(N41=1,Y39*D$11*20/36000+Y40*D$11*10/36000,IF(N41=0,IF(N40=0,0,Y40*D$11*Q$12/36000+Y39*D$11*20/36000+Y40*D$11*10/36000)))</f>
        <v>0</v>
      </c>
      <c r="AA40" s="22">
        <f t="shared" ca="1" si="5"/>
        <v>0</v>
      </c>
      <c r="AB40" s="22">
        <f ca="1">IF(R41=0,R40*Q12,(R39*20+R40*10))</f>
        <v>0</v>
      </c>
      <c r="AC40" s="22"/>
      <c r="AD40" s="22">
        <f t="shared" ca="1" si="6"/>
        <v>0</v>
      </c>
      <c r="AE40" s="22">
        <f t="shared" ca="1" si="7"/>
        <v>0</v>
      </c>
      <c r="AF40" s="22">
        <f t="shared" ca="1" si="29"/>
        <v>0</v>
      </c>
      <c r="AG40" s="22">
        <f t="shared" ca="1" si="8"/>
        <v>0</v>
      </c>
      <c r="AH40" s="22">
        <f t="shared" ca="1" si="30"/>
        <v>0</v>
      </c>
      <c r="AI40" s="22">
        <f t="shared" ca="1" si="9"/>
        <v>0</v>
      </c>
      <c r="AJ40" s="22">
        <f t="shared" ca="1" si="10"/>
        <v>0</v>
      </c>
      <c r="AK40" s="22">
        <f ca="1">IF(N41=1,AJ39*G12*20/36000+AJ40*G12*10/36000,IF(N41=0,IF(N40=0,0,AJ40*G12*Q12/36000+AJ39*G12*20/36000+AJ40*G12*10/36000)))</f>
        <v>0</v>
      </c>
      <c r="AL40" s="22">
        <f ca="1">IF(N41=1,AJ39*G12*20/36000+AJ40*G12*10/36000,IF(N41=0,IF(N40=0,0,AJ40*G12*Q12/36000+AJ39*G12*20/36000+AJ40*G12*10/36000)))</f>
        <v>0</v>
      </c>
      <c r="AM40" s="69">
        <f t="shared" ca="1" si="31"/>
        <v>0</v>
      </c>
      <c r="AN40" s="69">
        <f t="shared" ca="1" si="11"/>
        <v>0</v>
      </c>
      <c r="AO40" s="4">
        <f t="shared" ca="1" si="32"/>
        <v>0</v>
      </c>
      <c r="AP40" s="4">
        <f t="shared" ca="1" si="12"/>
        <v>0</v>
      </c>
      <c r="AQ40" s="4">
        <f t="shared" ca="1" si="13"/>
        <v>0</v>
      </c>
      <c r="AR40" s="4">
        <f t="shared" ca="1" si="14"/>
        <v>30</v>
      </c>
      <c r="AS40" s="4">
        <f t="shared" si="15"/>
        <v>20</v>
      </c>
      <c r="AT40" s="4">
        <f t="shared" ca="1" si="33"/>
        <v>30</v>
      </c>
      <c r="AU40" s="4"/>
      <c r="AV40" s="4"/>
      <c r="AW40" s="4"/>
      <c r="AX40" s="4"/>
      <c r="AY40" s="4"/>
      <c r="AZ40" s="4">
        <f t="shared" ca="1" si="16"/>
        <v>0</v>
      </c>
      <c r="BA40" s="4"/>
      <c r="BB40" s="4"/>
      <c r="BC40" s="4"/>
      <c r="BD40" s="4"/>
      <c r="BE40" s="10"/>
      <c r="BF40" s="19"/>
      <c r="BG40" s="19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</row>
    <row r="41" spans="1:142" s="24" customFormat="1" ht="15" customHeight="1">
      <c r="A41" s="4">
        <f t="shared" si="17"/>
        <v>17</v>
      </c>
      <c r="B41" s="268" t="str">
        <f t="shared" ca="1" si="18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9"/>
        <v xml:space="preserve"> </v>
      </c>
      <c r="I41" s="84">
        <f t="shared" ca="1" si="20"/>
        <v>0</v>
      </c>
      <c r="J41" s="84">
        <f t="shared" ca="1" si="0"/>
        <v>0</v>
      </c>
      <c r="K41" s="84">
        <v>0</v>
      </c>
      <c r="L41" s="84" t="str">
        <f t="shared" ca="1" si="21"/>
        <v xml:space="preserve"> </v>
      </c>
      <c r="M41" s="4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2">
        <f t="shared" ca="1" si="2"/>
        <v>0</v>
      </c>
      <c r="Q41" s="22">
        <f t="shared" ca="1" si="3"/>
        <v>0</v>
      </c>
      <c r="R41" s="22">
        <f t="shared" ca="1" si="23"/>
        <v>0</v>
      </c>
      <c r="S41" s="22" t="str">
        <f t="shared" ca="1" si="24"/>
        <v xml:space="preserve"> </v>
      </c>
      <c r="T41" s="22" t="e">
        <f t="shared" ca="1" si="25"/>
        <v>#VALUE!</v>
      </c>
      <c r="U41" s="22">
        <f ca="1">IF(N42=1,R40*D11*20/36000+R41*D11*10/36000,IF(N42=0,IF(N41=0,0,R41*D11*Q12/36000+R40*D11*20/36000+R41*D11*10/36000)))</f>
        <v>0</v>
      </c>
      <c r="V41" s="22">
        <f ca="1">IF(N42=1,R40*D11*20/36000+R41*D11*10/36000,IF(N42=0,IF(N41=0,0,R41*D11*Q12/36000+R40*D11*20/36000+R41*D11*10/36000)))</f>
        <v>0</v>
      </c>
      <c r="W41" s="22">
        <f t="shared" ca="1" si="26"/>
        <v>0</v>
      </c>
      <c r="X41" s="22">
        <f t="shared" ca="1" si="27"/>
        <v>0</v>
      </c>
      <c r="Y41" s="22">
        <f t="shared" ca="1" si="4"/>
        <v>0</v>
      </c>
      <c r="Z41" s="22">
        <f ca="1">IF(N42=1,Y40*D$11*20/36000+Y41*D$11*10/36000,IF(N42=0,IF(N41=0,0,Y41*D$11*Q$12/36000+Y40*D$11*20/36000+Y41*D$11*10/36000)))</f>
        <v>0</v>
      </c>
      <c r="AA41" s="22">
        <f t="shared" ca="1" si="5"/>
        <v>0</v>
      </c>
      <c r="AB41" s="22">
        <f ca="1">IF(R42=0,R41*Q12,(R40*20+R41*10))</f>
        <v>0</v>
      </c>
      <c r="AC41" s="22"/>
      <c r="AD41" s="22">
        <f t="shared" ca="1" si="6"/>
        <v>0</v>
      </c>
      <c r="AE41" s="22">
        <f t="shared" ca="1" si="7"/>
        <v>0</v>
      </c>
      <c r="AF41" s="22">
        <f t="shared" ca="1" si="29"/>
        <v>0</v>
      </c>
      <c r="AG41" s="22">
        <f t="shared" ca="1" si="8"/>
        <v>0</v>
      </c>
      <c r="AH41" s="22">
        <f t="shared" ca="1" si="30"/>
        <v>0</v>
      </c>
      <c r="AI41" s="22">
        <f t="shared" ca="1" si="9"/>
        <v>0</v>
      </c>
      <c r="AJ41" s="22">
        <f t="shared" ca="1" si="10"/>
        <v>0</v>
      </c>
      <c r="AK41" s="22">
        <f ca="1">IF(N42=1,AJ40*G12*20/36000+AJ41*G12*10/36000,IF(N42=0,IF(N41=0,0,AJ41*G12*Q12/36000+AJ40*G12*20/36000+AJ41*G12*10/36000)))</f>
        <v>0</v>
      </c>
      <c r="AL41" s="22">
        <f ca="1">IF(N42=1,AJ40*G12*20/36000+AJ41*G12*10/36000,IF(N42=0,IF(N41=0,0,AJ41*G12*Q12/36000+AJ40*G12*20/36000+AJ41*G12*10/36000)))</f>
        <v>0</v>
      </c>
      <c r="AM41" s="69">
        <f t="shared" ca="1" si="31"/>
        <v>0</v>
      </c>
      <c r="AN41" s="69">
        <f t="shared" ca="1" si="11"/>
        <v>0</v>
      </c>
      <c r="AO41" s="4">
        <f t="shared" ca="1" si="32"/>
        <v>0</v>
      </c>
      <c r="AP41" s="4">
        <f t="shared" ca="1" si="12"/>
        <v>0</v>
      </c>
      <c r="AQ41" s="4">
        <f t="shared" ca="1" si="13"/>
        <v>0</v>
      </c>
      <c r="AR41" s="4">
        <f t="shared" ca="1" si="14"/>
        <v>30</v>
      </c>
      <c r="AS41" s="4">
        <f t="shared" si="15"/>
        <v>20</v>
      </c>
      <c r="AT41" s="4">
        <f t="shared" ca="1" si="33"/>
        <v>30</v>
      </c>
      <c r="AU41" s="4"/>
      <c r="AV41" s="4"/>
      <c r="AW41" s="4"/>
      <c r="AX41" s="4"/>
      <c r="AY41" s="4"/>
      <c r="AZ41" s="4">
        <f t="shared" ca="1" si="16"/>
        <v>0</v>
      </c>
      <c r="BA41" s="4"/>
      <c r="BB41" s="4"/>
      <c r="BC41" s="4"/>
      <c r="BD41" s="4"/>
      <c r="BE41" s="10"/>
      <c r="BF41" s="19"/>
      <c r="BG41" s="19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</row>
    <row r="42" spans="1:142" s="24" customFormat="1" ht="15" customHeight="1">
      <c r="A42" s="4">
        <f t="shared" si="17"/>
        <v>18</v>
      </c>
      <c r="B42" s="268" t="str">
        <f t="shared" ca="1" si="18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9"/>
        <v xml:space="preserve"> </v>
      </c>
      <c r="I42" s="84">
        <f t="shared" ca="1" si="20"/>
        <v>0</v>
      </c>
      <c r="J42" s="84">
        <f t="shared" ca="1" si="0"/>
        <v>0</v>
      </c>
      <c r="K42" s="84">
        <v>0</v>
      </c>
      <c r="L42" s="84" t="str">
        <f t="shared" ca="1" si="21"/>
        <v xml:space="preserve"> </v>
      </c>
      <c r="M42" s="4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2">
        <f t="shared" ca="1" si="2"/>
        <v>0</v>
      </c>
      <c r="Q42" s="22">
        <f t="shared" ca="1" si="3"/>
        <v>0</v>
      </c>
      <c r="R42" s="22">
        <f t="shared" ca="1" si="23"/>
        <v>0</v>
      </c>
      <c r="S42" s="22" t="str">
        <f t="shared" ca="1" si="24"/>
        <v xml:space="preserve"> </v>
      </c>
      <c r="T42" s="22" t="e">
        <f t="shared" ca="1" si="25"/>
        <v>#VALUE!</v>
      </c>
      <c r="U42" s="22">
        <f ca="1">IF(N43=1,R41*D11*20/36000+R42*D11*10/36000,IF(N43=0,IF(N42=0,0,R42*D11*Q12/36000+R41*D11*20/36000+R42*D11*10/36000)))</f>
        <v>0</v>
      </c>
      <c r="V42" s="22">
        <f ca="1">IF(N43=1,R41*D11*20/36000+R42*D11*10/36000,IF(N43=0,IF(N42=0,0,R42*D11*Q12/36000+R41*D11*20/36000+R42*D11*10/36000)))</f>
        <v>0</v>
      </c>
      <c r="W42" s="22">
        <f t="shared" ca="1" si="26"/>
        <v>0</v>
      </c>
      <c r="X42" s="22">
        <f t="shared" ca="1" si="27"/>
        <v>0</v>
      </c>
      <c r="Y42" s="22">
        <f t="shared" ca="1" si="4"/>
        <v>0</v>
      </c>
      <c r="Z42" s="22">
        <f ca="1">IF(N43=1,Y41*D$11*20/36000+Y42*D$11*10/36000,IF(N43=0,IF(N42=0,0,Y42*D$11*Q$12/36000+Y41*D$11*20/36000+Y42*D$11*10/36000)))</f>
        <v>0</v>
      </c>
      <c r="AA42" s="22">
        <f t="shared" ca="1" si="5"/>
        <v>0</v>
      </c>
      <c r="AB42" s="22">
        <f ca="1">IF(R43=0,R42*Q12,(R41*20+R42*10))</f>
        <v>0</v>
      </c>
      <c r="AC42" s="22"/>
      <c r="AD42" s="22">
        <f t="shared" ca="1" si="6"/>
        <v>0</v>
      </c>
      <c r="AE42" s="22">
        <f t="shared" ca="1" si="7"/>
        <v>0</v>
      </c>
      <c r="AF42" s="22">
        <f t="shared" ca="1" si="29"/>
        <v>0</v>
      </c>
      <c r="AG42" s="22">
        <f t="shared" ca="1" si="8"/>
        <v>0</v>
      </c>
      <c r="AH42" s="22">
        <f t="shared" ca="1" si="30"/>
        <v>0</v>
      </c>
      <c r="AI42" s="22">
        <f t="shared" ca="1" si="9"/>
        <v>0</v>
      </c>
      <c r="AJ42" s="22">
        <f t="shared" ca="1" si="10"/>
        <v>0</v>
      </c>
      <c r="AK42" s="22">
        <f ca="1">IF(N43=1,AJ41*G12*20/36000+AJ42*G12*10/36000,IF(N43=0,IF(N42=0,0,AJ42*G12*Q12/36000+AJ41*G12*20/36000+AJ42*G12*10/36000)))</f>
        <v>0</v>
      </c>
      <c r="AL42" s="22">
        <f ca="1">IF(N43=1,AJ41*G12*20/36000+AJ42*G12*10/36000,IF(N43=0,IF(N42=0,0,AJ42*G12*Q12/36000+AJ41*G12*20/36000+AJ42*G12*10/36000)))</f>
        <v>0</v>
      </c>
      <c r="AM42" s="69">
        <f t="shared" ca="1" si="31"/>
        <v>0</v>
      </c>
      <c r="AN42" s="69">
        <f t="shared" ca="1" si="11"/>
        <v>0</v>
      </c>
      <c r="AO42" s="4">
        <f t="shared" ca="1" si="32"/>
        <v>0</v>
      </c>
      <c r="AP42" s="4">
        <f t="shared" ca="1" si="12"/>
        <v>0</v>
      </c>
      <c r="AQ42" s="4">
        <f t="shared" ca="1" si="13"/>
        <v>0</v>
      </c>
      <c r="AR42" s="4">
        <f t="shared" ca="1" si="14"/>
        <v>30</v>
      </c>
      <c r="AS42" s="4">
        <f t="shared" si="15"/>
        <v>20</v>
      </c>
      <c r="AT42" s="4">
        <f t="shared" ca="1" si="33"/>
        <v>30</v>
      </c>
      <c r="AU42" s="4"/>
      <c r="AV42" s="4"/>
      <c r="AW42" s="4"/>
      <c r="AX42" s="4"/>
      <c r="AY42" s="4"/>
      <c r="AZ42" s="4">
        <f t="shared" ca="1" si="16"/>
        <v>0</v>
      </c>
      <c r="BA42" s="4"/>
      <c r="BB42" s="4"/>
      <c r="BC42" s="4"/>
      <c r="BD42" s="4"/>
      <c r="BE42" s="10"/>
      <c r="BF42" s="19"/>
      <c r="BG42" s="19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</row>
    <row r="43" spans="1:142" s="24" customFormat="1" ht="15" customHeight="1">
      <c r="A43" s="19">
        <f t="shared" si="17"/>
        <v>19</v>
      </c>
      <c r="B43" s="268" t="str">
        <f t="shared" ca="1" si="18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9"/>
        <v xml:space="preserve"> </v>
      </c>
      <c r="I43" s="84">
        <f t="shared" ca="1" si="20"/>
        <v>0</v>
      </c>
      <c r="J43" s="84">
        <f t="shared" ca="1" si="0"/>
        <v>0</v>
      </c>
      <c r="K43" s="84">
        <v>0</v>
      </c>
      <c r="L43" s="84" t="str">
        <f t="shared" ca="1" si="21"/>
        <v xml:space="preserve"> </v>
      </c>
      <c r="M43" s="4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2">
        <f t="shared" ca="1" si="2"/>
        <v>0</v>
      </c>
      <c r="Q43" s="22">
        <f t="shared" ca="1" si="3"/>
        <v>0</v>
      </c>
      <c r="R43" s="22">
        <f t="shared" ca="1" si="23"/>
        <v>0</v>
      </c>
      <c r="S43" s="22" t="str">
        <f t="shared" ca="1" si="24"/>
        <v xml:space="preserve"> </v>
      </c>
      <c r="T43" s="22" t="e">
        <f t="shared" ca="1" si="25"/>
        <v>#VALUE!</v>
      </c>
      <c r="U43" s="22">
        <f ca="1">IF(N44=1,R42*D$11*20/36000+R43*D$11*10/36000,IF(N44=0,IF(N43=0,0,IF(D16&gt;20,R42*D$11*20/36000+R43*D$11*(Q$12-20)/36000,R43*D$11*Q$12/36000))))</f>
        <v>0</v>
      </c>
      <c r="V43" s="22">
        <f ca="1">IF(N44=1,R42*D$11*20/36000+R43*D$11*10/36000,IF(N44=0,IF(N43=0,0,IF(D16&gt;20,R42*D$11*20/36000+R43*D$11*(Q$12-20)/36000,R43*D$11*Q$12/36000))))</f>
        <v>0</v>
      </c>
      <c r="W43" s="22">
        <f t="shared" ca="1" si="26"/>
        <v>0</v>
      </c>
      <c r="X43" s="22">
        <f t="shared" ca="1" si="27"/>
        <v>0</v>
      </c>
      <c r="Y43" s="22">
        <f t="shared" ca="1" si="4"/>
        <v>0</v>
      </c>
      <c r="Z43" s="22">
        <f ca="1">IF(N44=1,Y42*D$11*20/36000+Y43*D$11*10/36000,IF(N44=0,IF(N43=0,0,IF(D$16&gt;20,Y42*D$11*20/36000+Y43*D$11*(Q$12-20)/36000,Y43*D$11*Q$12/36000))))</f>
        <v>0</v>
      </c>
      <c r="AA43" s="22">
        <f t="shared" ca="1" si="5"/>
        <v>0</v>
      </c>
      <c r="AB43" s="22">
        <f ca="1">IF(R44=0,R43*Q12,(R42*20+R43*10))</f>
        <v>0</v>
      </c>
      <c r="AC43" s="22"/>
      <c r="AD43" s="22">
        <f t="shared" ca="1" si="6"/>
        <v>0</v>
      </c>
      <c r="AE43" s="22">
        <f t="shared" ca="1" si="7"/>
        <v>0</v>
      </c>
      <c r="AF43" s="22">
        <f t="shared" ca="1" si="29"/>
        <v>0</v>
      </c>
      <c r="AG43" s="22">
        <f t="shared" ca="1" si="8"/>
        <v>0</v>
      </c>
      <c r="AH43" s="22">
        <f t="shared" ca="1" si="30"/>
        <v>0</v>
      </c>
      <c r="AI43" s="22">
        <f t="shared" ca="1" si="9"/>
        <v>0</v>
      </c>
      <c r="AJ43" s="22">
        <f t="shared" ca="1" si="10"/>
        <v>0</v>
      </c>
      <c r="AK43" s="22">
        <f ca="1">IF(N44=1,AJ42*G$12*20/36000+AJ43*G$12*10/36000,IF(N44=0,IF(N43=0,0,AJ43*G$12*Q$12/36000)))</f>
        <v>0</v>
      </c>
      <c r="AL43" s="22">
        <f ca="1">IF(N44=1,AJ42*G$12*20/36000+AJ43*G$12*10/36000,IF(N44=0,IF(N43=0,0,AJ43*G$12*Q$12/36000)))</f>
        <v>0</v>
      </c>
      <c r="AM43" s="69">
        <f t="shared" ca="1" si="31"/>
        <v>0</v>
      </c>
      <c r="AN43" s="69">
        <f t="shared" ca="1" si="11"/>
        <v>0</v>
      </c>
      <c r="AO43" s="4">
        <f t="shared" ca="1" si="32"/>
        <v>0</v>
      </c>
      <c r="AP43" s="4">
        <f t="shared" ca="1" si="12"/>
        <v>0</v>
      </c>
      <c r="AQ43" s="4">
        <f t="shared" ca="1" si="13"/>
        <v>0</v>
      </c>
      <c r="AR43" s="4">
        <f t="shared" ca="1" si="14"/>
        <v>30</v>
      </c>
      <c r="AS43" s="4">
        <f t="shared" si="15"/>
        <v>20</v>
      </c>
      <c r="AT43" s="4">
        <f t="shared" ca="1" si="33"/>
        <v>30</v>
      </c>
      <c r="AU43" s="4"/>
      <c r="AV43" s="4"/>
      <c r="AW43" s="4"/>
      <c r="AX43" s="4"/>
      <c r="AY43" s="4"/>
      <c r="AZ43" s="4">
        <f t="shared" ca="1" si="16"/>
        <v>0</v>
      </c>
      <c r="BA43" s="4"/>
      <c r="BB43" s="4"/>
      <c r="BC43" s="4"/>
      <c r="BD43" s="4"/>
      <c r="BE43" s="10"/>
      <c r="BF43" s="19"/>
      <c r="BG43" s="19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</row>
    <row r="44" spans="1:142" s="24" customFormat="1" ht="15" customHeight="1">
      <c r="A44" s="4">
        <f t="shared" si="17"/>
        <v>20</v>
      </c>
      <c r="B44" s="268" t="str">
        <f t="shared" ca="1" si="18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9"/>
        <v xml:space="preserve"> </v>
      </c>
      <c r="I44" s="84">
        <f t="shared" ca="1" si="20"/>
        <v>0</v>
      </c>
      <c r="J44" s="84">
        <f t="shared" ca="1" si="0"/>
        <v>0</v>
      </c>
      <c r="K44" s="84">
        <v>0</v>
      </c>
      <c r="L44" s="84" t="str">
        <f t="shared" ca="1" si="21"/>
        <v xml:space="preserve"> </v>
      </c>
      <c r="M44" s="4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2">
        <f t="shared" ca="1" si="2"/>
        <v>0</v>
      </c>
      <c r="Q44" s="22">
        <f t="shared" ca="1" si="3"/>
        <v>0</v>
      </c>
      <c r="R44" s="22">
        <f t="shared" ca="1" si="23"/>
        <v>0</v>
      </c>
      <c r="S44" s="22" t="str">
        <f t="shared" ca="1" si="24"/>
        <v xml:space="preserve"> </v>
      </c>
      <c r="T44" s="22" t="e">
        <f t="shared" ca="1" si="25"/>
        <v>#VALUE!</v>
      </c>
      <c r="U44" s="22">
        <f ca="1">IF(N45=1,R43*D11*20/36000+R44*D11*10/36000,IF(N45=0,IF(N44=0,0,R44*D11*Q12/36000+R43*D11*20/36000+R44*D11*10/36000)))</f>
        <v>0</v>
      </c>
      <c r="V44" s="22">
        <f ca="1">IF(N45=1,R43*D11*20/36000+R44*D11*10/36000,IF(N45=0,IF(N44=0,0,R44*D11*Q12/36000+R43*D11*20/36000+R44*D11*10/36000)))</f>
        <v>0</v>
      </c>
      <c r="W44" s="22">
        <f t="shared" ca="1" si="26"/>
        <v>0</v>
      </c>
      <c r="X44" s="22">
        <f t="shared" ca="1" si="27"/>
        <v>0</v>
      </c>
      <c r="Y44" s="22">
        <f t="shared" ca="1" si="4"/>
        <v>0</v>
      </c>
      <c r="Z44" s="22">
        <f ca="1">IF(N45=1,Y43*D$11*20/36000+Y44*D$11*10/36000,IF(N45=0,IF(N44=0,0,Y44*D$11*Q$12/36000+Y43*D$11*20/36000+Y44*D$11*10/36000)))</f>
        <v>0</v>
      </c>
      <c r="AA44" s="22">
        <f t="shared" ca="1" si="5"/>
        <v>0</v>
      </c>
      <c r="AB44" s="22">
        <f ca="1">IF(R45=0,R44*Q12,(R43*20+R44*10))</f>
        <v>0</v>
      </c>
      <c r="AC44" s="22"/>
      <c r="AD44" s="22">
        <f t="shared" ca="1" si="6"/>
        <v>0</v>
      </c>
      <c r="AE44" s="22">
        <f t="shared" ca="1" si="7"/>
        <v>0</v>
      </c>
      <c r="AF44" s="22">
        <f t="shared" ca="1" si="29"/>
        <v>0</v>
      </c>
      <c r="AG44" s="22">
        <f t="shared" ca="1" si="8"/>
        <v>0</v>
      </c>
      <c r="AH44" s="22">
        <f t="shared" ca="1" si="30"/>
        <v>0</v>
      </c>
      <c r="AI44" s="22">
        <f t="shared" ca="1" si="9"/>
        <v>0</v>
      </c>
      <c r="AJ44" s="22">
        <f t="shared" ca="1" si="10"/>
        <v>0</v>
      </c>
      <c r="AK44" s="22">
        <f ca="1">IF(N45=1,AJ43*G12*20/36000+AJ44*G12*10/36000,IF(N45=0,IF(N44=0,0,AJ44*G12*Q12/36000+AJ43*G12*20/36000+AJ44*G12*10/36000)))</f>
        <v>0</v>
      </c>
      <c r="AL44" s="22">
        <f ca="1">IF(N45=1,AJ43*G12*20/36000+AJ44*G12*10/36000,IF(N45=0,IF(N44=0,0,AJ44*G12*Q12/36000+AJ43*G12*20/36000+AJ44*G12*10/36000)))</f>
        <v>0</v>
      </c>
      <c r="AM44" s="69">
        <f t="shared" ca="1" si="31"/>
        <v>0</v>
      </c>
      <c r="AN44" s="69">
        <f t="shared" ca="1" si="11"/>
        <v>0</v>
      </c>
      <c r="AO44" s="4">
        <f t="shared" ca="1" si="32"/>
        <v>0</v>
      </c>
      <c r="AP44" s="4">
        <f t="shared" ca="1" si="12"/>
        <v>0</v>
      </c>
      <c r="AQ44" s="4">
        <f t="shared" ca="1" si="13"/>
        <v>0</v>
      </c>
      <c r="AR44" s="4">
        <f t="shared" ca="1" si="14"/>
        <v>30</v>
      </c>
      <c r="AS44" s="4">
        <f t="shared" si="15"/>
        <v>20</v>
      </c>
      <c r="AT44" s="4">
        <f t="shared" ca="1" si="33"/>
        <v>30</v>
      </c>
      <c r="AU44" s="4"/>
      <c r="AV44" s="4"/>
      <c r="AW44" s="4"/>
      <c r="AX44" s="4"/>
      <c r="AY44" s="4"/>
      <c r="AZ44" s="4">
        <f t="shared" ca="1" si="16"/>
        <v>0</v>
      </c>
      <c r="BA44" s="4"/>
      <c r="BB44" s="4"/>
      <c r="BC44" s="4"/>
      <c r="BD44" s="4"/>
      <c r="BE44" s="10"/>
      <c r="BF44" s="19"/>
      <c r="BG44" s="19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</row>
    <row r="45" spans="1:142" s="24" customFormat="1" ht="15" customHeight="1">
      <c r="A45" s="4">
        <f t="shared" si="17"/>
        <v>21</v>
      </c>
      <c r="B45" s="268" t="str">
        <f t="shared" ca="1" si="18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9"/>
        <v xml:space="preserve"> </v>
      </c>
      <c r="I45" s="84">
        <f t="shared" ca="1" si="20"/>
        <v>0</v>
      </c>
      <c r="J45" s="84">
        <f t="shared" ca="1" si="0"/>
        <v>0</v>
      </c>
      <c r="K45" s="84">
        <v>0</v>
      </c>
      <c r="L45" s="84" t="str">
        <f t="shared" ca="1" si="21"/>
        <v xml:space="preserve"> </v>
      </c>
      <c r="M45" s="4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2">
        <f t="shared" ca="1" si="2"/>
        <v>0</v>
      </c>
      <c r="Q45" s="22">
        <f t="shared" ca="1" si="3"/>
        <v>0</v>
      </c>
      <c r="R45" s="22">
        <f t="shared" ca="1" si="23"/>
        <v>0</v>
      </c>
      <c r="S45" s="22" t="str">
        <f t="shared" ca="1" si="24"/>
        <v xml:space="preserve"> </v>
      </c>
      <c r="T45" s="22" t="e">
        <f t="shared" ca="1" si="25"/>
        <v>#VALUE!</v>
      </c>
      <c r="U45" s="22">
        <f ca="1">IF(N46=1,R44*D11*20/36000+R45*D11*10/36000,IF(N46=0,IF(N45=0,0,R45*D11*Q12/36000+R44*D11*20/36000+R45*D11*10/36000)))</f>
        <v>0</v>
      </c>
      <c r="V45" s="22">
        <f ca="1">IF(N46=1,R44*D11*20/36000+R45*D11*10/36000,IF(N46=0,IF(N45=0,0,R45*D11*Q12/36000+R44*D11*20/36000+R45*D11*10/36000)))</f>
        <v>0</v>
      </c>
      <c r="W45" s="22">
        <f t="shared" ca="1" si="26"/>
        <v>0</v>
      </c>
      <c r="X45" s="22">
        <f t="shared" ca="1" si="27"/>
        <v>0</v>
      </c>
      <c r="Y45" s="22">
        <f t="shared" ca="1" si="4"/>
        <v>0</v>
      </c>
      <c r="Z45" s="22">
        <f ca="1">IF(N46=1,Y44*D$11*20/36000+Y45*D$11*10/36000,IF(N46=0,IF(N45=0,0,Y45*D$11*Q$12/36000+Y44*D$11*20/36000+Y45*D$11*10/36000)))</f>
        <v>0</v>
      </c>
      <c r="AA45" s="22">
        <f t="shared" ca="1" si="5"/>
        <v>0</v>
      </c>
      <c r="AB45" s="22">
        <f ca="1">IF(R46=0,R45*Q12,(R44*20+R45*10))</f>
        <v>0</v>
      </c>
      <c r="AC45" s="22"/>
      <c r="AD45" s="22">
        <f t="shared" ca="1" si="6"/>
        <v>0</v>
      </c>
      <c r="AE45" s="22">
        <f t="shared" ca="1" si="7"/>
        <v>0</v>
      </c>
      <c r="AF45" s="22">
        <f t="shared" ca="1" si="29"/>
        <v>0</v>
      </c>
      <c r="AG45" s="22">
        <f t="shared" ca="1" si="8"/>
        <v>0</v>
      </c>
      <c r="AH45" s="22">
        <f t="shared" ca="1" si="30"/>
        <v>0</v>
      </c>
      <c r="AI45" s="22">
        <f t="shared" ca="1" si="9"/>
        <v>0</v>
      </c>
      <c r="AJ45" s="22">
        <f t="shared" ca="1" si="10"/>
        <v>0</v>
      </c>
      <c r="AK45" s="22">
        <f ca="1">IF(N46=1,AJ44*G12*20/36000+AJ45*G12*10/36000,IF(N46=0,IF(N45=0,0,AJ45*G12*Q12/36000+AJ44*G12*20/36000+AJ45*G12*10/36000)))</f>
        <v>0</v>
      </c>
      <c r="AL45" s="22">
        <f ca="1">IF(N46=1,AJ44*G12*20/36000+AJ45*G12*10/36000,IF(N46=0,IF(N45=0,0,AJ45*G12*Q12/36000+AJ44*G12*20/36000+AJ45*G12*10/36000)))</f>
        <v>0</v>
      </c>
      <c r="AM45" s="69">
        <f t="shared" ca="1" si="31"/>
        <v>0</v>
      </c>
      <c r="AN45" s="69">
        <f t="shared" ca="1" si="11"/>
        <v>0</v>
      </c>
      <c r="AO45" s="4">
        <f t="shared" ca="1" si="32"/>
        <v>0</v>
      </c>
      <c r="AP45" s="4">
        <f t="shared" ca="1" si="12"/>
        <v>0</v>
      </c>
      <c r="AQ45" s="4">
        <f t="shared" ca="1" si="13"/>
        <v>0</v>
      </c>
      <c r="AR45" s="4">
        <f t="shared" ca="1" si="14"/>
        <v>30</v>
      </c>
      <c r="AS45" s="4">
        <f t="shared" si="15"/>
        <v>20</v>
      </c>
      <c r="AT45" s="4">
        <f t="shared" ca="1" si="33"/>
        <v>30</v>
      </c>
      <c r="AU45" s="4"/>
      <c r="AV45" s="4"/>
      <c r="AW45" s="4"/>
      <c r="AX45" s="4"/>
      <c r="AY45" s="4"/>
      <c r="AZ45" s="4">
        <f t="shared" ca="1" si="16"/>
        <v>0</v>
      </c>
      <c r="BA45" s="4"/>
      <c r="BB45" s="4"/>
      <c r="BC45" s="4"/>
      <c r="BD45" s="4"/>
      <c r="BE45" s="10"/>
      <c r="BF45" s="19"/>
      <c r="BG45" s="19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</row>
    <row r="46" spans="1:142" s="24" customFormat="1" ht="15" customHeight="1">
      <c r="A46" s="4">
        <f t="shared" si="17"/>
        <v>22</v>
      </c>
      <c r="B46" s="268" t="str">
        <f t="shared" ca="1" si="18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9"/>
        <v xml:space="preserve"> </v>
      </c>
      <c r="I46" s="84">
        <f t="shared" ca="1" si="20"/>
        <v>0</v>
      </c>
      <c r="J46" s="84">
        <f t="shared" ca="1" si="0"/>
        <v>0</v>
      </c>
      <c r="K46" s="84">
        <v>0</v>
      </c>
      <c r="L46" s="84" t="str">
        <f t="shared" ca="1" si="21"/>
        <v xml:space="preserve"> </v>
      </c>
      <c r="M46" s="4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2">
        <f t="shared" ca="1" si="2"/>
        <v>0</v>
      </c>
      <c r="Q46" s="22">
        <f t="shared" ca="1" si="3"/>
        <v>0</v>
      </c>
      <c r="R46" s="22">
        <f t="shared" ca="1" si="23"/>
        <v>0</v>
      </c>
      <c r="S46" s="22" t="str">
        <f t="shared" ca="1" si="24"/>
        <v xml:space="preserve"> </v>
      </c>
      <c r="T46" s="22" t="e">
        <f t="shared" ca="1" si="25"/>
        <v>#VALUE!</v>
      </c>
      <c r="U46" s="22">
        <f ca="1">IF(N47=1,R45*D11*20/36000+R46*D11*10/36000,IF(N47=0,IF(N46=0,0,R46*D11*Q12/36000+R45*D11*20/36000+R46*D11*10/36000)))</f>
        <v>0</v>
      </c>
      <c r="V46" s="22">
        <f ca="1">IF(N47=1,R45*D11*20/36000+R46*D11*10/36000,IF(N47=0,IF(N46=0,0,R46*D11*Q12/36000+R45*D11*20/36000+R46*D11*10/36000)))</f>
        <v>0</v>
      </c>
      <c r="W46" s="22">
        <f t="shared" ca="1" si="26"/>
        <v>0</v>
      </c>
      <c r="X46" s="22">
        <f t="shared" ca="1" si="27"/>
        <v>0</v>
      </c>
      <c r="Y46" s="22">
        <f t="shared" ca="1" si="4"/>
        <v>0</v>
      </c>
      <c r="Z46" s="22">
        <f ca="1">IF(N47=1,Y45*D$11*20/36000+Y46*D$11*10/36000,IF(N47=0,IF(N46=0,0,Y46*D$11*Q$12/36000+Y45*D$11*20/36000+Y46*D$11*10/36000)))</f>
        <v>0</v>
      </c>
      <c r="AA46" s="22">
        <f t="shared" ca="1" si="5"/>
        <v>0</v>
      </c>
      <c r="AB46" s="22">
        <f ca="1">IF(R47=0,R46*Q12,(R45*20+R46*10))</f>
        <v>0</v>
      </c>
      <c r="AC46" s="22"/>
      <c r="AD46" s="22">
        <f t="shared" ca="1" si="6"/>
        <v>0</v>
      </c>
      <c r="AE46" s="22">
        <f t="shared" ca="1" si="7"/>
        <v>0</v>
      </c>
      <c r="AF46" s="22">
        <f t="shared" ca="1" si="29"/>
        <v>0</v>
      </c>
      <c r="AG46" s="22">
        <f t="shared" ca="1" si="8"/>
        <v>0</v>
      </c>
      <c r="AH46" s="22">
        <f t="shared" ca="1" si="30"/>
        <v>0</v>
      </c>
      <c r="AI46" s="22">
        <f t="shared" ca="1" si="9"/>
        <v>0</v>
      </c>
      <c r="AJ46" s="22">
        <f t="shared" ca="1" si="10"/>
        <v>0</v>
      </c>
      <c r="AK46" s="22">
        <f ca="1">IF(N47=1,AJ45*G12*20/36000+AJ46*G12*10/36000,IF(N47=0,IF(N46=0,0,AJ46*G12*Q12/36000+AJ45*G12*20/36000+AJ46*G12*10/36000)))</f>
        <v>0</v>
      </c>
      <c r="AL46" s="22">
        <f ca="1">IF(N47=1,AJ45*G12*20/36000+AJ46*G12*10/36000,IF(N47=0,IF(N46=0,0,AJ46*G12*Q12/36000+AJ45*G12*20/36000+AJ46*G12*10/36000)))</f>
        <v>0</v>
      </c>
      <c r="AM46" s="69">
        <f t="shared" ca="1" si="31"/>
        <v>0</v>
      </c>
      <c r="AN46" s="69">
        <f t="shared" ca="1" si="11"/>
        <v>0</v>
      </c>
      <c r="AO46" s="4">
        <f t="shared" ca="1" si="32"/>
        <v>0</v>
      </c>
      <c r="AP46" s="4">
        <f t="shared" ca="1" si="12"/>
        <v>0</v>
      </c>
      <c r="AQ46" s="4">
        <f t="shared" ca="1" si="13"/>
        <v>0</v>
      </c>
      <c r="AR46" s="4">
        <f t="shared" ca="1" si="14"/>
        <v>30</v>
      </c>
      <c r="AS46" s="4">
        <f t="shared" si="15"/>
        <v>20</v>
      </c>
      <c r="AT46" s="4">
        <f t="shared" ca="1" si="33"/>
        <v>30</v>
      </c>
      <c r="AU46" s="4"/>
      <c r="AV46" s="4"/>
      <c r="AW46" s="4"/>
      <c r="AX46" s="4"/>
      <c r="AY46" s="4"/>
      <c r="AZ46" s="4">
        <f t="shared" ca="1" si="16"/>
        <v>0</v>
      </c>
      <c r="BA46" s="4"/>
      <c r="BB46" s="4"/>
      <c r="BC46" s="4"/>
      <c r="BD46" s="4"/>
      <c r="BE46" s="10"/>
      <c r="BF46" s="19"/>
      <c r="BG46" s="19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</row>
    <row r="47" spans="1:142" s="24" customFormat="1" ht="15" customHeight="1">
      <c r="A47" s="4">
        <f t="shared" si="17"/>
        <v>23</v>
      </c>
      <c r="B47" s="268" t="str">
        <f t="shared" ca="1" si="18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9"/>
        <v xml:space="preserve"> </v>
      </c>
      <c r="I47" s="84">
        <f t="shared" ca="1" si="20"/>
        <v>0</v>
      </c>
      <c r="J47" s="84">
        <f t="shared" ca="1" si="0"/>
        <v>0</v>
      </c>
      <c r="K47" s="84">
        <v>0</v>
      </c>
      <c r="L47" s="84" t="str">
        <f t="shared" ca="1" si="21"/>
        <v xml:space="preserve"> </v>
      </c>
      <c r="M47" s="4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2">
        <f t="shared" ca="1" si="2"/>
        <v>0</v>
      </c>
      <c r="Q47" s="22">
        <f t="shared" ca="1" si="3"/>
        <v>0</v>
      </c>
      <c r="R47" s="22">
        <f t="shared" ca="1" si="23"/>
        <v>0</v>
      </c>
      <c r="S47" s="22" t="str">
        <f t="shared" ca="1" si="24"/>
        <v xml:space="preserve"> </v>
      </c>
      <c r="T47" s="22" t="e">
        <f t="shared" ca="1" si="25"/>
        <v>#VALUE!</v>
      </c>
      <c r="U47" s="22">
        <f ca="1">IF(N48=1,R46*D11*20/36000+R47*D11*10/36000,IF(N48=0,IF(N47=0,0,R47*D11*Q12/36000+R46*D11*20/36000+R47*D11*10/36000)))</f>
        <v>0</v>
      </c>
      <c r="V47" s="22">
        <f ca="1">IF(N48=1,R46*D11*20/36000+R47*D11*10/36000,IF(N48=0,IF(N47=0,0,R47*D11*Q12/36000+R46*D11*20/36000+R47*D11*10/36000)))</f>
        <v>0</v>
      </c>
      <c r="W47" s="22">
        <f t="shared" ca="1" si="26"/>
        <v>0</v>
      </c>
      <c r="X47" s="22">
        <f t="shared" ca="1" si="27"/>
        <v>0</v>
      </c>
      <c r="Y47" s="22">
        <f t="shared" ca="1" si="4"/>
        <v>0</v>
      </c>
      <c r="Z47" s="22">
        <f ca="1">IF(N48=1,Y46*D$11*20/36000+Y47*D$11*10/36000,IF(N48=0,IF(N47=0,0,Y47*D$11*Q$12/36000+Y46*D$11*20/36000+Y47*D$11*10/36000)))</f>
        <v>0</v>
      </c>
      <c r="AA47" s="22">
        <f t="shared" ca="1" si="5"/>
        <v>0</v>
      </c>
      <c r="AB47" s="22">
        <f ca="1">IF(R48=0,R47*Q12,(R46*20+R47*10))</f>
        <v>0</v>
      </c>
      <c r="AC47" s="22"/>
      <c r="AD47" s="22">
        <f t="shared" ca="1" si="6"/>
        <v>0</v>
      </c>
      <c r="AE47" s="22">
        <f t="shared" ca="1" si="7"/>
        <v>0</v>
      </c>
      <c r="AF47" s="22">
        <f t="shared" ca="1" si="29"/>
        <v>0</v>
      </c>
      <c r="AG47" s="22">
        <f t="shared" ca="1" si="8"/>
        <v>0</v>
      </c>
      <c r="AH47" s="22">
        <f t="shared" ca="1" si="30"/>
        <v>0</v>
      </c>
      <c r="AI47" s="22">
        <f t="shared" ca="1" si="9"/>
        <v>0</v>
      </c>
      <c r="AJ47" s="22">
        <f t="shared" ca="1" si="10"/>
        <v>0</v>
      </c>
      <c r="AK47" s="22">
        <f ca="1">IF(N48=1,AJ46*G12*20/36000+AJ47*G12*10/36000,IF(N48=0,IF(N47=0,0,AJ47*G12*Q12/36000+AJ46*G12*20/36000+AJ47*G12*10/36000)))</f>
        <v>0</v>
      </c>
      <c r="AL47" s="22">
        <f ca="1">IF(N48=1,AJ46*G12*20/36000+AJ47*G12*10/36000,IF(N48=0,IF(N47=0,0,AJ47*G12*Q12/36000+AJ46*G12*20/36000+AJ47*G12*10/36000)))</f>
        <v>0</v>
      </c>
      <c r="AM47" s="69">
        <f t="shared" ca="1" si="31"/>
        <v>0</v>
      </c>
      <c r="AN47" s="69">
        <f t="shared" ca="1" si="11"/>
        <v>0</v>
      </c>
      <c r="AO47" s="4">
        <f t="shared" ca="1" si="32"/>
        <v>0</v>
      </c>
      <c r="AP47" s="4">
        <f t="shared" ca="1" si="12"/>
        <v>0</v>
      </c>
      <c r="AQ47" s="4">
        <f t="shared" ca="1" si="13"/>
        <v>0</v>
      </c>
      <c r="AR47" s="4">
        <f t="shared" ca="1" si="14"/>
        <v>30</v>
      </c>
      <c r="AS47" s="4">
        <f t="shared" si="15"/>
        <v>20</v>
      </c>
      <c r="AT47" s="4">
        <f t="shared" ca="1" si="33"/>
        <v>30</v>
      </c>
      <c r="AU47" s="4"/>
      <c r="AV47" s="4"/>
      <c r="AW47" s="4"/>
      <c r="AX47" s="4"/>
      <c r="AY47" s="4"/>
      <c r="AZ47" s="4">
        <f t="shared" ca="1" si="16"/>
        <v>0</v>
      </c>
      <c r="BA47" s="4"/>
      <c r="BB47" s="4"/>
      <c r="BC47" s="4"/>
      <c r="BD47" s="4"/>
      <c r="BE47" s="10"/>
      <c r="BF47" s="19"/>
      <c r="BG47" s="19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</row>
    <row r="48" spans="1:142" s="24" customFormat="1" ht="15" customHeight="1">
      <c r="A48" s="4">
        <f t="shared" si="17"/>
        <v>24</v>
      </c>
      <c r="B48" s="268" t="str">
        <f t="shared" ca="1" si="18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9"/>
        <v xml:space="preserve"> </v>
      </c>
      <c r="I48" s="84">
        <f t="shared" ca="1" si="20"/>
        <v>0</v>
      </c>
      <c r="J48" s="84">
        <f t="shared" ca="1" si="0"/>
        <v>0</v>
      </c>
      <c r="K48" s="84">
        <v>0</v>
      </c>
      <c r="L48" s="84" t="str">
        <f t="shared" ca="1" si="21"/>
        <v xml:space="preserve"> </v>
      </c>
      <c r="M48" s="4">
        <f t="shared" si="22"/>
        <v>24</v>
      </c>
      <c r="N48" s="4">
        <f t="shared" ref="N48:N85" ca="1" si="34">IF(M$1=1,IF(M$14&gt;M47,1,0),IF(M$1=2,IF(M$14&gt;M47,1,0),0))</f>
        <v>0</v>
      </c>
      <c r="O48" s="4">
        <f t="shared" ca="1" si="1"/>
        <v>20</v>
      </c>
      <c r="P48" s="22">
        <f t="shared" ca="1" si="2"/>
        <v>0</v>
      </c>
      <c r="Q48" s="22">
        <f t="shared" ca="1" si="3"/>
        <v>0</v>
      </c>
      <c r="R48" s="22">
        <f t="shared" ca="1" si="23"/>
        <v>0</v>
      </c>
      <c r="S48" s="22" t="str">
        <f t="shared" ca="1" si="24"/>
        <v xml:space="preserve"> </v>
      </c>
      <c r="T48" s="22" t="e">
        <f t="shared" ca="1" si="25"/>
        <v>#VALUE!</v>
      </c>
      <c r="U48" s="22">
        <f ca="1">IF(N49=1,R47*D$11*20/36000+R48*D$11*10/36000,IF(N49=0,IF(N48=0,0,R48*D$11*Q$12/36000+R47*D$11*20/36000+R48*D$11*10/36000)))</f>
        <v>0</v>
      </c>
      <c r="V48" s="22">
        <f ca="1">IF(N49=1,R47*D$11*20/36000+R48*D$11*10/36000,IF(N49=0,IF(N48=0,0,R48*D$11*Q$12/36000+R47*D$11*20/36000+R48*D$11*10/36000)))</f>
        <v>0</v>
      </c>
      <c r="W48" s="22">
        <f t="shared" ca="1" si="26"/>
        <v>0</v>
      </c>
      <c r="X48" s="22">
        <f t="shared" ca="1" si="27"/>
        <v>0</v>
      </c>
      <c r="Y48" s="22">
        <f t="shared" ca="1" si="4"/>
        <v>0</v>
      </c>
      <c r="Z48" s="22">
        <f ca="1">IF(N49=1,Y47*D$11*20/36000+Y48*D$11*10/36000,IF(N49=0,IF(N48=0,0,Y48*D$11*Q$12/36000+Y47*D$11*20/36000+Y48*D$11*10/36000)))</f>
        <v>0</v>
      </c>
      <c r="AA48" s="22">
        <f t="shared" ca="1" si="5"/>
        <v>0</v>
      </c>
      <c r="AB48" s="22">
        <f t="shared" ref="AB48:AB84" ca="1" si="35">IF(R49=0,R48*Q$12,(R47*20+R48*10))</f>
        <v>0</v>
      </c>
      <c r="AC48" s="22"/>
      <c r="AD48" s="22">
        <f t="shared" ca="1" si="6"/>
        <v>0</v>
      </c>
      <c r="AE48" s="22">
        <f t="shared" ca="1" si="7"/>
        <v>0</v>
      </c>
      <c r="AF48" s="22">
        <f t="shared" ca="1" si="29"/>
        <v>0</v>
      </c>
      <c r="AG48" s="22">
        <f t="shared" ca="1" si="8"/>
        <v>0</v>
      </c>
      <c r="AH48" s="22">
        <f t="shared" ca="1" si="30"/>
        <v>0</v>
      </c>
      <c r="AI48" s="22">
        <f t="shared" ca="1" si="9"/>
        <v>0</v>
      </c>
      <c r="AJ48" s="22">
        <f t="shared" ca="1" si="10"/>
        <v>0</v>
      </c>
      <c r="AK48" s="22">
        <f ca="1">IF(N49=1,AJ47*G$12*20/36000+AJ48*G$12*10/36000,IF(N49=0,IF(N48=0,0,AJ48*G$12*Q$12/36000+AJ47*G$12*20/36000+AJ48*G$12*10/36000)))</f>
        <v>0</v>
      </c>
      <c r="AL48" s="22">
        <f ca="1">IF(N49=1,AJ47*G$12*20/36000+AJ48*G$12*10/36000,IF(N49=0,IF(N48=0,0,AJ48*G$12*Q$12/36000+AJ47*G$12*20/36000+AJ48*G$12*10/36000)))</f>
        <v>0</v>
      </c>
      <c r="AM48" s="69">
        <f t="shared" ca="1" si="31"/>
        <v>0</v>
      </c>
      <c r="AN48" s="69">
        <f t="shared" ca="1" si="11"/>
        <v>0</v>
      </c>
      <c r="AO48" s="4">
        <f t="shared" ca="1" si="32"/>
        <v>0</v>
      </c>
      <c r="AP48" s="4">
        <f t="shared" ca="1" si="12"/>
        <v>0</v>
      </c>
      <c r="AQ48" s="4">
        <f t="shared" ca="1" si="13"/>
        <v>0</v>
      </c>
      <c r="AR48" s="4">
        <f t="shared" ca="1" si="14"/>
        <v>30</v>
      </c>
      <c r="AS48" s="4">
        <f t="shared" si="15"/>
        <v>20</v>
      </c>
      <c r="AT48" s="4">
        <f t="shared" ca="1" si="33"/>
        <v>30</v>
      </c>
      <c r="AU48" s="4"/>
      <c r="AV48" s="4"/>
      <c r="AW48" s="4"/>
      <c r="AX48" s="4"/>
      <c r="AY48" s="4"/>
      <c r="AZ48" s="4">
        <f t="shared" ca="1" si="16"/>
        <v>0</v>
      </c>
      <c r="BA48" s="4"/>
      <c r="BB48" s="4"/>
      <c r="BC48" s="4"/>
      <c r="BD48" s="4"/>
      <c r="BE48" s="10"/>
      <c r="BF48" s="19"/>
      <c r="BG48" s="19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</row>
    <row r="49" spans="1:142" s="25" customFormat="1" ht="15" customHeight="1">
      <c r="A49" s="4">
        <v>25</v>
      </c>
      <c r="B49" s="268" t="str">
        <f t="shared" ca="1" si="18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9"/>
        <v xml:space="preserve"> </v>
      </c>
      <c r="I49" s="84">
        <f t="shared" ca="1" si="20"/>
        <v>0</v>
      </c>
      <c r="J49" s="84">
        <f t="shared" ca="1" si="0"/>
        <v>0</v>
      </c>
      <c r="K49" s="84">
        <v>0</v>
      </c>
      <c r="L49" s="84" t="str">
        <f t="shared" ca="1" si="21"/>
        <v xml:space="preserve"> </v>
      </c>
      <c r="M49" s="4">
        <v>25</v>
      </c>
      <c r="N49" s="4">
        <f t="shared" ca="1" si="34"/>
        <v>0</v>
      </c>
      <c r="O49" s="4">
        <f t="shared" ca="1" si="1"/>
        <v>20</v>
      </c>
      <c r="P49" s="22">
        <f t="shared" ca="1" si="2"/>
        <v>0</v>
      </c>
      <c r="Q49" s="22">
        <f t="shared" ca="1" si="3"/>
        <v>0</v>
      </c>
      <c r="R49" s="22">
        <f t="shared" ca="1" si="23"/>
        <v>0</v>
      </c>
      <c r="S49" s="22" t="str">
        <f t="shared" ca="1" si="24"/>
        <v xml:space="preserve"> </v>
      </c>
      <c r="T49" s="22" t="e">
        <f t="shared" ca="1" si="25"/>
        <v>#VALUE!</v>
      </c>
      <c r="U49" s="22">
        <f ca="1">IF(N50=1,R48*D$11*20/36000+R49*D$11*10/36000,IF(N50=0,IF(N49=0,0,IF(D$16&gt;20,R48*D$11*20/36000+R49*D$11*(Q$12-20)/36000,R49*D$11*Q$12/36000))))</f>
        <v>0</v>
      </c>
      <c r="V49" s="22">
        <f ca="1">IF(N50=1,R48*D$11*20/36000+R49*D$11*10/36000,IF(N50=0,IF(N49=0,0,IF(D$16&gt;20,R48*D$11*20/36000+R49*D$11*(Q$12-20)/36000,R49*D$11*Q$12/36000))))</f>
        <v>0</v>
      </c>
      <c r="W49" s="22">
        <f t="shared" ca="1" si="26"/>
        <v>0</v>
      </c>
      <c r="X49" s="22">
        <f t="shared" ca="1" si="27"/>
        <v>0</v>
      </c>
      <c r="Y49" s="22">
        <f t="shared" ca="1" si="4"/>
        <v>0</v>
      </c>
      <c r="Z49" s="22">
        <f ca="1">IF(N50=1,Y48*D$11*20/36000+Y49*D$11*10/36000,IF(N50=0,IF(N49=0,0,IF(D$16&gt;20,Y48*D$11*20/36000+Y49*D$11*(Q$12-20)/36000,Y49*D$11*Q$12/36000))))</f>
        <v>0</v>
      </c>
      <c r="AA49" s="22">
        <f t="shared" ca="1" si="5"/>
        <v>0</v>
      </c>
      <c r="AB49" s="22">
        <f t="shared" ca="1" si="35"/>
        <v>0</v>
      </c>
      <c r="AC49" s="22"/>
      <c r="AD49" s="22">
        <f t="shared" ca="1" si="6"/>
        <v>0</v>
      </c>
      <c r="AE49" s="22">
        <f t="shared" ca="1" si="7"/>
        <v>0</v>
      </c>
      <c r="AF49" s="22">
        <f t="shared" ca="1" si="29"/>
        <v>0</v>
      </c>
      <c r="AG49" s="22">
        <f t="shared" ca="1" si="8"/>
        <v>0</v>
      </c>
      <c r="AH49" s="22">
        <f t="shared" ca="1" si="30"/>
        <v>0</v>
      </c>
      <c r="AI49" s="22">
        <f t="shared" ca="1" si="9"/>
        <v>0</v>
      </c>
      <c r="AJ49" s="22">
        <f t="shared" ca="1" si="10"/>
        <v>0</v>
      </c>
      <c r="AK49" s="22">
        <f ca="1">IF(N50=1,AJ48*G$12*20/36000+AJ49*G$12*10/36000,IF(N50=0,IF(N49=0,0,AJ49*G$12*Q$12/36000)))</f>
        <v>0</v>
      </c>
      <c r="AL49" s="22">
        <f ca="1">IF(N50=1,AJ48*G$12*20/36000+AJ49*G$12*10/36000,IF(N50=0,IF(N49=0,0,AJ49*G$12*Q$12/36000)))</f>
        <v>0</v>
      </c>
      <c r="AM49" s="69">
        <f t="shared" ca="1" si="31"/>
        <v>0</v>
      </c>
      <c r="AN49" s="69">
        <f t="shared" ca="1" si="11"/>
        <v>0</v>
      </c>
      <c r="AO49" s="4">
        <f t="shared" ca="1" si="32"/>
        <v>0</v>
      </c>
      <c r="AP49" s="4">
        <f t="shared" ca="1" si="12"/>
        <v>0</v>
      </c>
      <c r="AQ49" s="4">
        <f t="shared" ca="1" si="13"/>
        <v>0</v>
      </c>
      <c r="AR49" s="4">
        <f t="shared" ca="1" si="14"/>
        <v>30</v>
      </c>
      <c r="AS49" s="4">
        <f t="shared" si="15"/>
        <v>20</v>
      </c>
      <c r="AT49" s="4">
        <f t="shared" ca="1" si="33"/>
        <v>30</v>
      </c>
      <c r="AU49" s="4"/>
      <c r="AV49" s="4"/>
      <c r="AW49" s="4"/>
      <c r="AX49" s="4"/>
      <c r="AY49" s="4"/>
      <c r="AZ49" s="4">
        <f t="shared" ca="1" si="16"/>
        <v>0</v>
      </c>
      <c r="BA49" s="4"/>
      <c r="BB49" s="4"/>
      <c r="BC49" s="4"/>
      <c r="BD49" s="4"/>
      <c r="BE49" s="10"/>
      <c r="BF49" s="4"/>
      <c r="BG49" s="4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</row>
    <row r="50" spans="1:142" s="24" customFormat="1" ht="15" customHeight="1">
      <c r="A50" s="4">
        <v>26</v>
      </c>
      <c r="B50" s="268" t="str">
        <f t="shared" ca="1" si="18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9"/>
        <v xml:space="preserve"> </v>
      </c>
      <c r="I50" s="84">
        <f t="shared" ca="1" si="20"/>
        <v>0</v>
      </c>
      <c r="J50" s="84">
        <f t="shared" ca="1" si="0"/>
        <v>0</v>
      </c>
      <c r="K50" s="84">
        <v>0</v>
      </c>
      <c r="L50" s="84" t="str">
        <f t="shared" ca="1" si="21"/>
        <v xml:space="preserve"> </v>
      </c>
      <c r="M50" s="4">
        <v>26</v>
      </c>
      <c r="N50" s="4">
        <f t="shared" ca="1" si="34"/>
        <v>0</v>
      </c>
      <c r="O50" s="4">
        <f t="shared" ca="1" si="1"/>
        <v>20</v>
      </c>
      <c r="P50" s="22">
        <f t="shared" ca="1" si="2"/>
        <v>0</v>
      </c>
      <c r="Q50" s="22">
        <f t="shared" ca="1" si="3"/>
        <v>0</v>
      </c>
      <c r="R50" s="22">
        <f t="shared" ca="1" si="23"/>
        <v>0</v>
      </c>
      <c r="S50" s="22" t="str">
        <f t="shared" ca="1" si="24"/>
        <v xml:space="preserve"> </v>
      </c>
      <c r="T50" s="22" t="e">
        <f t="shared" ca="1" si="25"/>
        <v>#VALUE!</v>
      </c>
      <c r="U50" s="22">
        <f t="shared" ref="U50:U60" ca="1" si="36">IF(N51=1,R49*D$11*20/36000+R50*D$11*10/36000,IF(N51=0,IF(N50=0,0,R50*D$11*Q$12/36000+R49*D$11*20/36000+R50*D$11*10/36000)))</f>
        <v>0</v>
      </c>
      <c r="V50" s="22">
        <f t="shared" ref="V50:V60" ca="1" si="37">IF(N51=1,R49*D$11*20/36000+R50*D$11*10/36000,IF(N51=0,IF(N50=0,0,R50*D$11*Q$12/36000+R49*D$11*20/36000+R50*D$11*10/36000)))</f>
        <v>0</v>
      </c>
      <c r="W50" s="22">
        <f t="shared" ca="1" si="26"/>
        <v>0</v>
      </c>
      <c r="X50" s="22">
        <f t="shared" ca="1" si="27"/>
        <v>0</v>
      </c>
      <c r="Y50" s="22">
        <f t="shared" ca="1" si="4"/>
        <v>0</v>
      </c>
      <c r="Z50" s="22">
        <f t="shared" ref="Z50:Z60" ca="1" si="38">IF(N51=1,Y49*D$11*20/36000+Y50*D$11*10/36000,IF(N51=0,IF(N50=0,0,Y50*D$11*Q$12/36000+Y49*D$11*20/36000+Y50*D$11*10/36000)))</f>
        <v>0</v>
      </c>
      <c r="AA50" s="22">
        <f t="shared" ca="1" si="5"/>
        <v>0</v>
      </c>
      <c r="AB50" s="22">
        <f t="shared" ca="1" si="35"/>
        <v>0</v>
      </c>
      <c r="AC50" s="22"/>
      <c r="AD50" s="22">
        <f t="shared" ca="1" si="6"/>
        <v>0</v>
      </c>
      <c r="AE50" s="22">
        <f t="shared" ca="1" si="7"/>
        <v>0</v>
      </c>
      <c r="AF50" s="22">
        <f t="shared" ca="1" si="29"/>
        <v>0</v>
      </c>
      <c r="AG50" s="22">
        <f t="shared" ca="1" si="8"/>
        <v>0</v>
      </c>
      <c r="AH50" s="22">
        <f t="shared" ca="1" si="30"/>
        <v>0</v>
      </c>
      <c r="AI50" s="22">
        <f t="shared" ca="1" si="9"/>
        <v>0</v>
      </c>
      <c r="AJ50" s="22">
        <f t="shared" ca="1" si="10"/>
        <v>0</v>
      </c>
      <c r="AK50" s="22">
        <f t="shared" ref="AK50:AK60" ca="1" si="39">IF(N51=1,AJ49*G$12*20/36000+AJ50*G$12*10/36000,IF(N51=0,IF(N50=0,0,AJ50*G$12*Q$12/36000+AJ49*G$12*20/36000+AJ50*G$12*10/36000)))</f>
        <v>0</v>
      </c>
      <c r="AL50" s="22">
        <f t="shared" ref="AL50:AL60" ca="1" si="40">IF(N51=1,AJ49*G$12*20/36000+AJ50*G$12*10/36000,IF(N51=0,IF(N50=0,0,AJ50*G$12*Q$12/36000+AJ49*G$12*20/36000+AJ50*G$12*10/36000)))</f>
        <v>0</v>
      </c>
      <c r="AM50" s="69">
        <f t="shared" ca="1" si="31"/>
        <v>0</v>
      </c>
      <c r="AN50" s="69">
        <f t="shared" ca="1" si="11"/>
        <v>0</v>
      </c>
      <c r="AO50" s="4">
        <f t="shared" ca="1" si="32"/>
        <v>0</v>
      </c>
      <c r="AP50" s="4">
        <f t="shared" ca="1" si="12"/>
        <v>0</v>
      </c>
      <c r="AQ50" s="4">
        <f t="shared" ca="1" si="13"/>
        <v>0</v>
      </c>
      <c r="AR50" s="4">
        <f t="shared" ca="1" si="14"/>
        <v>30</v>
      </c>
      <c r="AS50" s="4">
        <f t="shared" si="15"/>
        <v>20</v>
      </c>
      <c r="AT50" s="4">
        <f t="shared" ca="1" si="33"/>
        <v>30</v>
      </c>
      <c r="AU50" s="4"/>
      <c r="AV50" s="4"/>
      <c r="AW50" s="4"/>
      <c r="AX50" s="4"/>
      <c r="AY50" s="4"/>
      <c r="AZ50" s="4">
        <f t="shared" ca="1" si="16"/>
        <v>0</v>
      </c>
      <c r="BA50" s="4"/>
      <c r="BB50" s="4"/>
      <c r="BC50" s="4"/>
      <c r="BD50" s="4"/>
      <c r="BE50" s="10"/>
      <c r="BF50" s="19"/>
      <c r="BG50" s="19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</row>
    <row r="51" spans="1:142" s="24" customFormat="1" ht="15" customHeight="1">
      <c r="A51" s="4">
        <v>27</v>
      </c>
      <c r="B51" s="268" t="str">
        <f t="shared" ca="1" si="18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9"/>
        <v xml:space="preserve"> </v>
      </c>
      <c r="I51" s="84">
        <f t="shared" ca="1" si="20"/>
        <v>0</v>
      </c>
      <c r="J51" s="84">
        <f t="shared" ca="1" si="0"/>
        <v>0</v>
      </c>
      <c r="K51" s="84">
        <v>0</v>
      </c>
      <c r="L51" s="84" t="str">
        <f t="shared" ca="1" si="21"/>
        <v xml:space="preserve"> </v>
      </c>
      <c r="M51" s="4">
        <v>27</v>
      </c>
      <c r="N51" s="4">
        <f t="shared" ca="1" si="34"/>
        <v>0</v>
      </c>
      <c r="O51" s="4">
        <f t="shared" ca="1" si="1"/>
        <v>20</v>
      </c>
      <c r="P51" s="22">
        <f t="shared" ca="1" si="2"/>
        <v>0</v>
      </c>
      <c r="Q51" s="22">
        <f t="shared" ca="1" si="3"/>
        <v>0</v>
      </c>
      <c r="R51" s="22">
        <f t="shared" ca="1" si="23"/>
        <v>0</v>
      </c>
      <c r="S51" s="22" t="str">
        <f t="shared" ca="1" si="24"/>
        <v xml:space="preserve"> </v>
      </c>
      <c r="T51" s="22" t="e">
        <f t="shared" ca="1" si="25"/>
        <v>#VALUE!</v>
      </c>
      <c r="U51" s="22">
        <f t="shared" ca="1" si="36"/>
        <v>0</v>
      </c>
      <c r="V51" s="22">
        <f t="shared" ca="1" si="37"/>
        <v>0</v>
      </c>
      <c r="W51" s="22">
        <f t="shared" ca="1" si="26"/>
        <v>0</v>
      </c>
      <c r="X51" s="22">
        <f t="shared" ca="1" si="27"/>
        <v>0</v>
      </c>
      <c r="Y51" s="22">
        <f t="shared" ca="1" si="4"/>
        <v>0</v>
      </c>
      <c r="Z51" s="22">
        <f t="shared" ca="1" si="38"/>
        <v>0</v>
      </c>
      <c r="AA51" s="22">
        <f t="shared" ca="1" si="5"/>
        <v>0</v>
      </c>
      <c r="AB51" s="22">
        <f t="shared" ca="1" si="35"/>
        <v>0</v>
      </c>
      <c r="AC51" s="22"/>
      <c r="AD51" s="22">
        <f t="shared" ca="1" si="6"/>
        <v>0</v>
      </c>
      <c r="AE51" s="22">
        <f t="shared" ca="1" si="7"/>
        <v>0</v>
      </c>
      <c r="AF51" s="22">
        <f t="shared" ca="1" si="29"/>
        <v>0</v>
      </c>
      <c r="AG51" s="22">
        <f t="shared" ca="1" si="8"/>
        <v>0</v>
      </c>
      <c r="AH51" s="22">
        <f t="shared" ca="1" si="30"/>
        <v>0</v>
      </c>
      <c r="AI51" s="22">
        <f t="shared" ca="1" si="9"/>
        <v>0</v>
      </c>
      <c r="AJ51" s="22">
        <f t="shared" ca="1" si="10"/>
        <v>0</v>
      </c>
      <c r="AK51" s="22">
        <f t="shared" ca="1" si="39"/>
        <v>0</v>
      </c>
      <c r="AL51" s="22">
        <f t="shared" ca="1" si="40"/>
        <v>0</v>
      </c>
      <c r="AM51" s="69">
        <f t="shared" ca="1" si="31"/>
        <v>0</v>
      </c>
      <c r="AN51" s="69">
        <f t="shared" ca="1" si="11"/>
        <v>0</v>
      </c>
      <c r="AO51" s="4">
        <f t="shared" ca="1" si="32"/>
        <v>0</v>
      </c>
      <c r="AP51" s="4">
        <f t="shared" ca="1" si="12"/>
        <v>0</v>
      </c>
      <c r="AQ51" s="4">
        <f t="shared" ca="1" si="13"/>
        <v>0</v>
      </c>
      <c r="AR51" s="4">
        <f t="shared" ca="1" si="14"/>
        <v>30</v>
      </c>
      <c r="AS51" s="4">
        <f t="shared" si="15"/>
        <v>20</v>
      </c>
      <c r="AT51" s="4">
        <f t="shared" ca="1" si="33"/>
        <v>30</v>
      </c>
      <c r="AU51" s="4"/>
      <c r="AV51" s="4"/>
      <c r="AW51" s="4"/>
      <c r="AX51" s="4"/>
      <c r="AY51" s="4"/>
      <c r="AZ51" s="4">
        <f t="shared" ca="1" si="16"/>
        <v>0</v>
      </c>
      <c r="BA51" s="4"/>
      <c r="BB51" s="4"/>
      <c r="BC51" s="4"/>
      <c r="BD51" s="4"/>
      <c r="BE51" s="10"/>
      <c r="BF51" s="19"/>
      <c r="BG51" s="19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</row>
    <row r="52" spans="1:142" s="24" customFormat="1" ht="15" customHeight="1">
      <c r="A52" s="4">
        <v>28</v>
      </c>
      <c r="B52" s="268" t="str">
        <f t="shared" ca="1" si="18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9"/>
        <v xml:space="preserve"> </v>
      </c>
      <c r="I52" s="84">
        <f t="shared" ca="1" si="20"/>
        <v>0</v>
      </c>
      <c r="J52" s="84">
        <f t="shared" ca="1" si="0"/>
        <v>0</v>
      </c>
      <c r="K52" s="84">
        <v>0</v>
      </c>
      <c r="L52" s="84" t="str">
        <f t="shared" ca="1" si="21"/>
        <v xml:space="preserve"> </v>
      </c>
      <c r="M52" s="4">
        <v>28</v>
      </c>
      <c r="N52" s="4">
        <f t="shared" ca="1" si="34"/>
        <v>0</v>
      </c>
      <c r="O52" s="4">
        <f t="shared" ca="1" si="1"/>
        <v>20</v>
      </c>
      <c r="P52" s="22">
        <f t="shared" ca="1" si="2"/>
        <v>0</v>
      </c>
      <c r="Q52" s="22">
        <f t="shared" ca="1" si="3"/>
        <v>0</v>
      </c>
      <c r="R52" s="22">
        <f t="shared" ca="1" si="23"/>
        <v>0</v>
      </c>
      <c r="S52" s="22" t="str">
        <f t="shared" ca="1" si="24"/>
        <v xml:space="preserve"> </v>
      </c>
      <c r="T52" s="22" t="e">
        <f t="shared" ca="1" si="25"/>
        <v>#VALUE!</v>
      </c>
      <c r="U52" s="22">
        <f t="shared" ca="1" si="36"/>
        <v>0</v>
      </c>
      <c r="V52" s="22">
        <f t="shared" ca="1" si="37"/>
        <v>0</v>
      </c>
      <c r="W52" s="22">
        <f t="shared" ca="1" si="26"/>
        <v>0</v>
      </c>
      <c r="X52" s="22">
        <f t="shared" ca="1" si="27"/>
        <v>0</v>
      </c>
      <c r="Y52" s="22">
        <f t="shared" ca="1" si="4"/>
        <v>0</v>
      </c>
      <c r="Z52" s="22">
        <f t="shared" ca="1" si="38"/>
        <v>0</v>
      </c>
      <c r="AA52" s="22">
        <f t="shared" ca="1" si="5"/>
        <v>0</v>
      </c>
      <c r="AB52" s="22">
        <f t="shared" ca="1" si="35"/>
        <v>0</v>
      </c>
      <c r="AC52" s="22"/>
      <c r="AD52" s="22">
        <f t="shared" ca="1" si="6"/>
        <v>0</v>
      </c>
      <c r="AE52" s="22">
        <f t="shared" ca="1" si="7"/>
        <v>0</v>
      </c>
      <c r="AF52" s="22">
        <f t="shared" ca="1" si="29"/>
        <v>0</v>
      </c>
      <c r="AG52" s="22">
        <f t="shared" ca="1" si="8"/>
        <v>0</v>
      </c>
      <c r="AH52" s="22">
        <f t="shared" ca="1" si="30"/>
        <v>0</v>
      </c>
      <c r="AI52" s="22">
        <f t="shared" ca="1" si="9"/>
        <v>0</v>
      </c>
      <c r="AJ52" s="22">
        <f t="shared" ca="1" si="10"/>
        <v>0</v>
      </c>
      <c r="AK52" s="22">
        <f t="shared" ca="1" si="39"/>
        <v>0</v>
      </c>
      <c r="AL52" s="22">
        <f t="shared" ca="1" si="40"/>
        <v>0</v>
      </c>
      <c r="AM52" s="69">
        <f t="shared" ca="1" si="31"/>
        <v>0</v>
      </c>
      <c r="AN52" s="69">
        <f t="shared" ca="1" si="11"/>
        <v>0</v>
      </c>
      <c r="AO52" s="4">
        <f t="shared" ca="1" si="32"/>
        <v>0</v>
      </c>
      <c r="AP52" s="4">
        <f t="shared" ca="1" si="12"/>
        <v>0</v>
      </c>
      <c r="AQ52" s="4">
        <f t="shared" ca="1" si="13"/>
        <v>0</v>
      </c>
      <c r="AR52" s="4">
        <f t="shared" ca="1" si="14"/>
        <v>30</v>
      </c>
      <c r="AS52" s="4">
        <f t="shared" si="15"/>
        <v>20</v>
      </c>
      <c r="AT52" s="4">
        <f t="shared" ca="1" si="33"/>
        <v>30</v>
      </c>
      <c r="AU52" s="4"/>
      <c r="AV52" s="4"/>
      <c r="AW52" s="4"/>
      <c r="AX52" s="4"/>
      <c r="AY52" s="4"/>
      <c r="AZ52" s="4">
        <f t="shared" ca="1" si="16"/>
        <v>0</v>
      </c>
      <c r="BA52" s="4"/>
      <c r="BB52" s="4"/>
      <c r="BC52" s="4"/>
      <c r="BD52" s="4"/>
      <c r="BE52" s="10"/>
      <c r="BF52" s="19"/>
      <c r="BG52" s="19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</row>
    <row r="53" spans="1:142" s="24" customFormat="1" ht="15" customHeight="1">
      <c r="A53" s="4">
        <v>29</v>
      </c>
      <c r="B53" s="268" t="str">
        <f t="shared" ca="1" si="18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9"/>
        <v xml:space="preserve"> </v>
      </c>
      <c r="I53" s="84">
        <f t="shared" ca="1" si="20"/>
        <v>0</v>
      </c>
      <c r="J53" s="84">
        <f t="shared" ca="1" si="0"/>
        <v>0</v>
      </c>
      <c r="K53" s="84">
        <v>0</v>
      </c>
      <c r="L53" s="84" t="str">
        <f t="shared" ca="1" si="21"/>
        <v xml:space="preserve"> </v>
      </c>
      <c r="M53" s="4">
        <v>29</v>
      </c>
      <c r="N53" s="4">
        <f t="shared" ca="1" si="34"/>
        <v>0</v>
      </c>
      <c r="O53" s="4">
        <f t="shared" ca="1" si="1"/>
        <v>20</v>
      </c>
      <c r="P53" s="22">
        <f t="shared" ca="1" si="2"/>
        <v>0</v>
      </c>
      <c r="Q53" s="22">
        <f t="shared" ca="1" si="3"/>
        <v>0</v>
      </c>
      <c r="R53" s="22">
        <f t="shared" ca="1" si="23"/>
        <v>0</v>
      </c>
      <c r="S53" s="22" t="str">
        <f t="shared" ca="1" si="24"/>
        <v xml:space="preserve"> </v>
      </c>
      <c r="T53" s="22" t="e">
        <f t="shared" ca="1" si="25"/>
        <v>#VALUE!</v>
      </c>
      <c r="U53" s="22">
        <f t="shared" ca="1" si="36"/>
        <v>0</v>
      </c>
      <c r="V53" s="22">
        <f t="shared" ca="1" si="37"/>
        <v>0</v>
      </c>
      <c r="W53" s="22">
        <f t="shared" ca="1" si="26"/>
        <v>0</v>
      </c>
      <c r="X53" s="22">
        <f t="shared" ca="1" si="27"/>
        <v>0</v>
      </c>
      <c r="Y53" s="22">
        <f t="shared" ca="1" si="4"/>
        <v>0</v>
      </c>
      <c r="Z53" s="22">
        <f t="shared" ca="1" si="38"/>
        <v>0</v>
      </c>
      <c r="AA53" s="22">
        <f t="shared" ca="1" si="5"/>
        <v>0</v>
      </c>
      <c r="AB53" s="22">
        <f t="shared" ca="1" si="35"/>
        <v>0</v>
      </c>
      <c r="AC53" s="22"/>
      <c r="AD53" s="22">
        <f t="shared" ca="1" si="6"/>
        <v>0</v>
      </c>
      <c r="AE53" s="22">
        <f t="shared" ca="1" si="7"/>
        <v>0</v>
      </c>
      <c r="AF53" s="22">
        <f t="shared" ca="1" si="29"/>
        <v>0</v>
      </c>
      <c r="AG53" s="22">
        <f t="shared" ca="1" si="8"/>
        <v>0</v>
      </c>
      <c r="AH53" s="22">
        <f t="shared" ca="1" si="30"/>
        <v>0</v>
      </c>
      <c r="AI53" s="22">
        <f t="shared" ca="1" si="9"/>
        <v>0</v>
      </c>
      <c r="AJ53" s="22">
        <f t="shared" ca="1" si="10"/>
        <v>0</v>
      </c>
      <c r="AK53" s="22">
        <f t="shared" ca="1" si="39"/>
        <v>0</v>
      </c>
      <c r="AL53" s="22">
        <f t="shared" ca="1" si="40"/>
        <v>0</v>
      </c>
      <c r="AM53" s="69">
        <f t="shared" ca="1" si="31"/>
        <v>0</v>
      </c>
      <c r="AN53" s="69">
        <f t="shared" ca="1" si="11"/>
        <v>0</v>
      </c>
      <c r="AO53" s="4">
        <f t="shared" ca="1" si="32"/>
        <v>0</v>
      </c>
      <c r="AP53" s="4">
        <f t="shared" ca="1" si="12"/>
        <v>0</v>
      </c>
      <c r="AQ53" s="4">
        <f t="shared" ca="1" si="13"/>
        <v>0</v>
      </c>
      <c r="AR53" s="4">
        <f t="shared" ca="1" si="14"/>
        <v>30</v>
      </c>
      <c r="AS53" s="4">
        <f t="shared" si="15"/>
        <v>20</v>
      </c>
      <c r="AT53" s="4">
        <f t="shared" ca="1" si="33"/>
        <v>30</v>
      </c>
      <c r="AU53" s="4"/>
      <c r="AV53" s="4"/>
      <c r="AW53" s="4"/>
      <c r="AX53" s="4"/>
      <c r="AY53" s="4"/>
      <c r="AZ53" s="4">
        <f t="shared" ca="1" si="16"/>
        <v>0</v>
      </c>
      <c r="BA53" s="4"/>
      <c r="BB53" s="4"/>
      <c r="BC53" s="4"/>
      <c r="BD53" s="4"/>
      <c r="BE53" s="10"/>
      <c r="BF53" s="19"/>
      <c r="BG53" s="19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</row>
    <row r="54" spans="1:142" s="24" customFormat="1" ht="15" customHeight="1">
      <c r="A54" s="4">
        <v>30</v>
      </c>
      <c r="B54" s="268" t="str">
        <f t="shared" ca="1" si="18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9"/>
        <v xml:space="preserve"> </v>
      </c>
      <c r="I54" s="84">
        <f t="shared" ca="1" si="20"/>
        <v>0</v>
      </c>
      <c r="J54" s="84">
        <f t="shared" ca="1" si="0"/>
        <v>0</v>
      </c>
      <c r="K54" s="84">
        <v>0</v>
      </c>
      <c r="L54" s="84" t="str">
        <f t="shared" ca="1" si="21"/>
        <v xml:space="preserve"> </v>
      </c>
      <c r="M54" s="4">
        <v>30</v>
      </c>
      <c r="N54" s="4">
        <f t="shared" ca="1" si="34"/>
        <v>0</v>
      </c>
      <c r="O54" s="4">
        <f t="shared" ca="1" si="1"/>
        <v>20</v>
      </c>
      <c r="P54" s="22">
        <f t="shared" ca="1" si="2"/>
        <v>0</v>
      </c>
      <c r="Q54" s="22">
        <f t="shared" ca="1" si="3"/>
        <v>0</v>
      </c>
      <c r="R54" s="22">
        <f t="shared" ca="1" si="23"/>
        <v>0</v>
      </c>
      <c r="S54" s="22" t="str">
        <f t="shared" ca="1" si="24"/>
        <v xml:space="preserve"> </v>
      </c>
      <c r="T54" s="22" t="e">
        <f t="shared" ca="1" si="25"/>
        <v>#VALUE!</v>
      </c>
      <c r="U54" s="22">
        <f t="shared" ca="1" si="36"/>
        <v>0</v>
      </c>
      <c r="V54" s="22">
        <f t="shared" ca="1" si="37"/>
        <v>0</v>
      </c>
      <c r="W54" s="22">
        <f t="shared" ca="1" si="26"/>
        <v>0</v>
      </c>
      <c r="X54" s="22">
        <f t="shared" ca="1" si="27"/>
        <v>0</v>
      </c>
      <c r="Y54" s="22">
        <f t="shared" ca="1" si="4"/>
        <v>0</v>
      </c>
      <c r="Z54" s="22">
        <f t="shared" ca="1" si="38"/>
        <v>0</v>
      </c>
      <c r="AA54" s="22">
        <f t="shared" ca="1" si="5"/>
        <v>0</v>
      </c>
      <c r="AB54" s="22">
        <f t="shared" ca="1" si="35"/>
        <v>0</v>
      </c>
      <c r="AC54" s="22"/>
      <c r="AD54" s="22">
        <f t="shared" ca="1" si="6"/>
        <v>0</v>
      </c>
      <c r="AE54" s="22">
        <f t="shared" ca="1" si="7"/>
        <v>0</v>
      </c>
      <c r="AF54" s="22">
        <f t="shared" ca="1" si="29"/>
        <v>0</v>
      </c>
      <c r="AG54" s="22">
        <f t="shared" ca="1" si="8"/>
        <v>0</v>
      </c>
      <c r="AH54" s="22">
        <f t="shared" ca="1" si="30"/>
        <v>0</v>
      </c>
      <c r="AI54" s="22">
        <f t="shared" ca="1" si="9"/>
        <v>0</v>
      </c>
      <c r="AJ54" s="22">
        <f t="shared" ca="1" si="10"/>
        <v>0</v>
      </c>
      <c r="AK54" s="22">
        <f t="shared" ca="1" si="39"/>
        <v>0</v>
      </c>
      <c r="AL54" s="22">
        <f t="shared" ca="1" si="40"/>
        <v>0</v>
      </c>
      <c r="AM54" s="69">
        <f t="shared" ca="1" si="31"/>
        <v>0</v>
      </c>
      <c r="AN54" s="69">
        <f t="shared" ca="1" si="11"/>
        <v>0</v>
      </c>
      <c r="AO54" s="4">
        <f t="shared" ca="1" si="32"/>
        <v>0</v>
      </c>
      <c r="AP54" s="4">
        <f t="shared" ca="1" si="12"/>
        <v>0</v>
      </c>
      <c r="AQ54" s="4">
        <f t="shared" ca="1" si="13"/>
        <v>0</v>
      </c>
      <c r="AR54" s="4">
        <f t="shared" ca="1" si="14"/>
        <v>30</v>
      </c>
      <c r="AS54" s="4">
        <f t="shared" si="15"/>
        <v>20</v>
      </c>
      <c r="AT54" s="4">
        <f t="shared" ca="1" si="33"/>
        <v>30</v>
      </c>
      <c r="AU54" s="4"/>
      <c r="AV54" s="4"/>
      <c r="AW54" s="4"/>
      <c r="AX54" s="4"/>
      <c r="AY54" s="4"/>
      <c r="AZ54" s="4">
        <f t="shared" ca="1" si="16"/>
        <v>0</v>
      </c>
      <c r="BA54" s="4"/>
      <c r="BB54" s="4"/>
      <c r="BC54" s="4"/>
      <c r="BD54" s="4"/>
      <c r="BE54" s="10"/>
      <c r="BF54" s="19"/>
      <c r="BG54" s="19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</row>
    <row r="55" spans="1:142" s="24" customFormat="1" ht="15" customHeight="1">
      <c r="A55" s="4">
        <v>31</v>
      </c>
      <c r="B55" s="268" t="str">
        <f t="shared" ca="1" si="18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9"/>
        <v xml:space="preserve"> </v>
      </c>
      <c r="I55" s="84">
        <f t="shared" ca="1" si="20"/>
        <v>0</v>
      </c>
      <c r="J55" s="84">
        <f t="shared" ca="1" si="0"/>
        <v>0</v>
      </c>
      <c r="K55" s="84">
        <v>0</v>
      </c>
      <c r="L55" s="84" t="str">
        <f t="shared" ca="1" si="21"/>
        <v xml:space="preserve"> </v>
      </c>
      <c r="M55" s="4">
        <v>31</v>
      </c>
      <c r="N55" s="4">
        <f t="shared" ca="1" si="34"/>
        <v>0</v>
      </c>
      <c r="O55" s="4">
        <f t="shared" ca="1" si="1"/>
        <v>20</v>
      </c>
      <c r="P55" s="22">
        <f t="shared" ca="1" si="2"/>
        <v>0</v>
      </c>
      <c r="Q55" s="22">
        <f t="shared" ca="1" si="3"/>
        <v>0</v>
      </c>
      <c r="R55" s="22">
        <f t="shared" ca="1" si="23"/>
        <v>0</v>
      </c>
      <c r="S55" s="22" t="str">
        <f t="shared" ca="1" si="24"/>
        <v xml:space="preserve"> </v>
      </c>
      <c r="T55" s="22" t="e">
        <f t="shared" ca="1" si="25"/>
        <v>#VALUE!</v>
      </c>
      <c r="U55" s="22">
        <f t="shared" ca="1" si="36"/>
        <v>0</v>
      </c>
      <c r="V55" s="22">
        <f t="shared" ca="1" si="37"/>
        <v>0</v>
      </c>
      <c r="W55" s="22">
        <f t="shared" ca="1" si="26"/>
        <v>0</v>
      </c>
      <c r="X55" s="22">
        <f t="shared" ca="1" si="27"/>
        <v>0</v>
      </c>
      <c r="Y55" s="22">
        <f t="shared" ca="1" si="4"/>
        <v>0</v>
      </c>
      <c r="Z55" s="22">
        <f t="shared" ca="1" si="38"/>
        <v>0</v>
      </c>
      <c r="AA55" s="22">
        <f t="shared" ca="1" si="5"/>
        <v>0</v>
      </c>
      <c r="AB55" s="22">
        <f t="shared" ca="1" si="35"/>
        <v>0</v>
      </c>
      <c r="AC55" s="22"/>
      <c r="AD55" s="22">
        <f t="shared" ca="1" si="6"/>
        <v>0</v>
      </c>
      <c r="AE55" s="22">
        <f t="shared" ca="1" si="7"/>
        <v>0</v>
      </c>
      <c r="AF55" s="22">
        <f t="shared" ca="1" si="29"/>
        <v>0</v>
      </c>
      <c r="AG55" s="22">
        <f t="shared" ca="1" si="8"/>
        <v>0</v>
      </c>
      <c r="AH55" s="22">
        <f t="shared" ca="1" si="30"/>
        <v>0</v>
      </c>
      <c r="AI55" s="22">
        <f t="shared" ca="1" si="9"/>
        <v>0</v>
      </c>
      <c r="AJ55" s="22">
        <f t="shared" ca="1" si="10"/>
        <v>0</v>
      </c>
      <c r="AK55" s="22">
        <f t="shared" ca="1" si="39"/>
        <v>0</v>
      </c>
      <c r="AL55" s="22">
        <f t="shared" ca="1" si="40"/>
        <v>0</v>
      </c>
      <c r="AM55" s="69">
        <f t="shared" ca="1" si="31"/>
        <v>0</v>
      </c>
      <c r="AN55" s="69">
        <f t="shared" ca="1" si="11"/>
        <v>0</v>
      </c>
      <c r="AO55" s="4">
        <f t="shared" ca="1" si="32"/>
        <v>0</v>
      </c>
      <c r="AP55" s="4">
        <f t="shared" ca="1" si="12"/>
        <v>0</v>
      </c>
      <c r="AQ55" s="4">
        <f t="shared" ca="1" si="13"/>
        <v>0</v>
      </c>
      <c r="AR55" s="4">
        <f t="shared" ca="1" si="14"/>
        <v>30</v>
      </c>
      <c r="AS55" s="4">
        <f t="shared" si="15"/>
        <v>20</v>
      </c>
      <c r="AT55" s="4">
        <f t="shared" ca="1" si="33"/>
        <v>30</v>
      </c>
      <c r="AU55" s="4"/>
      <c r="AV55" s="4"/>
      <c r="AW55" s="4"/>
      <c r="AX55" s="4"/>
      <c r="AY55" s="4"/>
      <c r="AZ55" s="4">
        <f t="shared" ca="1" si="16"/>
        <v>0</v>
      </c>
      <c r="BA55" s="4"/>
      <c r="BB55" s="4"/>
      <c r="BC55" s="4"/>
      <c r="BD55" s="4"/>
      <c r="BE55" s="10"/>
      <c r="BF55" s="19"/>
      <c r="BG55" s="19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</row>
    <row r="56" spans="1:142" s="24" customFormat="1" ht="15" customHeight="1">
      <c r="A56" s="4">
        <v>32</v>
      </c>
      <c r="B56" s="268" t="str">
        <f t="shared" ca="1" si="18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9"/>
        <v xml:space="preserve"> </v>
      </c>
      <c r="I56" s="84">
        <f t="shared" ca="1" si="20"/>
        <v>0</v>
      </c>
      <c r="J56" s="84">
        <f t="shared" ca="1" si="0"/>
        <v>0</v>
      </c>
      <c r="K56" s="84">
        <v>0</v>
      </c>
      <c r="L56" s="84" t="str">
        <f t="shared" ca="1" si="21"/>
        <v xml:space="preserve"> </v>
      </c>
      <c r="M56" s="4">
        <v>32</v>
      </c>
      <c r="N56" s="4">
        <f t="shared" ca="1" si="34"/>
        <v>0</v>
      </c>
      <c r="O56" s="4">
        <f t="shared" ca="1" si="1"/>
        <v>20</v>
      </c>
      <c r="P56" s="22">
        <f t="shared" ca="1" si="2"/>
        <v>0</v>
      </c>
      <c r="Q56" s="22">
        <f t="shared" ca="1" si="3"/>
        <v>0</v>
      </c>
      <c r="R56" s="22">
        <f t="shared" ca="1" si="23"/>
        <v>0</v>
      </c>
      <c r="S56" s="22" t="str">
        <f t="shared" ca="1" si="24"/>
        <v xml:space="preserve"> </v>
      </c>
      <c r="T56" s="22" t="e">
        <f t="shared" ca="1" si="25"/>
        <v>#VALUE!</v>
      </c>
      <c r="U56" s="22">
        <f t="shared" ca="1" si="36"/>
        <v>0</v>
      </c>
      <c r="V56" s="22">
        <f t="shared" ca="1" si="37"/>
        <v>0</v>
      </c>
      <c r="W56" s="22">
        <f t="shared" ca="1" si="26"/>
        <v>0</v>
      </c>
      <c r="X56" s="22">
        <f t="shared" ca="1" si="27"/>
        <v>0</v>
      </c>
      <c r="Y56" s="22">
        <f t="shared" ca="1" si="4"/>
        <v>0</v>
      </c>
      <c r="Z56" s="22">
        <f t="shared" ca="1" si="38"/>
        <v>0</v>
      </c>
      <c r="AA56" s="22">
        <f t="shared" ca="1" si="5"/>
        <v>0</v>
      </c>
      <c r="AB56" s="22">
        <f t="shared" ca="1" si="35"/>
        <v>0</v>
      </c>
      <c r="AC56" s="22"/>
      <c r="AD56" s="22">
        <f t="shared" ca="1" si="6"/>
        <v>0</v>
      </c>
      <c r="AE56" s="22">
        <f t="shared" ca="1" si="7"/>
        <v>0</v>
      </c>
      <c r="AF56" s="22">
        <f t="shared" ca="1" si="29"/>
        <v>0</v>
      </c>
      <c r="AG56" s="22">
        <f t="shared" ca="1" si="8"/>
        <v>0</v>
      </c>
      <c r="AH56" s="22">
        <f t="shared" ca="1" si="30"/>
        <v>0</v>
      </c>
      <c r="AI56" s="22">
        <f t="shared" ca="1" si="9"/>
        <v>0</v>
      </c>
      <c r="AJ56" s="22">
        <f t="shared" ca="1" si="10"/>
        <v>0</v>
      </c>
      <c r="AK56" s="22">
        <f t="shared" ca="1" si="39"/>
        <v>0</v>
      </c>
      <c r="AL56" s="22">
        <f t="shared" ca="1" si="40"/>
        <v>0</v>
      </c>
      <c r="AM56" s="69">
        <f t="shared" ca="1" si="31"/>
        <v>0</v>
      </c>
      <c r="AN56" s="69">
        <f t="shared" ca="1" si="11"/>
        <v>0</v>
      </c>
      <c r="AO56" s="4">
        <f t="shared" ca="1" si="32"/>
        <v>0</v>
      </c>
      <c r="AP56" s="4">
        <f t="shared" ca="1" si="12"/>
        <v>0</v>
      </c>
      <c r="AQ56" s="4">
        <f t="shared" ca="1" si="13"/>
        <v>0</v>
      </c>
      <c r="AR56" s="4">
        <f t="shared" ca="1" si="14"/>
        <v>30</v>
      </c>
      <c r="AS56" s="4">
        <f t="shared" si="15"/>
        <v>20</v>
      </c>
      <c r="AT56" s="4">
        <f t="shared" ca="1" si="33"/>
        <v>30</v>
      </c>
      <c r="AU56" s="4"/>
      <c r="AV56" s="4"/>
      <c r="AW56" s="4"/>
      <c r="AX56" s="4"/>
      <c r="AY56" s="4"/>
      <c r="AZ56" s="4">
        <f t="shared" ca="1" si="16"/>
        <v>0</v>
      </c>
      <c r="BA56" s="4"/>
      <c r="BB56" s="4"/>
      <c r="BC56" s="4"/>
      <c r="BD56" s="4"/>
      <c r="BE56" s="10"/>
      <c r="BF56" s="19"/>
      <c r="BG56" s="19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</row>
    <row r="57" spans="1:142" s="24" customFormat="1" ht="15" customHeight="1">
      <c r="A57" s="4">
        <v>33</v>
      </c>
      <c r="B57" s="268" t="str">
        <f t="shared" ca="1" si="18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9"/>
        <v xml:space="preserve"> </v>
      </c>
      <c r="I57" s="84">
        <f t="shared" ca="1" si="20"/>
        <v>0</v>
      </c>
      <c r="J57" s="84">
        <f t="shared" ref="J57:J85" ca="1" si="41">AA57</f>
        <v>0</v>
      </c>
      <c r="K57" s="84">
        <v>0</v>
      </c>
      <c r="L57" s="84" t="str">
        <f t="shared" ca="1" si="21"/>
        <v xml:space="preserve"> </v>
      </c>
      <c r="M57" s="4">
        <v>33</v>
      </c>
      <c r="N57" s="4">
        <f t="shared" ca="1" si="34"/>
        <v>0</v>
      </c>
      <c r="O57" s="4">
        <f t="shared" ref="O57:O85" ca="1" si="42">IF(D$14+1=A$14,IF(M57=A$14,IF(DATE(YEAR(0),MONTH(0),DAY(D$16)-1)&gt;AS57,DATE(YEAR(0),MONTH(0),DAY(D$16)-1),AS57),AS57),IF(M57=A$14,IF(DATE(YEAR(0),MONTH(0),DAY(D$16)-1)&lt;AS57,DATE(YEAR(0),MONTH(0),DAY(D$16)-1),AS57),AS57))</f>
        <v>20</v>
      </c>
      <c r="P57" s="22">
        <f t="shared" ref="P57:P85" ca="1" si="43">IF(U57&lt;&gt;0,IF(VALUE(RIGHT(ROUND(U57,0)))&lt;=5,ROUND(U57,0)-VALUE(RIGHT(ROUND(U57,0))),ROUND(U57,0)+10-VALUE(RIGHT(ROUND(U57,0)))),0)</f>
        <v>0</v>
      </c>
      <c r="Q57" s="22">
        <f t="shared" ref="Q57:Q85" ca="1" si="44">IF(V57&lt;&gt;0,IF(VALUE(RIGHT(ROUND(V57,0)))&lt;=5,ROUND(V57,0)-VALUE(RIGHT(ROUND(V57,0))),ROUND(V57,0)+10-VALUE(RIGHT(ROUND(V57,0)))),0)</f>
        <v>0</v>
      </c>
      <c r="R57" s="22">
        <f t="shared" ca="1" si="23"/>
        <v>0</v>
      </c>
      <c r="S57" s="22" t="str">
        <f t="shared" ca="1" si="24"/>
        <v xml:space="preserve"> </v>
      </c>
      <c r="T57" s="22" t="e">
        <f t="shared" ca="1" si="25"/>
        <v>#VALUE!</v>
      </c>
      <c r="U57" s="22">
        <f t="shared" ca="1" si="36"/>
        <v>0</v>
      </c>
      <c r="V57" s="22">
        <f t="shared" ca="1" si="37"/>
        <v>0</v>
      </c>
      <c r="W57" s="22">
        <f t="shared" ca="1" si="26"/>
        <v>0</v>
      </c>
      <c r="X57" s="22">
        <f t="shared" ca="1" si="27"/>
        <v>0</v>
      </c>
      <c r="Y57" s="22">
        <f t="shared" ref="Y57:Y85" ca="1" si="45">IF(M57&lt;=(D$15+1),D$10,Y56-I56)</f>
        <v>0</v>
      </c>
      <c r="Z57" s="22">
        <f t="shared" ca="1" si="38"/>
        <v>0</v>
      </c>
      <c r="AA57" s="22">
        <f t="shared" ref="AA57:AA85" ca="1" si="46">IF(Z57&lt;&gt;0,IF(VALUE(RIGHT(ROUND(Z57,0)))&lt;=5,ROUND(Z57,0)-VALUE(RIGHT(ROUND(Z57,0))),ROUND(Z57,0)+10-VALUE(RIGHT(ROUND(Z57,0)))),0)</f>
        <v>0</v>
      </c>
      <c r="AB57" s="22">
        <f t="shared" ca="1" si="35"/>
        <v>0</v>
      </c>
      <c r="AC57" s="22"/>
      <c r="AD57" s="22">
        <f t="shared" ref="AD57:AD85" ca="1" si="47">IF(AK57&lt;&gt;0,IF(VALUE(RIGHT(ROUND(AK57,0)))&lt;=5,ROUND(AK57,0)-VALUE(RIGHT(ROUND(AK57,0))),ROUND(AK57,0)+10-VALUE(RIGHT(ROUND(AK57,0)))),0)</f>
        <v>0</v>
      </c>
      <c r="AE57" s="22">
        <f t="shared" ref="AE57:AE85" ca="1" si="48">IF(AL57&lt;&gt;0,IF(VALUE(RIGHT(ROUND(AL57,0)))&lt;=5,ROUND(AL57,0)-VALUE(RIGHT(ROUND(AL57,0))),ROUND(AL57,0)+10-VALUE(RIGHT(ROUND(AL57,0)))),0)</f>
        <v>0</v>
      </c>
      <c r="AF57" s="22">
        <f t="shared" ca="1" si="29"/>
        <v>0</v>
      </c>
      <c r="AG57" s="22">
        <f t="shared" ref="AG57:AG85" ca="1" si="49">IF(AF57&lt;&gt;0,IF(VALUE(RIGHT(ROUND(AF57,0)))&lt;=5,ROUND(AF57,0)-VALUE(RIGHT(ROUND(AF57,0))),ROUND(AF57,0)+10-VALUE(RIGHT(ROUND(AF57,0)))),0)</f>
        <v>0</v>
      </c>
      <c r="AH57" s="22">
        <f t="shared" ca="1" si="30"/>
        <v>0</v>
      </c>
      <c r="AI57" s="22">
        <f t="shared" ref="AI57:AI85" ca="1" si="50">IF(AH57&lt;&gt;0,IF(VALUE(RIGHT(ROUND(AH57,0)))&lt;=5,ROUND(AH57,0)-VALUE(RIGHT(ROUND(AH57,0))),ROUND(AH57,0)+10-VALUE(RIGHT(ROUND(AH57,0)))),0)</f>
        <v>0</v>
      </c>
      <c r="AJ57" s="22">
        <f t="shared" ref="AJ57:AJ85" ca="1" si="51">R57</f>
        <v>0</v>
      </c>
      <c r="AK57" s="22">
        <f t="shared" ca="1" si="39"/>
        <v>0</v>
      </c>
      <c r="AL57" s="22">
        <f t="shared" ca="1" si="40"/>
        <v>0</v>
      </c>
      <c r="AM57" s="69">
        <f t="shared" ca="1" si="31"/>
        <v>0</v>
      </c>
      <c r="AN57" s="69">
        <f t="shared" ref="AN57:AN85" ca="1" si="52">IF(AM57=13,1,AM57)</f>
        <v>0</v>
      </c>
      <c r="AO57" s="4">
        <f t="shared" ca="1" si="32"/>
        <v>0</v>
      </c>
      <c r="AP57" s="4">
        <f t="shared" ref="AP57:AP85" ca="1" si="53">IF(AN57=1,AO57+1,AO57)</f>
        <v>0</v>
      </c>
      <c r="AQ57" s="4">
        <f t="shared" ref="AQ57:AQ85" ca="1" si="54">IF((AO57/2012)=1,1,IF((AO57/2016)=1,1,IF((AO57/2020)=1,1,IF((AO57/2024)=1,1,IF((AO57/2028)=1,1,IF((AO57/2032)=1,1,0))))))</f>
        <v>0</v>
      </c>
      <c r="AR57" s="4">
        <f t="shared" ref="AR57:AR85" ca="1" si="55">IF(AN57=2,IF(AQ57=1,29,28),30)</f>
        <v>30</v>
      </c>
      <c r="AS57" s="4">
        <f t="shared" ref="AS57:AS85" si="56">IF(C$24=30,AR57,20)</f>
        <v>20</v>
      </c>
      <c r="AT57" s="4">
        <f t="shared" ca="1" si="33"/>
        <v>30</v>
      </c>
      <c r="AU57" s="4"/>
      <c r="AV57" s="4"/>
      <c r="AW57" s="4"/>
      <c r="AX57" s="4"/>
      <c r="AY57" s="4"/>
      <c r="AZ57" s="4">
        <f t="shared" ref="AZ57:AZ85" ca="1" si="57">IF(D$15=0,0,IF(N57=1,1,0))</f>
        <v>0</v>
      </c>
      <c r="BA57" s="4"/>
      <c r="BB57" s="4"/>
      <c r="BC57" s="4"/>
      <c r="BD57" s="4"/>
      <c r="BE57" s="10"/>
      <c r="BF57" s="19"/>
      <c r="BG57" s="19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</row>
    <row r="58" spans="1:142" s="24" customFormat="1" ht="15" customHeight="1">
      <c r="A58" s="4">
        <v>34</v>
      </c>
      <c r="B58" s="268" t="str">
        <f t="shared" ref="B58:B85" ca="1" si="58">IF(N58=0,IF(N57=1,"ИТОГО"," "),IF(A$14=D$14+1,IF(M58=A$14,IF(MONTH(B57)=2,IF(DAY(D$16)&gt;29,DATE(YEAR(B57),MONTH(B57),AT58),DATE(YEAR(B57),MONTH(B57),O58)),DATE(YEAR(B57),MONTH(B57),O58)),DATE(YEAR(B57),MONTH(B57)+1,O58)),DATE(YEAR(B57),MONTH(B57)+1,O58)))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9">IF(SUM(D58:G58)=0," ",SUM(D58:G58))</f>
        <v xml:space="preserve"> </v>
      </c>
      <c r="I58" s="84">
        <f t="shared" ref="I58:I85" ca="1" si="60">IF(N58=1,IF(N59=1,IF(M58&lt;=D$15,T58,AW$26),D$10-AW$26*M$16+AW$26),0)</f>
        <v>0</v>
      </c>
      <c r="J58" s="84">
        <f t="shared" ca="1" si="41"/>
        <v>0</v>
      </c>
      <c r="K58" s="84">
        <v>0</v>
      </c>
      <c r="L58" s="84" t="str">
        <f t="shared" ref="L58:L85" ca="1" si="61">IF(SUM(I58:K58)=0," ",SUM(I58:K58))</f>
        <v xml:space="preserve"> </v>
      </c>
      <c r="M58" s="4">
        <v>34</v>
      </c>
      <c r="N58" s="4">
        <f t="shared" ca="1" si="34"/>
        <v>0</v>
      </c>
      <c r="O58" s="4">
        <f t="shared" ca="1" si="42"/>
        <v>20</v>
      </c>
      <c r="P58" s="22">
        <f t="shared" ca="1" si="43"/>
        <v>0</v>
      </c>
      <c r="Q58" s="22">
        <f t="shared" ca="1" si="44"/>
        <v>0</v>
      </c>
      <c r="R58" s="22">
        <f t="shared" ref="R58:R85" ca="1" si="62">IF(N58=0,0,R57-D57)</f>
        <v>0</v>
      </c>
      <c r="S58" s="22" t="str">
        <f t="shared" ref="S58:S85" ca="1" si="63">IF(M58&lt;=D$15,D$10/(D$14-M57),D58)</f>
        <v xml:space="preserve"> </v>
      </c>
      <c r="T58" s="22" t="e">
        <f t="shared" ref="T58:T85" ca="1" si="64">IF(S58&lt;&gt;0,IF(VALUE(RIGHT(ROUND(S58,0)))&lt;=5,ROUND(S58,0)-VALUE(RIGHT(ROUND(S58,0))),ROUND(S58,0)+10-VALUE(RIGHT(ROUND(S58,0)))),0)</f>
        <v>#VALUE!</v>
      </c>
      <c r="U58" s="22">
        <f t="shared" ca="1" si="36"/>
        <v>0</v>
      </c>
      <c r="V58" s="22">
        <f t="shared" ca="1" si="37"/>
        <v>0</v>
      </c>
      <c r="W58" s="22">
        <f t="shared" ref="W58:W84" ca="1" si="65">IF(N59=1,$D$10*$D$11*20/36000+$D$10*$D$11*10/36000,IF(N59=0,IF(N58=0,0,$D$10*$D$11*$Q$12/36000+$D$10*$D$11*20/36000+$D$10*$D$11*10/36000)))</f>
        <v>0</v>
      </c>
      <c r="X58" s="22">
        <f t="shared" ref="X58:X85" ca="1" si="66">IF(W58&lt;&gt;0,IF(VALUE(RIGHT(ROUND(W58,0)))&lt;=5,ROUND(W58,0)-VALUE(RIGHT(ROUND(W58,0))),ROUND(W58,0)+10-VALUE(RIGHT(ROUND(W58,0)))),0)</f>
        <v>0</v>
      </c>
      <c r="Y58" s="22">
        <f t="shared" ca="1" si="45"/>
        <v>0</v>
      </c>
      <c r="Z58" s="22">
        <f t="shared" ca="1" si="38"/>
        <v>0</v>
      </c>
      <c r="AA58" s="22">
        <f t="shared" ca="1" si="46"/>
        <v>0</v>
      </c>
      <c r="AB58" s="22">
        <f t="shared" ca="1" si="35"/>
        <v>0</v>
      </c>
      <c r="AC58" s="22"/>
      <c r="AD58" s="22">
        <f t="shared" ca="1" si="47"/>
        <v>0</v>
      </c>
      <c r="AE58" s="22">
        <f t="shared" ca="1" si="48"/>
        <v>0</v>
      </c>
      <c r="AF58" s="22">
        <f t="shared" ref="AF58:AF84" ca="1" si="67">IF(N59=1,D$10*G$12*20/36000+D$10*G$12*10/36000,IF(N59=0,IF(N58=0,0,D$10*G$12*Q$12/36000+D$10*G$12*20/36000+D$10*G$12*10/36000)))</f>
        <v>0</v>
      </c>
      <c r="AG58" s="22">
        <f t="shared" ca="1" si="49"/>
        <v>0</v>
      </c>
      <c r="AH58" s="22">
        <f t="shared" ref="AH58:AH84" ca="1" si="68">IF(N59=1,Y57*G$12*20/36000+Y58*G$12*10/36000,IF(N59=0,IF(N58=0,0,Y58*G$12*Q$12/36000+Y57*G$12*20/36000+Y58*G$12*10/36000)))</f>
        <v>0</v>
      </c>
      <c r="AI58" s="22">
        <f t="shared" ca="1" si="50"/>
        <v>0</v>
      </c>
      <c r="AJ58" s="22">
        <f t="shared" ca="1" si="51"/>
        <v>0</v>
      </c>
      <c r="AK58" s="22">
        <f t="shared" ca="1" si="39"/>
        <v>0</v>
      </c>
      <c r="AL58" s="22">
        <f t="shared" ca="1" si="40"/>
        <v>0</v>
      </c>
      <c r="AM58" s="69">
        <f t="shared" ref="AM58:AM85" ca="1" si="69">IF(N58=0,0,MONTH(B57)+1)</f>
        <v>0</v>
      </c>
      <c r="AN58" s="69">
        <f t="shared" ca="1" si="52"/>
        <v>0</v>
      </c>
      <c r="AO58" s="4">
        <f t="shared" ref="AO58:AO85" ca="1" si="70">IF(N58=0,0,YEAR(B57))</f>
        <v>0</v>
      </c>
      <c r="AP58" s="4">
        <f t="shared" ca="1" si="53"/>
        <v>0</v>
      </c>
      <c r="AQ58" s="4">
        <f t="shared" ca="1" si="54"/>
        <v>0</v>
      </c>
      <c r="AR58" s="4">
        <f t="shared" ca="1" si="55"/>
        <v>30</v>
      </c>
      <c r="AS58" s="4">
        <f t="shared" si="56"/>
        <v>20</v>
      </c>
      <c r="AT58" s="4">
        <f t="shared" ref="AT58:AT85" ca="1" si="71">AR57</f>
        <v>30</v>
      </c>
      <c r="AU58" s="4"/>
      <c r="AV58" s="4"/>
      <c r="AW58" s="4"/>
      <c r="AX58" s="4"/>
      <c r="AY58" s="4"/>
      <c r="AZ58" s="4">
        <f t="shared" ca="1" si="57"/>
        <v>0</v>
      </c>
      <c r="BA58" s="4"/>
      <c r="BB58" s="4"/>
      <c r="BC58" s="4"/>
      <c r="BD58" s="4"/>
      <c r="BE58" s="10"/>
      <c r="BF58" s="19"/>
      <c r="BG58" s="19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</row>
    <row r="59" spans="1:142" s="24" customFormat="1" ht="15" customHeight="1">
      <c r="A59" s="4">
        <v>35</v>
      </c>
      <c r="B59" s="268" t="str">
        <f t="shared" ca="1" si="58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9"/>
        <v xml:space="preserve"> </v>
      </c>
      <c r="I59" s="84">
        <f t="shared" ca="1" si="60"/>
        <v>0</v>
      </c>
      <c r="J59" s="84">
        <f t="shared" ca="1" si="41"/>
        <v>0</v>
      </c>
      <c r="K59" s="84">
        <v>0</v>
      </c>
      <c r="L59" s="84" t="str">
        <f t="shared" ca="1" si="61"/>
        <v xml:space="preserve"> </v>
      </c>
      <c r="M59" s="4">
        <v>35</v>
      </c>
      <c r="N59" s="4">
        <f t="shared" ca="1" si="34"/>
        <v>0</v>
      </c>
      <c r="O59" s="4">
        <f t="shared" ca="1" si="42"/>
        <v>20</v>
      </c>
      <c r="P59" s="22">
        <f t="shared" ca="1" si="43"/>
        <v>0</v>
      </c>
      <c r="Q59" s="22">
        <f t="shared" ca="1" si="44"/>
        <v>0</v>
      </c>
      <c r="R59" s="22">
        <f t="shared" ca="1" si="62"/>
        <v>0</v>
      </c>
      <c r="S59" s="22" t="str">
        <f t="shared" ca="1" si="63"/>
        <v xml:space="preserve"> </v>
      </c>
      <c r="T59" s="22" t="e">
        <f t="shared" ca="1" si="64"/>
        <v>#VALUE!</v>
      </c>
      <c r="U59" s="22">
        <f t="shared" ca="1" si="36"/>
        <v>0</v>
      </c>
      <c r="V59" s="22">
        <f t="shared" ca="1" si="37"/>
        <v>0</v>
      </c>
      <c r="W59" s="22">
        <f t="shared" ca="1" si="65"/>
        <v>0</v>
      </c>
      <c r="X59" s="22">
        <f t="shared" ca="1" si="66"/>
        <v>0</v>
      </c>
      <c r="Y59" s="22">
        <f t="shared" ca="1" si="45"/>
        <v>0</v>
      </c>
      <c r="Z59" s="22">
        <f t="shared" ca="1" si="38"/>
        <v>0</v>
      </c>
      <c r="AA59" s="22">
        <f t="shared" ca="1" si="46"/>
        <v>0</v>
      </c>
      <c r="AB59" s="22">
        <f t="shared" ca="1" si="35"/>
        <v>0</v>
      </c>
      <c r="AC59" s="22"/>
      <c r="AD59" s="22">
        <f t="shared" ca="1" si="47"/>
        <v>0</v>
      </c>
      <c r="AE59" s="22">
        <f t="shared" ca="1" si="48"/>
        <v>0</v>
      </c>
      <c r="AF59" s="22">
        <f t="shared" ca="1" si="67"/>
        <v>0</v>
      </c>
      <c r="AG59" s="22">
        <f t="shared" ca="1" si="49"/>
        <v>0</v>
      </c>
      <c r="AH59" s="22">
        <f t="shared" ca="1" si="68"/>
        <v>0</v>
      </c>
      <c r="AI59" s="22">
        <f t="shared" ca="1" si="50"/>
        <v>0</v>
      </c>
      <c r="AJ59" s="22">
        <f t="shared" ca="1" si="51"/>
        <v>0</v>
      </c>
      <c r="AK59" s="22">
        <f t="shared" ca="1" si="39"/>
        <v>0</v>
      </c>
      <c r="AL59" s="22">
        <f t="shared" ca="1" si="40"/>
        <v>0</v>
      </c>
      <c r="AM59" s="69">
        <f t="shared" ca="1" si="69"/>
        <v>0</v>
      </c>
      <c r="AN59" s="69">
        <f t="shared" ca="1" si="52"/>
        <v>0</v>
      </c>
      <c r="AO59" s="4">
        <f t="shared" ca="1" si="70"/>
        <v>0</v>
      </c>
      <c r="AP59" s="4">
        <f t="shared" ca="1" si="53"/>
        <v>0</v>
      </c>
      <c r="AQ59" s="4">
        <f t="shared" ca="1" si="54"/>
        <v>0</v>
      </c>
      <c r="AR59" s="4">
        <f t="shared" ca="1" si="55"/>
        <v>30</v>
      </c>
      <c r="AS59" s="4">
        <f t="shared" si="56"/>
        <v>20</v>
      </c>
      <c r="AT59" s="4">
        <f t="shared" ca="1" si="71"/>
        <v>30</v>
      </c>
      <c r="AU59" s="4"/>
      <c r="AV59" s="4"/>
      <c r="AW59" s="4"/>
      <c r="AX59" s="4"/>
      <c r="AY59" s="4"/>
      <c r="AZ59" s="4">
        <f t="shared" ca="1" si="57"/>
        <v>0</v>
      </c>
      <c r="BA59" s="4"/>
      <c r="BB59" s="4"/>
      <c r="BC59" s="4"/>
      <c r="BD59" s="4"/>
      <c r="BE59" s="10"/>
      <c r="BF59" s="19"/>
      <c r="BG59" s="19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</row>
    <row r="60" spans="1:142" s="24" customFormat="1" ht="15" customHeight="1">
      <c r="A60" s="4">
        <v>36</v>
      </c>
      <c r="B60" s="268" t="str">
        <f t="shared" ca="1" si="58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9"/>
        <v xml:space="preserve"> </v>
      </c>
      <c r="I60" s="84">
        <f t="shared" ca="1" si="60"/>
        <v>0</v>
      </c>
      <c r="J60" s="84">
        <f t="shared" ca="1" si="41"/>
        <v>0</v>
      </c>
      <c r="K60" s="84">
        <v>0</v>
      </c>
      <c r="L60" s="84" t="str">
        <f t="shared" ca="1" si="61"/>
        <v xml:space="preserve"> </v>
      </c>
      <c r="M60" s="4">
        <v>36</v>
      </c>
      <c r="N60" s="4">
        <f t="shared" ca="1" si="34"/>
        <v>0</v>
      </c>
      <c r="O60" s="4">
        <f t="shared" ca="1" si="42"/>
        <v>20</v>
      </c>
      <c r="P60" s="22">
        <f t="shared" ca="1" si="43"/>
        <v>0</v>
      </c>
      <c r="Q60" s="22">
        <f t="shared" ca="1" si="44"/>
        <v>0</v>
      </c>
      <c r="R60" s="22">
        <f t="shared" ca="1" si="62"/>
        <v>0</v>
      </c>
      <c r="S60" s="22" t="str">
        <f t="shared" ca="1" si="63"/>
        <v xml:space="preserve"> </v>
      </c>
      <c r="T60" s="22" t="e">
        <f t="shared" ca="1" si="64"/>
        <v>#VALUE!</v>
      </c>
      <c r="U60" s="22">
        <f t="shared" ca="1" si="36"/>
        <v>0</v>
      </c>
      <c r="V60" s="22">
        <f t="shared" ca="1" si="37"/>
        <v>0</v>
      </c>
      <c r="W60" s="22">
        <f t="shared" ca="1" si="65"/>
        <v>0</v>
      </c>
      <c r="X60" s="22">
        <f t="shared" ca="1" si="66"/>
        <v>0</v>
      </c>
      <c r="Y60" s="22">
        <f t="shared" ca="1" si="45"/>
        <v>0</v>
      </c>
      <c r="Z60" s="22">
        <f t="shared" ca="1" si="38"/>
        <v>0</v>
      </c>
      <c r="AA60" s="22">
        <f t="shared" ca="1" si="46"/>
        <v>0</v>
      </c>
      <c r="AB60" s="22">
        <f t="shared" ca="1" si="35"/>
        <v>0</v>
      </c>
      <c r="AC60" s="22"/>
      <c r="AD60" s="22">
        <f t="shared" ca="1" si="47"/>
        <v>0</v>
      </c>
      <c r="AE60" s="22">
        <f t="shared" ca="1" si="48"/>
        <v>0</v>
      </c>
      <c r="AF60" s="22">
        <f t="shared" ca="1" si="67"/>
        <v>0</v>
      </c>
      <c r="AG60" s="22">
        <f t="shared" ca="1" si="49"/>
        <v>0</v>
      </c>
      <c r="AH60" s="22">
        <f t="shared" ca="1" si="68"/>
        <v>0</v>
      </c>
      <c r="AI60" s="22">
        <f t="shared" ca="1" si="50"/>
        <v>0</v>
      </c>
      <c r="AJ60" s="22">
        <f t="shared" ca="1" si="51"/>
        <v>0</v>
      </c>
      <c r="AK60" s="22">
        <f t="shared" ca="1" si="39"/>
        <v>0</v>
      </c>
      <c r="AL60" s="22">
        <f t="shared" ca="1" si="40"/>
        <v>0</v>
      </c>
      <c r="AM60" s="69">
        <f t="shared" ca="1" si="69"/>
        <v>0</v>
      </c>
      <c r="AN60" s="69">
        <f t="shared" ca="1" si="52"/>
        <v>0</v>
      </c>
      <c r="AO60" s="4">
        <f t="shared" ca="1" si="70"/>
        <v>0</v>
      </c>
      <c r="AP60" s="4">
        <f t="shared" ca="1" si="53"/>
        <v>0</v>
      </c>
      <c r="AQ60" s="4">
        <f t="shared" ca="1" si="54"/>
        <v>0</v>
      </c>
      <c r="AR60" s="4">
        <f t="shared" ca="1" si="55"/>
        <v>30</v>
      </c>
      <c r="AS60" s="4">
        <f t="shared" si="56"/>
        <v>20</v>
      </c>
      <c r="AT60" s="4">
        <f t="shared" ca="1" si="71"/>
        <v>30</v>
      </c>
      <c r="AU60" s="4"/>
      <c r="AV60" s="4"/>
      <c r="AW60" s="4"/>
      <c r="AX60" s="4"/>
      <c r="AY60" s="4"/>
      <c r="AZ60" s="4">
        <f t="shared" ca="1" si="57"/>
        <v>0</v>
      </c>
      <c r="BA60" s="4"/>
      <c r="BB60" s="4"/>
      <c r="BC60" s="4"/>
      <c r="BD60" s="4"/>
      <c r="BE60" s="10"/>
      <c r="BF60" s="19"/>
      <c r="BG60" s="19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</row>
    <row r="61" spans="1:142" s="24" customFormat="1" ht="15" customHeight="1">
      <c r="A61" s="4">
        <v>37</v>
      </c>
      <c r="B61" s="268" t="str">
        <f t="shared" ca="1" si="58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9"/>
        <v xml:space="preserve"> </v>
      </c>
      <c r="I61" s="84">
        <f t="shared" ca="1" si="60"/>
        <v>0</v>
      </c>
      <c r="J61" s="84">
        <f t="shared" ca="1" si="41"/>
        <v>0</v>
      </c>
      <c r="K61" s="84">
        <v>0</v>
      </c>
      <c r="L61" s="84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2">
        <f t="shared" ca="1" si="43"/>
        <v>0</v>
      </c>
      <c r="Q61" s="22">
        <f t="shared" ca="1" si="44"/>
        <v>0</v>
      </c>
      <c r="R61" s="22">
        <f t="shared" ca="1" si="62"/>
        <v>0</v>
      </c>
      <c r="S61" s="22" t="str">
        <f t="shared" ca="1" si="63"/>
        <v xml:space="preserve"> </v>
      </c>
      <c r="T61" s="22" t="e">
        <f t="shared" ca="1" si="64"/>
        <v>#VALUE!</v>
      </c>
      <c r="U61" s="22">
        <f ca="1">IF(N62=1,R60*D$11*20/36000+R61*D$11*10/36000,IF(N62=0,IF(N61=0,0,IF(D$16&gt;20,R60*D$11*20/36000+R61*D$11*(Q$12-20)/36000,R61*D$11*Q$12/36000))))</f>
        <v>0</v>
      </c>
      <c r="V61" s="22">
        <f ca="1">IF(N62=1,R60*D$11*20/36000+R61*D$11*10/36000,IF(N62=0,IF(N61=0,0,IF(D$16&gt;20,R60*D$11*20/36000+R61*D$11*(Q$12-20)/36000,R61*D$11*Q$12/36000))))</f>
        <v>0</v>
      </c>
      <c r="W61" s="22">
        <f t="shared" ca="1" si="65"/>
        <v>0</v>
      </c>
      <c r="X61" s="22">
        <f t="shared" ca="1" si="66"/>
        <v>0</v>
      </c>
      <c r="Y61" s="22">
        <f t="shared" ca="1" si="45"/>
        <v>0</v>
      </c>
      <c r="Z61" s="22">
        <f ca="1">IF(N62=1,Y60*D$11*20/36000+Y61*D$11*10/36000,IF(N62=0,IF(N61=0,0,IF(D$16&gt;20,Y60*D$11*20/36000+Y61*D$11*(Q$12-20)/36000,Y61*D$11*Q$12/36000))))</f>
        <v>0</v>
      </c>
      <c r="AA61" s="22">
        <f t="shared" ca="1" si="46"/>
        <v>0</v>
      </c>
      <c r="AB61" s="22">
        <f t="shared" ca="1" si="35"/>
        <v>0</v>
      </c>
      <c r="AC61" s="22"/>
      <c r="AD61" s="22">
        <f t="shared" ca="1" si="47"/>
        <v>0</v>
      </c>
      <c r="AE61" s="22">
        <f t="shared" ca="1" si="48"/>
        <v>0</v>
      </c>
      <c r="AF61" s="22">
        <f t="shared" ca="1" si="67"/>
        <v>0</v>
      </c>
      <c r="AG61" s="22">
        <f t="shared" ca="1" si="49"/>
        <v>0</v>
      </c>
      <c r="AH61" s="22">
        <f t="shared" ca="1" si="68"/>
        <v>0</v>
      </c>
      <c r="AI61" s="22">
        <f t="shared" ca="1" si="50"/>
        <v>0</v>
      </c>
      <c r="AJ61" s="22">
        <f t="shared" ca="1" si="51"/>
        <v>0</v>
      </c>
      <c r="AK61" s="22">
        <f ca="1">IF(N62=1,AJ60*G$12*20/36000+AJ61*G$12*10/36000,IF(N62=0,IF(N61=0,0,AJ61*G$12*Q$12/36000)))</f>
        <v>0</v>
      </c>
      <c r="AL61" s="22">
        <f ca="1">IF(N62=1,AJ60*G$12*20/36000+AJ61*G$12*10/36000,IF(N62=0,IF(N61=0,0,AJ61*G$12*Q$12/36000)))</f>
        <v>0</v>
      </c>
      <c r="AM61" s="69">
        <f t="shared" ca="1" si="69"/>
        <v>0</v>
      </c>
      <c r="AN61" s="69">
        <f t="shared" ca="1" si="52"/>
        <v>0</v>
      </c>
      <c r="AO61" s="4">
        <f t="shared" ca="1" si="70"/>
        <v>0</v>
      </c>
      <c r="AP61" s="4">
        <f t="shared" ca="1" si="53"/>
        <v>0</v>
      </c>
      <c r="AQ61" s="4">
        <f t="shared" ca="1" si="54"/>
        <v>0</v>
      </c>
      <c r="AR61" s="4">
        <f t="shared" ca="1" si="55"/>
        <v>30</v>
      </c>
      <c r="AS61" s="4">
        <f t="shared" si="56"/>
        <v>20</v>
      </c>
      <c r="AT61" s="4">
        <f t="shared" ca="1" si="71"/>
        <v>30</v>
      </c>
      <c r="AU61" s="4"/>
      <c r="AV61" s="4"/>
      <c r="AW61" s="4"/>
      <c r="AX61" s="4"/>
      <c r="AY61" s="4"/>
      <c r="AZ61" s="4">
        <f t="shared" ca="1" si="57"/>
        <v>0</v>
      </c>
      <c r="BA61" s="4"/>
      <c r="BB61" s="4"/>
      <c r="BC61" s="4"/>
      <c r="BD61" s="4"/>
      <c r="BE61" s="10"/>
      <c r="BF61" s="19"/>
      <c r="BG61" s="19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</row>
    <row r="62" spans="1:142" s="24" customFormat="1" ht="15" customHeight="1">
      <c r="A62" s="4">
        <v>38</v>
      </c>
      <c r="B62" s="268" t="str">
        <f t="shared" ca="1" si="58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9"/>
        <v xml:space="preserve"> </v>
      </c>
      <c r="I62" s="84">
        <f t="shared" ca="1" si="60"/>
        <v>0</v>
      </c>
      <c r="J62" s="84">
        <f t="shared" ca="1" si="41"/>
        <v>0</v>
      </c>
      <c r="K62" s="84">
        <v>0</v>
      </c>
      <c r="L62" s="84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2">
        <f t="shared" ca="1" si="43"/>
        <v>0</v>
      </c>
      <c r="Q62" s="22">
        <f t="shared" ca="1" si="44"/>
        <v>0</v>
      </c>
      <c r="R62" s="22">
        <f t="shared" ca="1" si="62"/>
        <v>0</v>
      </c>
      <c r="S62" s="22" t="str">
        <f t="shared" ca="1" si="63"/>
        <v xml:space="preserve"> </v>
      </c>
      <c r="T62" s="22" t="e">
        <f t="shared" ca="1" si="64"/>
        <v>#VALUE!</v>
      </c>
      <c r="U62" s="22">
        <f t="shared" ref="U62:U72" ca="1" si="72">IF(N63=1,R61*D$11*20/36000+R62*D$11*10/36000,IF(N63=0,IF(N62=0,0,R62*D$11*Q$12/36000+R61*D$11*20/36000+R62*D$11*10/36000)))</f>
        <v>0</v>
      </c>
      <c r="V62" s="22">
        <f t="shared" ref="V62:V72" ca="1" si="73">IF(N63=1,R61*D$11*20/36000+R62*D$11*10/36000,IF(N63=0,IF(N62=0,0,R62*D$11*Q$12/36000+R61*D$11*20/36000+R62*D$11*10/36000)))</f>
        <v>0</v>
      </c>
      <c r="W62" s="22">
        <f t="shared" ca="1" si="65"/>
        <v>0</v>
      </c>
      <c r="X62" s="22">
        <f t="shared" ca="1" si="66"/>
        <v>0</v>
      </c>
      <c r="Y62" s="22">
        <f t="shared" ca="1" si="45"/>
        <v>0</v>
      </c>
      <c r="Z62" s="22">
        <f t="shared" ref="Z62:Z72" ca="1" si="74">IF(N63=1,Y61*D$11*20/36000+Y62*D$11*10/36000,IF(N63=0,IF(N62=0,0,Y62*D$11*Q$12/36000+Y61*D$11*20/36000+Y62*D$11*10/36000)))</f>
        <v>0</v>
      </c>
      <c r="AA62" s="22">
        <f t="shared" ca="1" si="46"/>
        <v>0</v>
      </c>
      <c r="AB62" s="22">
        <f t="shared" ca="1" si="35"/>
        <v>0</v>
      </c>
      <c r="AC62" s="22"/>
      <c r="AD62" s="22">
        <f t="shared" ca="1" si="47"/>
        <v>0</v>
      </c>
      <c r="AE62" s="22">
        <f t="shared" ca="1" si="48"/>
        <v>0</v>
      </c>
      <c r="AF62" s="22">
        <f t="shared" ca="1" si="67"/>
        <v>0</v>
      </c>
      <c r="AG62" s="22">
        <f t="shared" ca="1" si="49"/>
        <v>0</v>
      </c>
      <c r="AH62" s="22">
        <f t="shared" ca="1" si="68"/>
        <v>0</v>
      </c>
      <c r="AI62" s="22">
        <f t="shared" ca="1" si="50"/>
        <v>0</v>
      </c>
      <c r="AJ62" s="22">
        <f t="shared" ca="1" si="51"/>
        <v>0</v>
      </c>
      <c r="AK62" s="22">
        <f t="shared" ref="AK62:AK72" ca="1" si="75">IF(N63=1,AJ61*G$12*20/36000+AJ62*G$12*10/36000,IF(N63=0,IF(N62=0,0,AJ62*G$12*Q$12/36000+AJ61*G$12*20/36000+AJ62*G$12*10/36000)))</f>
        <v>0</v>
      </c>
      <c r="AL62" s="22">
        <f t="shared" ref="AL62:AL72" ca="1" si="76">IF(N63=1,AJ61*G$12*20/36000+AJ62*G$12*10/36000,IF(N63=0,IF(N62=0,0,AJ62*G$12*Q$12/36000+AJ61*G$12*20/36000+AJ62*G$12*10/36000)))</f>
        <v>0</v>
      </c>
      <c r="AM62" s="69">
        <f t="shared" ca="1" si="69"/>
        <v>0</v>
      </c>
      <c r="AN62" s="69">
        <f t="shared" ca="1" si="52"/>
        <v>0</v>
      </c>
      <c r="AO62" s="4">
        <f t="shared" ca="1" si="70"/>
        <v>0</v>
      </c>
      <c r="AP62" s="4">
        <f t="shared" ca="1" si="53"/>
        <v>0</v>
      </c>
      <c r="AQ62" s="4">
        <f t="shared" ca="1" si="54"/>
        <v>0</v>
      </c>
      <c r="AR62" s="4">
        <f t="shared" ca="1" si="55"/>
        <v>30</v>
      </c>
      <c r="AS62" s="4">
        <f t="shared" si="56"/>
        <v>20</v>
      </c>
      <c r="AT62" s="4">
        <f t="shared" ca="1" si="71"/>
        <v>30</v>
      </c>
      <c r="AU62" s="4"/>
      <c r="AV62" s="4"/>
      <c r="AW62" s="4"/>
      <c r="AX62" s="4"/>
      <c r="AY62" s="4"/>
      <c r="AZ62" s="4">
        <f t="shared" ca="1" si="57"/>
        <v>0</v>
      </c>
      <c r="BA62" s="4"/>
      <c r="BB62" s="4"/>
      <c r="BC62" s="4"/>
      <c r="BD62" s="4"/>
      <c r="BE62" s="10"/>
      <c r="BF62" s="19"/>
      <c r="BG62" s="19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</row>
    <row r="63" spans="1:142" s="24" customFormat="1" ht="15" customHeight="1">
      <c r="A63" s="4">
        <v>39</v>
      </c>
      <c r="B63" s="268" t="str">
        <f t="shared" ca="1" si="58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9"/>
        <v xml:space="preserve"> </v>
      </c>
      <c r="I63" s="84">
        <f t="shared" ca="1" si="60"/>
        <v>0</v>
      </c>
      <c r="J63" s="84">
        <f t="shared" ca="1" si="41"/>
        <v>0</v>
      </c>
      <c r="K63" s="84">
        <v>0</v>
      </c>
      <c r="L63" s="84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2">
        <f t="shared" ca="1" si="43"/>
        <v>0</v>
      </c>
      <c r="Q63" s="22">
        <f t="shared" ca="1" si="44"/>
        <v>0</v>
      </c>
      <c r="R63" s="22">
        <f t="shared" ca="1" si="62"/>
        <v>0</v>
      </c>
      <c r="S63" s="22" t="str">
        <f t="shared" ca="1" si="63"/>
        <v xml:space="preserve"> </v>
      </c>
      <c r="T63" s="22" t="e">
        <f t="shared" ca="1" si="64"/>
        <v>#VALUE!</v>
      </c>
      <c r="U63" s="22">
        <f t="shared" ca="1" si="72"/>
        <v>0</v>
      </c>
      <c r="V63" s="22">
        <f t="shared" ca="1" si="73"/>
        <v>0</v>
      </c>
      <c r="W63" s="22">
        <f t="shared" ca="1" si="65"/>
        <v>0</v>
      </c>
      <c r="X63" s="22">
        <f t="shared" ca="1" si="66"/>
        <v>0</v>
      </c>
      <c r="Y63" s="22">
        <f t="shared" ca="1" si="45"/>
        <v>0</v>
      </c>
      <c r="Z63" s="22">
        <f t="shared" ca="1" si="74"/>
        <v>0</v>
      </c>
      <c r="AA63" s="22">
        <f t="shared" ca="1" si="46"/>
        <v>0</v>
      </c>
      <c r="AB63" s="22">
        <f t="shared" ca="1" si="35"/>
        <v>0</v>
      </c>
      <c r="AC63" s="22"/>
      <c r="AD63" s="22">
        <f t="shared" ca="1" si="47"/>
        <v>0</v>
      </c>
      <c r="AE63" s="22">
        <f t="shared" ca="1" si="48"/>
        <v>0</v>
      </c>
      <c r="AF63" s="22">
        <f t="shared" ca="1" si="67"/>
        <v>0</v>
      </c>
      <c r="AG63" s="22">
        <f t="shared" ca="1" si="49"/>
        <v>0</v>
      </c>
      <c r="AH63" s="22">
        <f t="shared" ca="1" si="68"/>
        <v>0</v>
      </c>
      <c r="AI63" s="22">
        <f t="shared" ca="1" si="50"/>
        <v>0</v>
      </c>
      <c r="AJ63" s="22">
        <f t="shared" ca="1" si="51"/>
        <v>0</v>
      </c>
      <c r="AK63" s="22">
        <f t="shared" ca="1" si="75"/>
        <v>0</v>
      </c>
      <c r="AL63" s="22">
        <f t="shared" ca="1" si="76"/>
        <v>0</v>
      </c>
      <c r="AM63" s="69">
        <f t="shared" ca="1" si="69"/>
        <v>0</v>
      </c>
      <c r="AN63" s="69">
        <f t="shared" ca="1" si="52"/>
        <v>0</v>
      </c>
      <c r="AO63" s="4">
        <f t="shared" ca="1" si="70"/>
        <v>0</v>
      </c>
      <c r="AP63" s="4">
        <f t="shared" ca="1" si="53"/>
        <v>0</v>
      </c>
      <c r="AQ63" s="4">
        <f t="shared" ca="1" si="54"/>
        <v>0</v>
      </c>
      <c r="AR63" s="4">
        <f t="shared" ca="1" si="55"/>
        <v>30</v>
      </c>
      <c r="AS63" s="4">
        <f t="shared" si="56"/>
        <v>20</v>
      </c>
      <c r="AT63" s="4">
        <f t="shared" ca="1" si="71"/>
        <v>30</v>
      </c>
      <c r="AU63" s="4"/>
      <c r="AV63" s="4"/>
      <c r="AW63" s="4"/>
      <c r="AX63" s="4"/>
      <c r="AY63" s="4"/>
      <c r="AZ63" s="4">
        <f t="shared" ca="1" si="57"/>
        <v>0</v>
      </c>
      <c r="BA63" s="4"/>
      <c r="BB63" s="4"/>
      <c r="BC63" s="4"/>
      <c r="BD63" s="4"/>
      <c r="BE63" s="10"/>
      <c r="BF63" s="19"/>
      <c r="BG63" s="19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</row>
    <row r="64" spans="1:142" s="24" customFormat="1" ht="15" customHeight="1">
      <c r="A64" s="4">
        <v>40</v>
      </c>
      <c r="B64" s="268" t="str">
        <f t="shared" ca="1" si="58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9"/>
        <v xml:space="preserve"> </v>
      </c>
      <c r="I64" s="84">
        <f t="shared" ca="1" si="60"/>
        <v>0</v>
      </c>
      <c r="J64" s="84">
        <f t="shared" ca="1" si="41"/>
        <v>0</v>
      </c>
      <c r="K64" s="84">
        <v>0</v>
      </c>
      <c r="L64" s="84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2">
        <f t="shared" ca="1" si="43"/>
        <v>0</v>
      </c>
      <c r="Q64" s="22">
        <f t="shared" ca="1" si="44"/>
        <v>0</v>
      </c>
      <c r="R64" s="22">
        <f t="shared" ca="1" si="62"/>
        <v>0</v>
      </c>
      <c r="S64" s="22" t="str">
        <f t="shared" ca="1" si="63"/>
        <v xml:space="preserve"> </v>
      </c>
      <c r="T64" s="22" t="e">
        <f t="shared" ca="1" si="64"/>
        <v>#VALUE!</v>
      </c>
      <c r="U64" s="22">
        <f t="shared" ca="1" si="72"/>
        <v>0</v>
      </c>
      <c r="V64" s="22">
        <f t="shared" ca="1" si="73"/>
        <v>0</v>
      </c>
      <c r="W64" s="22">
        <f t="shared" ca="1" si="65"/>
        <v>0</v>
      </c>
      <c r="X64" s="22">
        <f t="shared" ca="1" si="66"/>
        <v>0</v>
      </c>
      <c r="Y64" s="22">
        <f t="shared" ca="1" si="45"/>
        <v>0</v>
      </c>
      <c r="Z64" s="22">
        <f t="shared" ca="1" si="74"/>
        <v>0</v>
      </c>
      <c r="AA64" s="22">
        <f t="shared" ca="1" si="46"/>
        <v>0</v>
      </c>
      <c r="AB64" s="22">
        <f t="shared" ca="1" si="35"/>
        <v>0</v>
      </c>
      <c r="AC64" s="22"/>
      <c r="AD64" s="22">
        <f t="shared" ca="1" si="47"/>
        <v>0</v>
      </c>
      <c r="AE64" s="22">
        <f t="shared" ca="1" si="48"/>
        <v>0</v>
      </c>
      <c r="AF64" s="22">
        <f t="shared" ca="1" si="67"/>
        <v>0</v>
      </c>
      <c r="AG64" s="22">
        <f t="shared" ca="1" si="49"/>
        <v>0</v>
      </c>
      <c r="AH64" s="22">
        <f t="shared" ca="1" si="68"/>
        <v>0</v>
      </c>
      <c r="AI64" s="22">
        <f t="shared" ca="1" si="50"/>
        <v>0</v>
      </c>
      <c r="AJ64" s="22">
        <f t="shared" ca="1" si="51"/>
        <v>0</v>
      </c>
      <c r="AK64" s="22">
        <f t="shared" ca="1" si="75"/>
        <v>0</v>
      </c>
      <c r="AL64" s="22">
        <f t="shared" ca="1" si="76"/>
        <v>0</v>
      </c>
      <c r="AM64" s="69">
        <f t="shared" ca="1" si="69"/>
        <v>0</v>
      </c>
      <c r="AN64" s="69">
        <f t="shared" ca="1" si="52"/>
        <v>0</v>
      </c>
      <c r="AO64" s="4">
        <f t="shared" ca="1" si="70"/>
        <v>0</v>
      </c>
      <c r="AP64" s="4">
        <f t="shared" ca="1" si="53"/>
        <v>0</v>
      </c>
      <c r="AQ64" s="4">
        <f t="shared" ca="1" si="54"/>
        <v>0</v>
      </c>
      <c r="AR64" s="4">
        <f t="shared" ca="1" si="55"/>
        <v>30</v>
      </c>
      <c r="AS64" s="4">
        <f t="shared" si="56"/>
        <v>20</v>
      </c>
      <c r="AT64" s="4">
        <f t="shared" ca="1" si="71"/>
        <v>30</v>
      </c>
      <c r="AU64" s="4"/>
      <c r="AV64" s="4"/>
      <c r="AW64" s="4"/>
      <c r="AX64" s="4"/>
      <c r="AY64" s="4"/>
      <c r="AZ64" s="4">
        <f t="shared" ca="1" si="57"/>
        <v>0</v>
      </c>
      <c r="BA64" s="4"/>
      <c r="BB64" s="4"/>
      <c r="BC64" s="4"/>
      <c r="BD64" s="4"/>
      <c r="BE64" s="10"/>
      <c r="BF64" s="19"/>
      <c r="BG64" s="19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</row>
    <row r="65" spans="1:142" s="24" customFormat="1" ht="15" customHeight="1">
      <c r="A65" s="4">
        <v>41</v>
      </c>
      <c r="B65" s="268" t="str">
        <f t="shared" ca="1" si="58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9"/>
        <v xml:space="preserve"> </v>
      </c>
      <c r="I65" s="84">
        <f t="shared" ca="1" si="60"/>
        <v>0</v>
      </c>
      <c r="J65" s="84">
        <f t="shared" ca="1" si="41"/>
        <v>0</v>
      </c>
      <c r="K65" s="84">
        <v>0</v>
      </c>
      <c r="L65" s="84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2">
        <f t="shared" ca="1" si="43"/>
        <v>0</v>
      </c>
      <c r="Q65" s="22">
        <f t="shared" ca="1" si="44"/>
        <v>0</v>
      </c>
      <c r="R65" s="22">
        <f t="shared" ca="1" si="62"/>
        <v>0</v>
      </c>
      <c r="S65" s="22" t="str">
        <f t="shared" ca="1" si="63"/>
        <v xml:space="preserve"> </v>
      </c>
      <c r="T65" s="22" t="e">
        <f t="shared" ca="1" si="64"/>
        <v>#VALUE!</v>
      </c>
      <c r="U65" s="22">
        <f t="shared" ca="1" si="72"/>
        <v>0</v>
      </c>
      <c r="V65" s="22">
        <f t="shared" ca="1" si="73"/>
        <v>0</v>
      </c>
      <c r="W65" s="22">
        <f t="shared" ca="1" si="65"/>
        <v>0</v>
      </c>
      <c r="X65" s="22">
        <f t="shared" ca="1" si="66"/>
        <v>0</v>
      </c>
      <c r="Y65" s="22">
        <f t="shared" ca="1" si="45"/>
        <v>0</v>
      </c>
      <c r="Z65" s="22">
        <f t="shared" ca="1" si="74"/>
        <v>0</v>
      </c>
      <c r="AA65" s="22">
        <f t="shared" ca="1" si="46"/>
        <v>0</v>
      </c>
      <c r="AB65" s="22">
        <f t="shared" ca="1" si="35"/>
        <v>0</v>
      </c>
      <c r="AC65" s="22"/>
      <c r="AD65" s="22">
        <f t="shared" ca="1" si="47"/>
        <v>0</v>
      </c>
      <c r="AE65" s="22">
        <f t="shared" ca="1" si="48"/>
        <v>0</v>
      </c>
      <c r="AF65" s="22">
        <f t="shared" ca="1" si="67"/>
        <v>0</v>
      </c>
      <c r="AG65" s="22">
        <f t="shared" ca="1" si="49"/>
        <v>0</v>
      </c>
      <c r="AH65" s="22">
        <f t="shared" ca="1" si="68"/>
        <v>0</v>
      </c>
      <c r="AI65" s="22">
        <f t="shared" ca="1" si="50"/>
        <v>0</v>
      </c>
      <c r="AJ65" s="22">
        <f t="shared" ca="1" si="51"/>
        <v>0</v>
      </c>
      <c r="AK65" s="22">
        <f t="shared" ca="1" si="75"/>
        <v>0</v>
      </c>
      <c r="AL65" s="22">
        <f t="shared" ca="1" si="76"/>
        <v>0</v>
      </c>
      <c r="AM65" s="69">
        <f t="shared" ca="1" si="69"/>
        <v>0</v>
      </c>
      <c r="AN65" s="69">
        <f t="shared" ca="1" si="52"/>
        <v>0</v>
      </c>
      <c r="AO65" s="4">
        <f t="shared" ca="1" si="70"/>
        <v>0</v>
      </c>
      <c r="AP65" s="4">
        <f t="shared" ca="1" si="53"/>
        <v>0</v>
      </c>
      <c r="AQ65" s="4">
        <f t="shared" ca="1" si="54"/>
        <v>0</v>
      </c>
      <c r="AR65" s="4">
        <f t="shared" ca="1" si="55"/>
        <v>30</v>
      </c>
      <c r="AS65" s="4">
        <f t="shared" si="56"/>
        <v>20</v>
      </c>
      <c r="AT65" s="4">
        <f t="shared" ca="1" si="71"/>
        <v>30</v>
      </c>
      <c r="AU65" s="4"/>
      <c r="AV65" s="4"/>
      <c r="AW65" s="4"/>
      <c r="AX65" s="4"/>
      <c r="AY65" s="4"/>
      <c r="AZ65" s="4">
        <f t="shared" ca="1" si="57"/>
        <v>0</v>
      </c>
      <c r="BA65" s="4"/>
      <c r="BB65" s="4"/>
      <c r="BC65" s="4"/>
      <c r="BD65" s="4"/>
      <c r="BE65" s="10"/>
      <c r="BF65" s="19"/>
      <c r="BG65" s="19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</row>
    <row r="66" spans="1:142" s="24" customFormat="1" ht="15" customHeight="1">
      <c r="A66" s="4">
        <v>42</v>
      </c>
      <c r="B66" s="268" t="str">
        <f t="shared" ca="1" si="58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9"/>
        <v xml:space="preserve"> </v>
      </c>
      <c r="I66" s="84">
        <f t="shared" ca="1" si="60"/>
        <v>0</v>
      </c>
      <c r="J66" s="84">
        <f t="shared" ca="1" si="41"/>
        <v>0</v>
      </c>
      <c r="K66" s="84">
        <v>0</v>
      </c>
      <c r="L66" s="84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2">
        <f t="shared" ca="1" si="43"/>
        <v>0</v>
      </c>
      <c r="Q66" s="22">
        <f t="shared" ca="1" si="44"/>
        <v>0</v>
      </c>
      <c r="R66" s="22">
        <f t="shared" ca="1" si="62"/>
        <v>0</v>
      </c>
      <c r="S66" s="22" t="str">
        <f t="shared" ca="1" si="63"/>
        <v xml:space="preserve"> </v>
      </c>
      <c r="T66" s="22" t="e">
        <f t="shared" ca="1" si="64"/>
        <v>#VALUE!</v>
      </c>
      <c r="U66" s="22">
        <f t="shared" ca="1" si="72"/>
        <v>0</v>
      </c>
      <c r="V66" s="22">
        <f t="shared" ca="1" si="73"/>
        <v>0</v>
      </c>
      <c r="W66" s="22">
        <f t="shared" ca="1" si="65"/>
        <v>0</v>
      </c>
      <c r="X66" s="22">
        <f t="shared" ca="1" si="66"/>
        <v>0</v>
      </c>
      <c r="Y66" s="22">
        <f t="shared" ca="1" si="45"/>
        <v>0</v>
      </c>
      <c r="Z66" s="22">
        <f t="shared" ca="1" si="74"/>
        <v>0</v>
      </c>
      <c r="AA66" s="22">
        <f t="shared" ca="1" si="46"/>
        <v>0</v>
      </c>
      <c r="AB66" s="22">
        <f t="shared" ca="1" si="35"/>
        <v>0</v>
      </c>
      <c r="AC66" s="22"/>
      <c r="AD66" s="22">
        <f t="shared" ca="1" si="47"/>
        <v>0</v>
      </c>
      <c r="AE66" s="22">
        <f t="shared" ca="1" si="48"/>
        <v>0</v>
      </c>
      <c r="AF66" s="22">
        <f t="shared" ca="1" si="67"/>
        <v>0</v>
      </c>
      <c r="AG66" s="22">
        <f t="shared" ca="1" si="49"/>
        <v>0</v>
      </c>
      <c r="AH66" s="22">
        <f t="shared" ca="1" si="68"/>
        <v>0</v>
      </c>
      <c r="AI66" s="22">
        <f t="shared" ca="1" si="50"/>
        <v>0</v>
      </c>
      <c r="AJ66" s="22">
        <f t="shared" ca="1" si="51"/>
        <v>0</v>
      </c>
      <c r="AK66" s="22">
        <f t="shared" ca="1" si="75"/>
        <v>0</v>
      </c>
      <c r="AL66" s="22">
        <f t="shared" ca="1" si="76"/>
        <v>0</v>
      </c>
      <c r="AM66" s="69">
        <f t="shared" ca="1" si="69"/>
        <v>0</v>
      </c>
      <c r="AN66" s="69">
        <f t="shared" ca="1" si="52"/>
        <v>0</v>
      </c>
      <c r="AO66" s="4">
        <f t="shared" ca="1" si="70"/>
        <v>0</v>
      </c>
      <c r="AP66" s="4">
        <f t="shared" ca="1" si="53"/>
        <v>0</v>
      </c>
      <c r="AQ66" s="4">
        <f t="shared" ca="1" si="54"/>
        <v>0</v>
      </c>
      <c r="AR66" s="4">
        <f t="shared" ca="1" si="55"/>
        <v>30</v>
      </c>
      <c r="AS66" s="4">
        <f t="shared" si="56"/>
        <v>20</v>
      </c>
      <c r="AT66" s="4">
        <f t="shared" ca="1" si="71"/>
        <v>30</v>
      </c>
      <c r="AU66" s="4"/>
      <c r="AV66" s="4"/>
      <c r="AW66" s="4"/>
      <c r="AX66" s="4"/>
      <c r="AY66" s="4"/>
      <c r="AZ66" s="4">
        <f t="shared" ca="1" si="57"/>
        <v>0</v>
      </c>
      <c r="BA66" s="4"/>
      <c r="BB66" s="4"/>
      <c r="BC66" s="4"/>
      <c r="BD66" s="4"/>
      <c r="BE66" s="10"/>
      <c r="BF66" s="19"/>
      <c r="BG66" s="19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</row>
    <row r="67" spans="1:142" s="24" customFormat="1" ht="15" customHeight="1">
      <c r="A67" s="4">
        <v>43</v>
      </c>
      <c r="B67" s="268" t="str">
        <f t="shared" ca="1" si="58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9"/>
        <v xml:space="preserve"> </v>
      </c>
      <c r="I67" s="84">
        <f t="shared" ca="1" si="60"/>
        <v>0</v>
      </c>
      <c r="J67" s="84">
        <f t="shared" ca="1" si="41"/>
        <v>0</v>
      </c>
      <c r="K67" s="84">
        <v>0</v>
      </c>
      <c r="L67" s="84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2">
        <f t="shared" ca="1" si="43"/>
        <v>0</v>
      </c>
      <c r="Q67" s="22">
        <f t="shared" ca="1" si="44"/>
        <v>0</v>
      </c>
      <c r="R67" s="22">
        <f t="shared" ca="1" si="62"/>
        <v>0</v>
      </c>
      <c r="S67" s="22" t="str">
        <f t="shared" ca="1" si="63"/>
        <v xml:space="preserve"> </v>
      </c>
      <c r="T67" s="22" t="e">
        <f t="shared" ca="1" si="64"/>
        <v>#VALUE!</v>
      </c>
      <c r="U67" s="22">
        <f t="shared" ca="1" si="72"/>
        <v>0</v>
      </c>
      <c r="V67" s="22">
        <f t="shared" ca="1" si="73"/>
        <v>0</v>
      </c>
      <c r="W67" s="22">
        <f t="shared" ca="1" si="65"/>
        <v>0</v>
      </c>
      <c r="X67" s="22">
        <f t="shared" ca="1" si="66"/>
        <v>0</v>
      </c>
      <c r="Y67" s="22">
        <f t="shared" ca="1" si="45"/>
        <v>0</v>
      </c>
      <c r="Z67" s="22">
        <f t="shared" ca="1" si="74"/>
        <v>0</v>
      </c>
      <c r="AA67" s="22">
        <f t="shared" ca="1" si="46"/>
        <v>0</v>
      </c>
      <c r="AB67" s="22">
        <f t="shared" ca="1" si="35"/>
        <v>0</v>
      </c>
      <c r="AC67" s="22"/>
      <c r="AD67" s="22">
        <f t="shared" ca="1" si="47"/>
        <v>0</v>
      </c>
      <c r="AE67" s="22">
        <f t="shared" ca="1" si="48"/>
        <v>0</v>
      </c>
      <c r="AF67" s="22">
        <f t="shared" ca="1" si="67"/>
        <v>0</v>
      </c>
      <c r="AG67" s="22">
        <f t="shared" ca="1" si="49"/>
        <v>0</v>
      </c>
      <c r="AH67" s="22">
        <f t="shared" ca="1" si="68"/>
        <v>0</v>
      </c>
      <c r="AI67" s="22">
        <f t="shared" ca="1" si="50"/>
        <v>0</v>
      </c>
      <c r="AJ67" s="22">
        <f t="shared" ca="1" si="51"/>
        <v>0</v>
      </c>
      <c r="AK67" s="22">
        <f t="shared" ca="1" si="75"/>
        <v>0</v>
      </c>
      <c r="AL67" s="22">
        <f t="shared" ca="1" si="76"/>
        <v>0</v>
      </c>
      <c r="AM67" s="69">
        <f t="shared" ca="1" si="69"/>
        <v>0</v>
      </c>
      <c r="AN67" s="69">
        <f t="shared" ca="1" si="52"/>
        <v>0</v>
      </c>
      <c r="AO67" s="4">
        <f t="shared" ca="1" si="70"/>
        <v>0</v>
      </c>
      <c r="AP67" s="4">
        <f t="shared" ca="1" si="53"/>
        <v>0</v>
      </c>
      <c r="AQ67" s="4">
        <f t="shared" ca="1" si="54"/>
        <v>0</v>
      </c>
      <c r="AR67" s="4">
        <f t="shared" ca="1" si="55"/>
        <v>30</v>
      </c>
      <c r="AS67" s="4">
        <f t="shared" si="56"/>
        <v>20</v>
      </c>
      <c r="AT67" s="4">
        <f t="shared" ca="1" si="71"/>
        <v>30</v>
      </c>
      <c r="AU67" s="4"/>
      <c r="AV67" s="4"/>
      <c r="AW67" s="4"/>
      <c r="AX67" s="4"/>
      <c r="AY67" s="4"/>
      <c r="AZ67" s="4">
        <f t="shared" ca="1" si="57"/>
        <v>0</v>
      </c>
      <c r="BA67" s="4"/>
      <c r="BB67" s="4"/>
      <c r="BC67" s="4"/>
      <c r="BD67" s="4"/>
      <c r="BE67" s="10"/>
      <c r="BF67" s="19"/>
      <c r="BG67" s="19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</row>
    <row r="68" spans="1:142" s="24" customFormat="1" ht="15" customHeight="1">
      <c r="A68" s="4">
        <v>44</v>
      </c>
      <c r="B68" s="268" t="str">
        <f t="shared" ca="1" si="58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9"/>
        <v xml:space="preserve"> </v>
      </c>
      <c r="I68" s="84">
        <f t="shared" ca="1" si="60"/>
        <v>0</v>
      </c>
      <c r="J68" s="84">
        <f t="shared" ca="1" si="41"/>
        <v>0</v>
      </c>
      <c r="K68" s="84">
        <v>0</v>
      </c>
      <c r="L68" s="84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2">
        <f t="shared" ca="1" si="43"/>
        <v>0</v>
      </c>
      <c r="Q68" s="22">
        <f t="shared" ca="1" si="44"/>
        <v>0</v>
      </c>
      <c r="R68" s="22">
        <f t="shared" ca="1" si="62"/>
        <v>0</v>
      </c>
      <c r="S68" s="22" t="str">
        <f t="shared" ca="1" si="63"/>
        <v xml:space="preserve"> </v>
      </c>
      <c r="T68" s="22" t="e">
        <f t="shared" ca="1" si="64"/>
        <v>#VALUE!</v>
      </c>
      <c r="U68" s="22">
        <f t="shared" ca="1" si="72"/>
        <v>0</v>
      </c>
      <c r="V68" s="22">
        <f t="shared" ca="1" si="73"/>
        <v>0</v>
      </c>
      <c r="W68" s="22">
        <f t="shared" ca="1" si="65"/>
        <v>0</v>
      </c>
      <c r="X68" s="22">
        <f t="shared" ca="1" si="66"/>
        <v>0</v>
      </c>
      <c r="Y68" s="22">
        <f t="shared" ca="1" si="45"/>
        <v>0</v>
      </c>
      <c r="Z68" s="22">
        <f t="shared" ca="1" si="74"/>
        <v>0</v>
      </c>
      <c r="AA68" s="22">
        <f t="shared" ca="1" si="46"/>
        <v>0</v>
      </c>
      <c r="AB68" s="22">
        <f t="shared" ca="1" si="35"/>
        <v>0</v>
      </c>
      <c r="AC68" s="22"/>
      <c r="AD68" s="22">
        <f t="shared" ca="1" si="47"/>
        <v>0</v>
      </c>
      <c r="AE68" s="22">
        <f t="shared" ca="1" si="48"/>
        <v>0</v>
      </c>
      <c r="AF68" s="22">
        <f t="shared" ca="1" si="67"/>
        <v>0</v>
      </c>
      <c r="AG68" s="22">
        <f t="shared" ca="1" si="49"/>
        <v>0</v>
      </c>
      <c r="AH68" s="22">
        <f t="shared" ca="1" si="68"/>
        <v>0</v>
      </c>
      <c r="AI68" s="22">
        <f t="shared" ca="1" si="50"/>
        <v>0</v>
      </c>
      <c r="AJ68" s="22">
        <f t="shared" ca="1" si="51"/>
        <v>0</v>
      </c>
      <c r="AK68" s="22">
        <f t="shared" ca="1" si="75"/>
        <v>0</v>
      </c>
      <c r="AL68" s="22">
        <f t="shared" ca="1" si="76"/>
        <v>0</v>
      </c>
      <c r="AM68" s="69">
        <f t="shared" ca="1" si="69"/>
        <v>0</v>
      </c>
      <c r="AN68" s="69">
        <f t="shared" ca="1" si="52"/>
        <v>0</v>
      </c>
      <c r="AO68" s="4">
        <f t="shared" ca="1" si="70"/>
        <v>0</v>
      </c>
      <c r="AP68" s="4">
        <f t="shared" ca="1" si="53"/>
        <v>0</v>
      </c>
      <c r="AQ68" s="4">
        <f t="shared" ca="1" si="54"/>
        <v>0</v>
      </c>
      <c r="AR68" s="4">
        <f t="shared" ca="1" si="55"/>
        <v>30</v>
      </c>
      <c r="AS68" s="4">
        <f t="shared" si="56"/>
        <v>20</v>
      </c>
      <c r="AT68" s="4">
        <f t="shared" ca="1" si="71"/>
        <v>30</v>
      </c>
      <c r="AU68" s="4"/>
      <c r="AV68" s="4"/>
      <c r="AW68" s="4"/>
      <c r="AX68" s="4"/>
      <c r="AY68" s="4"/>
      <c r="AZ68" s="4">
        <f t="shared" ca="1" si="57"/>
        <v>0</v>
      </c>
      <c r="BA68" s="4"/>
      <c r="BB68" s="4"/>
      <c r="BC68" s="4"/>
      <c r="BD68" s="4"/>
      <c r="BE68" s="10"/>
      <c r="BF68" s="19"/>
      <c r="BG68" s="19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</row>
    <row r="69" spans="1:142" s="24" customFormat="1" ht="15" customHeight="1">
      <c r="A69" s="4">
        <v>45</v>
      </c>
      <c r="B69" s="268" t="str">
        <f t="shared" ca="1" si="58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9"/>
        <v xml:space="preserve"> </v>
      </c>
      <c r="I69" s="84">
        <f t="shared" ca="1" si="60"/>
        <v>0</v>
      </c>
      <c r="J69" s="84">
        <f t="shared" ca="1" si="41"/>
        <v>0</v>
      </c>
      <c r="K69" s="84">
        <v>0</v>
      </c>
      <c r="L69" s="84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2">
        <f t="shared" ca="1" si="43"/>
        <v>0</v>
      </c>
      <c r="Q69" s="22">
        <f t="shared" ca="1" si="44"/>
        <v>0</v>
      </c>
      <c r="R69" s="22">
        <f t="shared" ca="1" si="62"/>
        <v>0</v>
      </c>
      <c r="S69" s="22" t="str">
        <f t="shared" ca="1" si="63"/>
        <v xml:space="preserve"> </v>
      </c>
      <c r="T69" s="22" t="e">
        <f t="shared" ca="1" si="64"/>
        <v>#VALUE!</v>
      </c>
      <c r="U69" s="22">
        <f t="shared" ca="1" si="72"/>
        <v>0</v>
      </c>
      <c r="V69" s="22">
        <f t="shared" ca="1" si="73"/>
        <v>0</v>
      </c>
      <c r="W69" s="22">
        <f t="shared" ca="1" si="65"/>
        <v>0</v>
      </c>
      <c r="X69" s="22">
        <f t="shared" ca="1" si="66"/>
        <v>0</v>
      </c>
      <c r="Y69" s="22">
        <f t="shared" ca="1" si="45"/>
        <v>0</v>
      </c>
      <c r="Z69" s="22">
        <f t="shared" ca="1" si="74"/>
        <v>0</v>
      </c>
      <c r="AA69" s="22">
        <f t="shared" ca="1" si="46"/>
        <v>0</v>
      </c>
      <c r="AB69" s="22">
        <f t="shared" ca="1" si="35"/>
        <v>0</v>
      </c>
      <c r="AC69" s="22"/>
      <c r="AD69" s="22">
        <f t="shared" ca="1" si="47"/>
        <v>0</v>
      </c>
      <c r="AE69" s="22">
        <f t="shared" ca="1" si="48"/>
        <v>0</v>
      </c>
      <c r="AF69" s="22">
        <f t="shared" ca="1" si="67"/>
        <v>0</v>
      </c>
      <c r="AG69" s="22">
        <f t="shared" ca="1" si="49"/>
        <v>0</v>
      </c>
      <c r="AH69" s="22">
        <f t="shared" ca="1" si="68"/>
        <v>0</v>
      </c>
      <c r="AI69" s="22">
        <f t="shared" ca="1" si="50"/>
        <v>0</v>
      </c>
      <c r="AJ69" s="22">
        <f t="shared" ca="1" si="51"/>
        <v>0</v>
      </c>
      <c r="AK69" s="22">
        <f t="shared" ca="1" si="75"/>
        <v>0</v>
      </c>
      <c r="AL69" s="22">
        <f t="shared" ca="1" si="76"/>
        <v>0</v>
      </c>
      <c r="AM69" s="69">
        <f t="shared" ca="1" si="69"/>
        <v>0</v>
      </c>
      <c r="AN69" s="69">
        <f t="shared" ca="1" si="52"/>
        <v>0</v>
      </c>
      <c r="AO69" s="4">
        <f t="shared" ca="1" si="70"/>
        <v>0</v>
      </c>
      <c r="AP69" s="4">
        <f t="shared" ca="1" si="53"/>
        <v>0</v>
      </c>
      <c r="AQ69" s="4">
        <f t="shared" ca="1" si="54"/>
        <v>0</v>
      </c>
      <c r="AR69" s="4">
        <f t="shared" ca="1" si="55"/>
        <v>30</v>
      </c>
      <c r="AS69" s="4">
        <f t="shared" si="56"/>
        <v>20</v>
      </c>
      <c r="AT69" s="4">
        <f t="shared" ca="1" si="71"/>
        <v>30</v>
      </c>
      <c r="AU69" s="4"/>
      <c r="AV69" s="4"/>
      <c r="AW69" s="4"/>
      <c r="AX69" s="4"/>
      <c r="AY69" s="4"/>
      <c r="AZ69" s="4">
        <f t="shared" ca="1" si="57"/>
        <v>0</v>
      </c>
      <c r="BA69" s="4"/>
      <c r="BB69" s="4"/>
      <c r="BC69" s="4"/>
      <c r="BD69" s="4"/>
      <c r="BE69" s="10"/>
      <c r="BF69" s="19"/>
      <c r="BG69" s="19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</row>
    <row r="70" spans="1:142" s="24" customFormat="1" ht="15" customHeight="1">
      <c r="A70" s="4">
        <v>46</v>
      </c>
      <c r="B70" s="268" t="str">
        <f t="shared" ca="1" si="58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9"/>
        <v xml:space="preserve"> </v>
      </c>
      <c r="I70" s="84">
        <f t="shared" ca="1" si="60"/>
        <v>0</v>
      </c>
      <c r="J70" s="84">
        <f t="shared" ca="1" si="41"/>
        <v>0</v>
      </c>
      <c r="K70" s="84">
        <v>0</v>
      </c>
      <c r="L70" s="84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2">
        <f t="shared" ca="1" si="43"/>
        <v>0</v>
      </c>
      <c r="Q70" s="22">
        <f t="shared" ca="1" si="44"/>
        <v>0</v>
      </c>
      <c r="R70" s="22">
        <f t="shared" ca="1" si="62"/>
        <v>0</v>
      </c>
      <c r="S70" s="22" t="str">
        <f t="shared" ca="1" si="63"/>
        <v xml:space="preserve"> </v>
      </c>
      <c r="T70" s="22" t="e">
        <f t="shared" ca="1" si="64"/>
        <v>#VALUE!</v>
      </c>
      <c r="U70" s="22">
        <f t="shared" ca="1" si="72"/>
        <v>0</v>
      </c>
      <c r="V70" s="22">
        <f t="shared" ca="1" si="73"/>
        <v>0</v>
      </c>
      <c r="W70" s="22">
        <f t="shared" ca="1" si="65"/>
        <v>0</v>
      </c>
      <c r="X70" s="22">
        <f t="shared" ca="1" si="66"/>
        <v>0</v>
      </c>
      <c r="Y70" s="22">
        <f t="shared" ca="1" si="45"/>
        <v>0</v>
      </c>
      <c r="Z70" s="22">
        <f t="shared" ca="1" si="74"/>
        <v>0</v>
      </c>
      <c r="AA70" s="22">
        <f t="shared" ca="1" si="46"/>
        <v>0</v>
      </c>
      <c r="AB70" s="22">
        <f t="shared" ca="1" si="35"/>
        <v>0</v>
      </c>
      <c r="AC70" s="22"/>
      <c r="AD70" s="22">
        <f t="shared" ca="1" si="47"/>
        <v>0</v>
      </c>
      <c r="AE70" s="22">
        <f t="shared" ca="1" si="48"/>
        <v>0</v>
      </c>
      <c r="AF70" s="22">
        <f t="shared" ca="1" si="67"/>
        <v>0</v>
      </c>
      <c r="AG70" s="22">
        <f t="shared" ca="1" si="49"/>
        <v>0</v>
      </c>
      <c r="AH70" s="22">
        <f t="shared" ca="1" si="68"/>
        <v>0</v>
      </c>
      <c r="AI70" s="22">
        <f t="shared" ca="1" si="50"/>
        <v>0</v>
      </c>
      <c r="AJ70" s="22">
        <f t="shared" ca="1" si="51"/>
        <v>0</v>
      </c>
      <c r="AK70" s="22">
        <f t="shared" ca="1" si="75"/>
        <v>0</v>
      </c>
      <c r="AL70" s="22">
        <f t="shared" ca="1" si="76"/>
        <v>0</v>
      </c>
      <c r="AM70" s="69">
        <f t="shared" ca="1" si="69"/>
        <v>0</v>
      </c>
      <c r="AN70" s="69">
        <f t="shared" ca="1" si="52"/>
        <v>0</v>
      </c>
      <c r="AO70" s="4">
        <f t="shared" ca="1" si="70"/>
        <v>0</v>
      </c>
      <c r="AP70" s="4">
        <f t="shared" ca="1" si="53"/>
        <v>0</v>
      </c>
      <c r="AQ70" s="4">
        <f t="shared" ca="1" si="54"/>
        <v>0</v>
      </c>
      <c r="AR70" s="4">
        <f t="shared" ca="1" si="55"/>
        <v>30</v>
      </c>
      <c r="AS70" s="4">
        <f t="shared" si="56"/>
        <v>20</v>
      </c>
      <c r="AT70" s="4">
        <f t="shared" ca="1" si="71"/>
        <v>30</v>
      </c>
      <c r="AU70" s="4"/>
      <c r="AV70" s="4"/>
      <c r="AW70" s="4"/>
      <c r="AX70" s="4"/>
      <c r="AY70" s="4"/>
      <c r="AZ70" s="4">
        <f t="shared" ca="1" si="57"/>
        <v>0</v>
      </c>
      <c r="BA70" s="4"/>
      <c r="BB70" s="4"/>
      <c r="BC70" s="4"/>
      <c r="BD70" s="4"/>
      <c r="BE70" s="10"/>
      <c r="BF70" s="19"/>
      <c r="BG70" s="19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</row>
    <row r="71" spans="1:142" s="24" customFormat="1" ht="15" customHeight="1">
      <c r="A71" s="4">
        <v>47</v>
      </c>
      <c r="B71" s="268" t="str">
        <f t="shared" ca="1" si="58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9"/>
        <v xml:space="preserve"> </v>
      </c>
      <c r="I71" s="84">
        <f t="shared" ca="1" si="60"/>
        <v>0</v>
      </c>
      <c r="J71" s="84">
        <f t="shared" ca="1" si="41"/>
        <v>0</v>
      </c>
      <c r="K71" s="84">
        <v>0</v>
      </c>
      <c r="L71" s="84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2">
        <f t="shared" ca="1" si="43"/>
        <v>0</v>
      </c>
      <c r="Q71" s="22">
        <f t="shared" ca="1" si="44"/>
        <v>0</v>
      </c>
      <c r="R71" s="22">
        <f t="shared" ca="1" si="62"/>
        <v>0</v>
      </c>
      <c r="S71" s="22" t="str">
        <f t="shared" ca="1" si="63"/>
        <v xml:space="preserve"> </v>
      </c>
      <c r="T71" s="22" t="e">
        <f t="shared" ca="1" si="64"/>
        <v>#VALUE!</v>
      </c>
      <c r="U71" s="22">
        <f t="shared" ca="1" si="72"/>
        <v>0</v>
      </c>
      <c r="V71" s="22">
        <f t="shared" ca="1" si="73"/>
        <v>0</v>
      </c>
      <c r="W71" s="22">
        <f t="shared" ca="1" si="65"/>
        <v>0</v>
      </c>
      <c r="X71" s="22">
        <f t="shared" ca="1" si="66"/>
        <v>0</v>
      </c>
      <c r="Y71" s="22">
        <f t="shared" ca="1" si="45"/>
        <v>0</v>
      </c>
      <c r="Z71" s="22">
        <f t="shared" ca="1" si="74"/>
        <v>0</v>
      </c>
      <c r="AA71" s="22">
        <f t="shared" ca="1" si="46"/>
        <v>0</v>
      </c>
      <c r="AB71" s="22">
        <f t="shared" ca="1" si="35"/>
        <v>0</v>
      </c>
      <c r="AC71" s="22"/>
      <c r="AD71" s="22">
        <f t="shared" ca="1" si="47"/>
        <v>0</v>
      </c>
      <c r="AE71" s="22">
        <f t="shared" ca="1" si="48"/>
        <v>0</v>
      </c>
      <c r="AF71" s="22">
        <f t="shared" ca="1" si="67"/>
        <v>0</v>
      </c>
      <c r="AG71" s="22">
        <f t="shared" ca="1" si="49"/>
        <v>0</v>
      </c>
      <c r="AH71" s="22">
        <f t="shared" ca="1" si="68"/>
        <v>0</v>
      </c>
      <c r="AI71" s="22">
        <f t="shared" ca="1" si="50"/>
        <v>0</v>
      </c>
      <c r="AJ71" s="22">
        <f t="shared" ca="1" si="51"/>
        <v>0</v>
      </c>
      <c r="AK71" s="22">
        <f t="shared" ca="1" si="75"/>
        <v>0</v>
      </c>
      <c r="AL71" s="22">
        <f t="shared" ca="1" si="76"/>
        <v>0</v>
      </c>
      <c r="AM71" s="69">
        <f t="shared" ca="1" si="69"/>
        <v>0</v>
      </c>
      <c r="AN71" s="69">
        <f t="shared" ca="1" si="52"/>
        <v>0</v>
      </c>
      <c r="AO71" s="4">
        <f t="shared" ca="1" si="70"/>
        <v>0</v>
      </c>
      <c r="AP71" s="4">
        <f t="shared" ca="1" si="53"/>
        <v>0</v>
      </c>
      <c r="AQ71" s="4">
        <f t="shared" ca="1" si="54"/>
        <v>0</v>
      </c>
      <c r="AR71" s="4">
        <f t="shared" ca="1" si="55"/>
        <v>30</v>
      </c>
      <c r="AS71" s="4">
        <f t="shared" si="56"/>
        <v>20</v>
      </c>
      <c r="AT71" s="4">
        <f t="shared" ca="1" si="71"/>
        <v>30</v>
      </c>
      <c r="AU71" s="4"/>
      <c r="AV71" s="4"/>
      <c r="AW71" s="4"/>
      <c r="AX71" s="4"/>
      <c r="AY71" s="4"/>
      <c r="AZ71" s="4">
        <f t="shared" ca="1" si="57"/>
        <v>0</v>
      </c>
      <c r="BA71" s="4"/>
      <c r="BB71" s="4"/>
      <c r="BC71" s="4"/>
      <c r="BD71" s="4"/>
      <c r="BE71" s="10"/>
      <c r="BF71" s="19"/>
      <c r="BG71" s="19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</row>
    <row r="72" spans="1:142" s="24" customFormat="1" ht="15" customHeight="1">
      <c r="A72" s="4">
        <v>48</v>
      </c>
      <c r="B72" s="268" t="str">
        <f t="shared" ca="1" si="58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9"/>
        <v xml:space="preserve"> </v>
      </c>
      <c r="I72" s="84">
        <f t="shared" ca="1" si="60"/>
        <v>0</v>
      </c>
      <c r="J72" s="84">
        <f t="shared" ca="1" si="41"/>
        <v>0</v>
      </c>
      <c r="K72" s="84">
        <v>0</v>
      </c>
      <c r="L72" s="84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2">
        <f t="shared" ca="1" si="43"/>
        <v>0</v>
      </c>
      <c r="Q72" s="22">
        <f t="shared" ca="1" si="44"/>
        <v>0</v>
      </c>
      <c r="R72" s="22">
        <f t="shared" ca="1" si="62"/>
        <v>0</v>
      </c>
      <c r="S72" s="22" t="str">
        <f t="shared" ca="1" si="63"/>
        <v xml:space="preserve"> </v>
      </c>
      <c r="T72" s="22" t="e">
        <f t="shared" ca="1" si="64"/>
        <v>#VALUE!</v>
      </c>
      <c r="U72" s="22">
        <f t="shared" ca="1" si="72"/>
        <v>0</v>
      </c>
      <c r="V72" s="22">
        <f t="shared" ca="1" si="73"/>
        <v>0</v>
      </c>
      <c r="W72" s="22">
        <f t="shared" ca="1" si="65"/>
        <v>0</v>
      </c>
      <c r="X72" s="22">
        <f t="shared" ca="1" si="66"/>
        <v>0</v>
      </c>
      <c r="Y72" s="22">
        <f t="shared" ca="1" si="45"/>
        <v>0</v>
      </c>
      <c r="Z72" s="22">
        <f t="shared" ca="1" si="74"/>
        <v>0</v>
      </c>
      <c r="AA72" s="22">
        <f t="shared" ca="1" si="46"/>
        <v>0</v>
      </c>
      <c r="AB72" s="22">
        <f t="shared" ca="1" si="35"/>
        <v>0</v>
      </c>
      <c r="AC72" s="22"/>
      <c r="AD72" s="22">
        <f t="shared" ca="1" si="47"/>
        <v>0</v>
      </c>
      <c r="AE72" s="22">
        <f t="shared" ca="1" si="48"/>
        <v>0</v>
      </c>
      <c r="AF72" s="22">
        <f t="shared" ca="1" si="67"/>
        <v>0</v>
      </c>
      <c r="AG72" s="22">
        <f t="shared" ca="1" si="49"/>
        <v>0</v>
      </c>
      <c r="AH72" s="22">
        <f t="shared" ca="1" si="68"/>
        <v>0</v>
      </c>
      <c r="AI72" s="22">
        <f t="shared" ca="1" si="50"/>
        <v>0</v>
      </c>
      <c r="AJ72" s="22">
        <f t="shared" ca="1" si="51"/>
        <v>0</v>
      </c>
      <c r="AK72" s="22">
        <f t="shared" ca="1" si="75"/>
        <v>0</v>
      </c>
      <c r="AL72" s="22">
        <f t="shared" ca="1" si="76"/>
        <v>0</v>
      </c>
      <c r="AM72" s="69">
        <f t="shared" ca="1" si="69"/>
        <v>0</v>
      </c>
      <c r="AN72" s="69">
        <f t="shared" ca="1" si="52"/>
        <v>0</v>
      </c>
      <c r="AO72" s="4">
        <f t="shared" ca="1" si="70"/>
        <v>0</v>
      </c>
      <c r="AP72" s="4">
        <f t="shared" ca="1" si="53"/>
        <v>0</v>
      </c>
      <c r="AQ72" s="4">
        <f t="shared" ca="1" si="54"/>
        <v>0</v>
      </c>
      <c r="AR72" s="4">
        <f t="shared" ca="1" si="55"/>
        <v>30</v>
      </c>
      <c r="AS72" s="4">
        <f t="shared" si="56"/>
        <v>20</v>
      </c>
      <c r="AT72" s="4">
        <f t="shared" ca="1" si="71"/>
        <v>30</v>
      </c>
      <c r="AU72" s="4"/>
      <c r="AV72" s="4"/>
      <c r="AW72" s="4"/>
      <c r="AX72" s="4"/>
      <c r="AY72" s="4"/>
      <c r="AZ72" s="4">
        <f t="shared" ca="1" si="57"/>
        <v>0</v>
      </c>
      <c r="BA72" s="4"/>
      <c r="BB72" s="4"/>
      <c r="BC72" s="4"/>
      <c r="BD72" s="4"/>
      <c r="BE72" s="10"/>
      <c r="BF72" s="19"/>
      <c r="BG72" s="19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</row>
    <row r="73" spans="1:142" s="24" customFormat="1" ht="15" customHeight="1">
      <c r="A73" s="4">
        <v>49</v>
      </c>
      <c r="B73" s="268" t="str">
        <f t="shared" ca="1" si="58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9"/>
        <v xml:space="preserve"> </v>
      </c>
      <c r="I73" s="84">
        <f t="shared" ca="1" si="60"/>
        <v>0</v>
      </c>
      <c r="J73" s="84">
        <f t="shared" ca="1" si="41"/>
        <v>0</v>
      </c>
      <c r="K73" s="84">
        <v>0</v>
      </c>
      <c r="L73" s="84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2">
        <f t="shared" ca="1" si="43"/>
        <v>0</v>
      </c>
      <c r="Q73" s="22">
        <f t="shared" ca="1" si="44"/>
        <v>0</v>
      </c>
      <c r="R73" s="22">
        <f t="shared" ca="1" si="62"/>
        <v>0</v>
      </c>
      <c r="S73" s="22" t="str">
        <f t="shared" ca="1" si="63"/>
        <v xml:space="preserve"> </v>
      </c>
      <c r="T73" s="22" t="e">
        <f t="shared" ca="1" si="64"/>
        <v>#VALUE!</v>
      </c>
      <c r="U73" s="22">
        <f ca="1">IF(N74=1,R72*D$11*20/36000+R73*D$11*10/36000,IF(N74=0,IF(N73=0,0,IF(D$16&gt;20,R72*D$11*20/36000+R73*D$11*(Q$12-20)/36000,R73*D$11*Q$12/36000))))</f>
        <v>0</v>
      </c>
      <c r="V73" s="22">
        <f ca="1">IF(N74=1,R72*D$11*20/36000+R73*D$11*10/36000,IF(N74=0,IF(N73=0,0,IF(D$16&gt;20,R72*D$11*20/36000+R73*D$11*(Q$12-20)/36000,R73*D$11*Q$12/36000))))</f>
        <v>0</v>
      </c>
      <c r="W73" s="22">
        <f t="shared" ca="1" si="65"/>
        <v>0</v>
      </c>
      <c r="X73" s="22">
        <f t="shared" ca="1" si="66"/>
        <v>0</v>
      </c>
      <c r="Y73" s="22">
        <f t="shared" ca="1" si="45"/>
        <v>0</v>
      </c>
      <c r="Z73" s="22">
        <f ca="1">IF(N74=1,Y72*D$11*20/36000+Y73*D$11*10/36000,IF(N74=0,IF(N73=0,0,IF(D$16&gt;20,Y72*D$11*20/36000+Y73*D$11*(Q$12-20)/36000,Y73*D$11*Q$12/36000))))</f>
        <v>0</v>
      </c>
      <c r="AA73" s="22">
        <f t="shared" ca="1" si="46"/>
        <v>0</v>
      </c>
      <c r="AB73" s="22">
        <f t="shared" ca="1" si="35"/>
        <v>0</v>
      </c>
      <c r="AC73" s="22"/>
      <c r="AD73" s="22">
        <f t="shared" ca="1" si="47"/>
        <v>0</v>
      </c>
      <c r="AE73" s="22">
        <f t="shared" ca="1" si="48"/>
        <v>0</v>
      </c>
      <c r="AF73" s="22">
        <f t="shared" ca="1" si="67"/>
        <v>0</v>
      </c>
      <c r="AG73" s="22">
        <f t="shared" ca="1" si="49"/>
        <v>0</v>
      </c>
      <c r="AH73" s="22">
        <f t="shared" ca="1" si="68"/>
        <v>0</v>
      </c>
      <c r="AI73" s="22">
        <f t="shared" ca="1" si="50"/>
        <v>0</v>
      </c>
      <c r="AJ73" s="22">
        <f t="shared" ca="1" si="51"/>
        <v>0</v>
      </c>
      <c r="AK73" s="22">
        <f ca="1">IF(N74=1,AJ72*G$12*20/36000+AJ73*G$12*10/36000,IF(N74=0,IF(N73=0,0,AJ73*G$12*Q$12/36000)))</f>
        <v>0</v>
      </c>
      <c r="AL73" s="22">
        <f ca="1">IF(N74=1,AJ72*G$12*20/36000+AJ73*G$12*10/36000,IF(N74=0,IF(N73=0,0,AJ73*G$12*Q$12/36000)))</f>
        <v>0</v>
      </c>
      <c r="AM73" s="69">
        <f t="shared" ca="1" si="69"/>
        <v>0</v>
      </c>
      <c r="AN73" s="69">
        <f t="shared" ca="1" si="52"/>
        <v>0</v>
      </c>
      <c r="AO73" s="4">
        <f t="shared" ca="1" si="70"/>
        <v>0</v>
      </c>
      <c r="AP73" s="4">
        <f t="shared" ca="1" si="53"/>
        <v>0</v>
      </c>
      <c r="AQ73" s="4">
        <f t="shared" ca="1" si="54"/>
        <v>0</v>
      </c>
      <c r="AR73" s="4">
        <f t="shared" ca="1" si="55"/>
        <v>30</v>
      </c>
      <c r="AS73" s="4">
        <f t="shared" si="56"/>
        <v>20</v>
      </c>
      <c r="AT73" s="4">
        <f t="shared" ca="1" si="71"/>
        <v>30</v>
      </c>
      <c r="AU73" s="4"/>
      <c r="AV73" s="4"/>
      <c r="AW73" s="4"/>
      <c r="AX73" s="4"/>
      <c r="AY73" s="4"/>
      <c r="AZ73" s="4">
        <f t="shared" ca="1" si="57"/>
        <v>0</v>
      </c>
      <c r="BA73" s="4"/>
      <c r="BB73" s="4"/>
      <c r="BC73" s="4"/>
      <c r="BD73" s="4"/>
      <c r="BE73" s="10"/>
      <c r="BF73" s="19"/>
      <c r="BG73" s="19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</row>
    <row r="74" spans="1:142" s="24" customFormat="1" ht="15" customHeight="1">
      <c r="A74" s="4"/>
      <c r="B74" s="268" t="str">
        <f t="shared" ca="1" si="58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9"/>
        <v xml:space="preserve"> </v>
      </c>
      <c r="I74" s="84">
        <f t="shared" ca="1" si="60"/>
        <v>0</v>
      </c>
      <c r="J74" s="84">
        <f t="shared" ca="1" si="41"/>
        <v>0</v>
      </c>
      <c r="K74" s="84">
        <v>0</v>
      </c>
      <c r="L74" s="84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2">
        <f t="shared" ca="1" si="43"/>
        <v>0</v>
      </c>
      <c r="Q74" s="22">
        <f t="shared" ca="1" si="44"/>
        <v>0</v>
      </c>
      <c r="R74" s="22">
        <f t="shared" ca="1" si="62"/>
        <v>0</v>
      </c>
      <c r="S74" s="22" t="str">
        <f t="shared" ca="1" si="63"/>
        <v xml:space="preserve"> </v>
      </c>
      <c r="T74" s="22" t="e">
        <f t="shared" ca="1" si="64"/>
        <v>#VALUE!</v>
      </c>
      <c r="U74" s="22">
        <f t="shared" ref="U74:U84" ca="1" si="77">IF(N75=1,R73*D$11*20/36000+R74*D$11*10/36000,IF(N75=0,IF(N74=0,0,R74*D$11*Q$12/36000+R73*D$11*20/36000+R74*D$11*10/36000)))</f>
        <v>0</v>
      </c>
      <c r="V74" s="22">
        <f t="shared" ref="V74:V84" ca="1" si="78">IF(N75=1,R73*D$11*20/36000+R74*D$11*10/36000,IF(N75=0,IF(N74=0,0,R74*D$11*Q$12/36000+R73*D$11*20/36000+R74*D$11*10/36000)))</f>
        <v>0</v>
      </c>
      <c r="W74" s="22">
        <f t="shared" ca="1" si="65"/>
        <v>0</v>
      </c>
      <c r="X74" s="22">
        <f t="shared" ca="1" si="66"/>
        <v>0</v>
      </c>
      <c r="Y74" s="22">
        <f t="shared" ca="1" si="45"/>
        <v>0</v>
      </c>
      <c r="Z74" s="22">
        <f t="shared" ref="Z74:Z84" ca="1" si="79">IF(N75=1,Y73*D$11*20/36000+Y74*D$11*10/36000,IF(N75=0,IF(N74=0,0,Y74*D$11*Q$12/36000+Y73*D$11*20/36000+Y74*D$11*10/36000)))</f>
        <v>0</v>
      </c>
      <c r="AA74" s="22">
        <f t="shared" ca="1" si="46"/>
        <v>0</v>
      </c>
      <c r="AB74" s="22">
        <f t="shared" ca="1" si="35"/>
        <v>0</v>
      </c>
      <c r="AC74" s="22"/>
      <c r="AD74" s="22">
        <f t="shared" ca="1" si="47"/>
        <v>0</v>
      </c>
      <c r="AE74" s="22">
        <f t="shared" ca="1" si="48"/>
        <v>0</v>
      </c>
      <c r="AF74" s="22">
        <f t="shared" ca="1" si="67"/>
        <v>0</v>
      </c>
      <c r="AG74" s="22">
        <f t="shared" ca="1" si="49"/>
        <v>0</v>
      </c>
      <c r="AH74" s="22">
        <f t="shared" ca="1" si="68"/>
        <v>0</v>
      </c>
      <c r="AI74" s="22">
        <f t="shared" ca="1" si="50"/>
        <v>0</v>
      </c>
      <c r="AJ74" s="22">
        <f t="shared" ca="1" si="51"/>
        <v>0</v>
      </c>
      <c r="AK74" s="22">
        <f t="shared" ref="AK74:AK84" ca="1" si="80">IF(N75=1,AJ73*G$12*20/36000+AJ74*G$12*10/36000,IF(N75=0,IF(N74=0,0,AJ74*G$12*Q$12/36000+AJ73*G$12*20/36000+AJ74*G$12*10/36000)))</f>
        <v>0</v>
      </c>
      <c r="AL74" s="22">
        <f t="shared" ref="AL74:AL84" ca="1" si="81">IF(N75=1,AJ73*G$12*20/36000+AJ74*G$12*10/36000,IF(N75=0,IF(N74=0,0,AJ74*G$12*Q$12/36000+AJ73*G$12*20/36000+AJ74*G$12*10/36000)))</f>
        <v>0</v>
      </c>
      <c r="AM74" s="69">
        <f t="shared" ca="1" si="69"/>
        <v>0</v>
      </c>
      <c r="AN74" s="69">
        <f t="shared" ca="1" si="52"/>
        <v>0</v>
      </c>
      <c r="AO74" s="4">
        <f t="shared" ca="1" si="70"/>
        <v>0</v>
      </c>
      <c r="AP74" s="4">
        <f t="shared" ca="1" si="53"/>
        <v>0</v>
      </c>
      <c r="AQ74" s="4">
        <f t="shared" ca="1" si="54"/>
        <v>0</v>
      </c>
      <c r="AR74" s="4">
        <f t="shared" ca="1" si="55"/>
        <v>30</v>
      </c>
      <c r="AS74" s="4">
        <f t="shared" si="56"/>
        <v>20</v>
      </c>
      <c r="AT74" s="4">
        <f t="shared" ca="1" si="71"/>
        <v>30</v>
      </c>
      <c r="AU74" s="4"/>
      <c r="AV74" s="4"/>
      <c r="AW74" s="4"/>
      <c r="AX74" s="4"/>
      <c r="AY74" s="4"/>
      <c r="AZ74" s="4">
        <f t="shared" ca="1" si="57"/>
        <v>0</v>
      </c>
      <c r="BA74" s="4"/>
      <c r="BB74" s="4"/>
      <c r="BC74" s="4"/>
      <c r="BD74" s="4"/>
      <c r="BE74" s="10"/>
      <c r="BF74" s="19"/>
      <c r="BG74" s="19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</row>
    <row r="75" spans="1:142" s="24" customFormat="1" ht="15" customHeight="1">
      <c r="A75" s="4"/>
      <c r="B75" s="268" t="str">
        <f t="shared" ca="1" si="58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9"/>
        <v xml:space="preserve"> </v>
      </c>
      <c r="I75" s="84">
        <f t="shared" ca="1" si="60"/>
        <v>0</v>
      </c>
      <c r="J75" s="84">
        <f t="shared" ca="1" si="41"/>
        <v>0</v>
      </c>
      <c r="K75" s="84">
        <v>0</v>
      </c>
      <c r="L75" s="84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2">
        <f t="shared" ca="1" si="43"/>
        <v>0</v>
      </c>
      <c r="Q75" s="22">
        <f t="shared" ca="1" si="44"/>
        <v>0</v>
      </c>
      <c r="R75" s="22">
        <f t="shared" ca="1" si="62"/>
        <v>0</v>
      </c>
      <c r="S75" s="22" t="str">
        <f t="shared" ca="1" si="63"/>
        <v xml:space="preserve"> </v>
      </c>
      <c r="T75" s="22" t="e">
        <f t="shared" ca="1" si="64"/>
        <v>#VALUE!</v>
      </c>
      <c r="U75" s="22">
        <f t="shared" ca="1" si="77"/>
        <v>0</v>
      </c>
      <c r="V75" s="22">
        <f t="shared" ca="1" si="78"/>
        <v>0</v>
      </c>
      <c r="W75" s="22">
        <f t="shared" ca="1" si="65"/>
        <v>0</v>
      </c>
      <c r="X75" s="22">
        <f t="shared" ca="1" si="66"/>
        <v>0</v>
      </c>
      <c r="Y75" s="22">
        <f t="shared" ca="1" si="45"/>
        <v>0</v>
      </c>
      <c r="Z75" s="22">
        <f t="shared" ca="1" si="79"/>
        <v>0</v>
      </c>
      <c r="AA75" s="22">
        <f t="shared" ca="1" si="46"/>
        <v>0</v>
      </c>
      <c r="AB75" s="22">
        <f t="shared" ca="1" si="35"/>
        <v>0</v>
      </c>
      <c r="AC75" s="22"/>
      <c r="AD75" s="22">
        <f t="shared" ca="1" si="47"/>
        <v>0</v>
      </c>
      <c r="AE75" s="22">
        <f t="shared" ca="1" si="48"/>
        <v>0</v>
      </c>
      <c r="AF75" s="22">
        <f t="shared" ca="1" si="67"/>
        <v>0</v>
      </c>
      <c r="AG75" s="22">
        <f t="shared" ca="1" si="49"/>
        <v>0</v>
      </c>
      <c r="AH75" s="22">
        <f t="shared" ca="1" si="68"/>
        <v>0</v>
      </c>
      <c r="AI75" s="22">
        <f t="shared" ca="1" si="50"/>
        <v>0</v>
      </c>
      <c r="AJ75" s="22">
        <f t="shared" ca="1" si="51"/>
        <v>0</v>
      </c>
      <c r="AK75" s="22">
        <f t="shared" ca="1" si="80"/>
        <v>0</v>
      </c>
      <c r="AL75" s="22">
        <f t="shared" ca="1" si="81"/>
        <v>0</v>
      </c>
      <c r="AM75" s="69">
        <f t="shared" ca="1" si="69"/>
        <v>0</v>
      </c>
      <c r="AN75" s="69">
        <f t="shared" ca="1" si="52"/>
        <v>0</v>
      </c>
      <c r="AO75" s="4">
        <f t="shared" ca="1" si="70"/>
        <v>0</v>
      </c>
      <c r="AP75" s="4">
        <f t="shared" ca="1" si="53"/>
        <v>0</v>
      </c>
      <c r="AQ75" s="4">
        <f t="shared" ca="1" si="54"/>
        <v>0</v>
      </c>
      <c r="AR75" s="4">
        <f t="shared" ca="1" si="55"/>
        <v>30</v>
      </c>
      <c r="AS75" s="4">
        <f t="shared" si="56"/>
        <v>20</v>
      </c>
      <c r="AT75" s="4">
        <f t="shared" ca="1" si="71"/>
        <v>30</v>
      </c>
      <c r="AU75" s="4"/>
      <c r="AV75" s="4"/>
      <c r="AW75" s="4"/>
      <c r="AX75" s="4"/>
      <c r="AY75" s="4"/>
      <c r="AZ75" s="4">
        <f t="shared" ca="1" si="57"/>
        <v>0</v>
      </c>
      <c r="BA75" s="4"/>
      <c r="BB75" s="4"/>
      <c r="BC75" s="4"/>
      <c r="BD75" s="4"/>
      <c r="BE75" s="10"/>
      <c r="BF75" s="19"/>
      <c r="BG75" s="19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</row>
    <row r="76" spans="1:142" s="24" customFormat="1" ht="15" customHeight="1">
      <c r="A76" s="4"/>
      <c r="B76" s="268" t="str">
        <f t="shared" ca="1" si="58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9"/>
        <v xml:space="preserve"> </v>
      </c>
      <c r="I76" s="84">
        <f t="shared" ca="1" si="60"/>
        <v>0</v>
      </c>
      <c r="J76" s="84">
        <f t="shared" ca="1" si="41"/>
        <v>0</v>
      </c>
      <c r="K76" s="84">
        <v>0</v>
      </c>
      <c r="L76" s="84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2">
        <f t="shared" ca="1" si="43"/>
        <v>0</v>
      </c>
      <c r="Q76" s="22">
        <f t="shared" ca="1" si="44"/>
        <v>0</v>
      </c>
      <c r="R76" s="22">
        <f t="shared" ca="1" si="62"/>
        <v>0</v>
      </c>
      <c r="S76" s="22" t="str">
        <f t="shared" ca="1" si="63"/>
        <v xml:space="preserve"> </v>
      </c>
      <c r="T76" s="22" t="e">
        <f t="shared" ca="1" si="64"/>
        <v>#VALUE!</v>
      </c>
      <c r="U76" s="22">
        <f t="shared" ca="1" si="77"/>
        <v>0</v>
      </c>
      <c r="V76" s="22">
        <f t="shared" ca="1" si="78"/>
        <v>0</v>
      </c>
      <c r="W76" s="22">
        <f t="shared" ca="1" si="65"/>
        <v>0</v>
      </c>
      <c r="X76" s="22">
        <f t="shared" ca="1" si="66"/>
        <v>0</v>
      </c>
      <c r="Y76" s="22">
        <f t="shared" ca="1" si="45"/>
        <v>0</v>
      </c>
      <c r="Z76" s="22">
        <f t="shared" ca="1" si="79"/>
        <v>0</v>
      </c>
      <c r="AA76" s="22">
        <f t="shared" ca="1" si="46"/>
        <v>0</v>
      </c>
      <c r="AB76" s="22">
        <f t="shared" ca="1" si="35"/>
        <v>0</v>
      </c>
      <c r="AC76" s="22"/>
      <c r="AD76" s="22">
        <f t="shared" ca="1" si="47"/>
        <v>0</v>
      </c>
      <c r="AE76" s="22">
        <f t="shared" ca="1" si="48"/>
        <v>0</v>
      </c>
      <c r="AF76" s="22">
        <f t="shared" ca="1" si="67"/>
        <v>0</v>
      </c>
      <c r="AG76" s="22">
        <f t="shared" ca="1" si="49"/>
        <v>0</v>
      </c>
      <c r="AH76" s="22">
        <f t="shared" ca="1" si="68"/>
        <v>0</v>
      </c>
      <c r="AI76" s="22">
        <f t="shared" ca="1" si="50"/>
        <v>0</v>
      </c>
      <c r="AJ76" s="22">
        <f t="shared" ca="1" si="51"/>
        <v>0</v>
      </c>
      <c r="AK76" s="22">
        <f t="shared" ca="1" si="80"/>
        <v>0</v>
      </c>
      <c r="AL76" s="22">
        <f t="shared" ca="1" si="81"/>
        <v>0</v>
      </c>
      <c r="AM76" s="69">
        <f t="shared" ca="1" si="69"/>
        <v>0</v>
      </c>
      <c r="AN76" s="69">
        <f t="shared" ca="1" si="52"/>
        <v>0</v>
      </c>
      <c r="AO76" s="4">
        <f t="shared" ca="1" si="70"/>
        <v>0</v>
      </c>
      <c r="AP76" s="4">
        <f t="shared" ca="1" si="53"/>
        <v>0</v>
      </c>
      <c r="AQ76" s="4">
        <f t="shared" ca="1" si="54"/>
        <v>0</v>
      </c>
      <c r="AR76" s="4">
        <f t="shared" ca="1" si="55"/>
        <v>30</v>
      </c>
      <c r="AS76" s="4">
        <f t="shared" si="56"/>
        <v>20</v>
      </c>
      <c r="AT76" s="4">
        <f t="shared" ca="1" si="71"/>
        <v>30</v>
      </c>
      <c r="AU76" s="4"/>
      <c r="AV76" s="4"/>
      <c r="AW76" s="4"/>
      <c r="AX76" s="4"/>
      <c r="AY76" s="4"/>
      <c r="AZ76" s="4">
        <f t="shared" ca="1" si="57"/>
        <v>0</v>
      </c>
      <c r="BA76" s="4"/>
      <c r="BB76" s="4"/>
      <c r="BC76" s="4"/>
      <c r="BD76" s="4"/>
      <c r="BE76" s="10"/>
      <c r="BF76" s="19"/>
      <c r="BG76" s="19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</row>
    <row r="77" spans="1:142" s="24" customFormat="1" ht="15" customHeight="1">
      <c r="A77" s="4"/>
      <c r="B77" s="268" t="str">
        <f t="shared" ca="1" si="58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9"/>
        <v xml:space="preserve"> </v>
      </c>
      <c r="I77" s="84">
        <f t="shared" ca="1" si="60"/>
        <v>0</v>
      </c>
      <c r="J77" s="84">
        <f t="shared" ca="1" si="41"/>
        <v>0</v>
      </c>
      <c r="K77" s="84">
        <v>0</v>
      </c>
      <c r="L77" s="84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2">
        <f t="shared" ca="1" si="43"/>
        <v>0</v>
      </c>
      <c r="Q77" s="22">
        <f t="shared" ca="1" si="44"/>
        <v>0</v>
      </c>
      <c r="R77" s="22">
        <f t="shared" ca="1" si="62"/>
        <v>0</v>
      </c>
      <c r="S77" s="22" t="str">
        <f t="shared" ca="1" si="63"/>
        <v xml:space="preserve"> </v>
      </c>
      <c r="T77" s="22" t="e">
        <f t="shared" ca="1" si="64"/>
        <v>#VALUE!</v>
      </c>
      <c r="U77" s="22">
        <f t="shared" ca="1" si="77"/>
        <v>0</v>
      </c>
      <c r="V77" s="22">
        <f t="shared" ca="1" si="78"/>
        <v>0</v>
      </c>
      <c r="W77" s="22">
        <f t="shared" ca="1" si="65"/>
        <v>0</v>
      </c>
      <c r="X77" s="22">
        <f t="shared" ca="1" si="66"/>
        <v>0</v>
      </c>
      <c r="Y77" s="22">
        <f t="shared" ca="1" si="45"/>
        <v>0</v>
      </c>
      <c r="Z77" s="22">
        <f t="shared" ca="1" si="79"/>
        <v>0</v>
      </c>
      <c r="AA77" s="22">
        <f t="shared" ca="1" si="46"/>
        <v>0</v>
      </c>
      <c r="AB77" s="22">
        <f t="shared" ca="1" si="35"/>
        <v>0</v>
      </c>
      <c r="AC77" s="22"/>
      <c r="AD77" s="22">
        <f t="shared" ca="1" si="47"/>
        <v>0</v>
      </c>
      <c r="AE77" s="22">
        <f t="shared" ca="1" si="48"/>
        <v>0</v>
      </c>
      <c r="AF77" s="22">
        <f t="shared" ca="1" si="67"/>
        <v>0</v>
      </c>
      <c r="AG77" s="22">
        <f t="shared" ca="1" si="49"/>
        <v>0</v>
      </c>
      <c r="AH77" s="22">
        <f t="shared" ca="1" si="68"/>
        <v>0</v>
      </c>
      <c r="AI77" s="22">
        <f t="shared" ca="1" si="50"/>
        <v>0</v>
      </c>
      <c r="AJ77" s="22">
        <f t="shared" ca="1" si="51"/>
        <v>0</v>
      </c>
      <c r="AK77" s="22">
        <f t="shared" ca="1" si="80"/>
        <v>0</v>
      </c>
      <c r="AL77" s="22">
        <f t="shared" ca="1" si="81"/>
        <v>0</v>
      </c>
      <c r="AM77" s="69">
        <f t="shared" ca="1" si="69"/>
        <v>0</v>
      </c>
      <c r="AN77" s="69">
        <f t="shared" ca="1" si="52"/>
        <v>0</v>
      </c>
      <c r="AO77" s="4">
        <f t="shared" ca="1" si="70"/>
        <v>0</v>
      </c>
      <c r="AP77" s="4">
        <f t="shared" ca="1" si="53"/>
        <v>0</v>
      </c>
      <c r="AQ77" s="4">
        <f t="shared" ca="1" si="54"/>
        <v>0</v>
      </c>
      <c r="AR77" s="4">
        <f t="shared" ca="1" si="55"/>
        <v>30</v>
      </c>
      <c r="AS77" s="4">
        <f t="shared" si="56"/>
        <v>20</v>
      </c>
      <c r="AT77" s="4">
        <f t="shared" ca="1" si="71"/>
        <v>30</v>
      </c>
      <c r="AU77" s="4"/>
      <c r="AV77" s="4"/>
      <c r="AW77" s="4"/>
      <c r="AX77" s="4"/>
      <c r="AY77" s="4"/>
      <c r="AZ77" s="4">
        <f t="shared" ca="1" si="57"/>
        <v>0</v>
      </c>
      <c r="BA77" s="4"/>
      <c r="BB77" s="4"/>
      <c r="BC77" s="4"/>
      <c r="BD77" s="4"/>
      <c r="BE77" s="10"/>
      <c r="BF77" s="19"/>
      <c r="BG77" s="19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</row>
    <row r="78" spans="1:142" s="24" customFormat="1" ht="15" customHeight="1">
      <c r="A78" s="4"/>
      <c r="B78" s="268" t="str">
        <f t="shared" ca="1" si="58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9"/>
        <v xml:space="preserve"> </v>
      </c>
      <c r="I78" s="84">
        <f t="shared" ca="1" si="60"/>
        <v>0</v>
      </c>
      <c r="J78" s="84">
        <f t="shared" ca="1" si="41"/>
        <v>0</v>
      </c>
      <c r="K78" s="84">
        <v>0</v>
      </c>
      <c r="L78" s="84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2">
        <f t="shared" ca="1" si="43"/>
        <v>0</v>
      </c>
      <c r="Q78" s="22">
        <f t="shared" ca="1" si="44"/>
        <v>0</v>
      </c>
      <c r="R78" s="22">
        <f t="shared" ca="1" si="62"/>
        <v>0</v>
      </c>
      <c r="S78" s="22" t="str">
        <f t="shared" ca="1" si="63"/>
        <v xml:space="preserve"> </v>
      </c>
      <c r="T78" s="22" t="e">
        <f t="shared" ca="1" si="64"/>
        <v>#VALUE!</v>
      </c>
      <c r="U78" s="22">
        <f t="shared" ca="1" si="77"/>
        <v>0</v>
      </c>
      <c r="V78" s="22">
        <f t="shared" ca="1" si="78"/>
        <v>0</v>
      </c>
      <c r="W78" s="22">
        <f t="shared" ca="1" si="65"/>
        <v>0</v>
      </c>
      <c r="X78" s="22">
        <f t="shared" ca="1" si="66"/>
        <v>0</v>
      </c>
      <c r="Y78" s="22">
        <f t="shared" ca="1" si="45"/>
        <v>0</v>
      </c>
      <c r="Z78" s="22">
        <f t="shared" ca="1" si="79"/>
        <v>0</v>
      </c>
      <c r="AA78" s="22">
        <f t="shared" ca="1" si="46"/>
        <v>0</v>
      </c>
      <c r="AB78" s="22">
        <f t="shared" ca="1" si="35"/>
        <v>0</v>
      </c>
      <c r="AC78" s="22"/>
      <c r="AD78" s="22">
        <f t="shared" ca="1" si="47"/>
        <v>0</v>
      </c>
      <c r="AE78" s="22">
        <f t="shared" ca="1" si="48"/>
        <v>0</v>
      </c>
      <c r="AF78" s="22">
        <f t="shared" ca="1" si="67"/>
        <v>0</v>
      </c>
      <c r="AG78" s="22">
        <f t="shared" ca="1" si="49"/>
        <v>0</v>
      </c>
      <c r="AH78" s="22">
        <f t="shared" ca="1" si="68"/>
        <v>0</v>
      </c>
      <c r="AI78" s="22">
        <f t="shared" ca="1" si="50"/>
        <v>0</v>
      </c>
      <c r="AJ78" s="22">
        <f t="shared" ca="1" si="51"/>
        <v>0</v>
      </c>
      <c r="AK78" s="22">
        <f t="shared" ca="1" si="80"/>
        <v>0</v>
      </c>
      <c r="AL78" s="22">
        <f t="shared" ca="1" si="81"/>
        <v>0</v>
      </c>
      <c r="AM78" s="69">
        <f t="shared" ca="1" si="69"/>
        <v>0</v>
      </c>
      <c r="AN78" s="69">
        <f t="shared" ca="1" si="52"/>
        <v>0</v>
      </c>
      <c r="AO78" s="4">
        <f t="shared" ca="1" si="70"/>
        <v>0</v>
      </c>
      <c r="AP78" s="4">
        <f t="shared" ca="1" si="53"/>
        <v>0</v>
      </c>
      <c r="AQ78" s="4">
        <f t="shared" ca="1" si="54"/>
        <v>0</v>
      </c>
      <c r="AR78" s="4">
        <f t="shared" ca="1" si="55"/>
        <v>30</v>
      </c>
      <c r="AS78" s="4">
        <f t="shared" si="56"/>
        <v>20</v>
      </c>
      <c r="AT78" s="4">
        <f t="shared" ca="1" si="71"/>
        <v>30</v>
      </c>
      <c r="AU78" s="4"/>
      <c r="AV78" s="4"/>
      <c r="AW78" s="4"/>
      <c r="AX78" s="4"/>
      <c r="AY78" s="4"/>
      <c r="AZ78" s="4">
        <f t="shared" ca="1" si="57"/>
        <v>0</v>
      </c>
      <c r="BA78" s="4"/>
      <c r="BB78" s="4"/>
      <c r="BC78" s="4"/>
      <c r="BD78" s="4"/>
      <c r="BE78" s="10"/>
      <c r="BF78" s="19"/>
      <c r="BG78" s="19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</row>
    <row r="79" spans="1:142" s="24" customFormat="1" ht="15" customHeight="1">
      <c r="A79" s="4"/>
      <c r="B79" s="268" t="str">
        <f t="shared" ca="1" si="58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9"/>
        <v xml:space="preserve"> </v>
      </c>
      <c r="I79" s="84">
        <f t="shared" ca="1" si="60"/>
        <v>0</v>
      </c>
      <c r="J79" s="84">
        <f t="shared" ca="1" si="41"/>
        <v>0</v>
      </c>
      <c r="K79" s="84">
        <v>0</v>
      </c>
      <c r="L79" s="84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2">
        <f t="shared" ca="1" si="43"/>
        <v>0</v>
      </c>
      <c r="Q79" s="22">
        <f t="shared" ca="1" si="44"/>
        <v>0</v>
      </c>
      <c r="R79" s="22">
        <f t="shared" ca="1" si="62"/>
        <v>0</v>
      </c>
      <c r="S79" s="22" t="str">
        <f t="shared" ca="1" si="63"/>
        <v xml:space="preserve"> </v>
      </c>
      <c r="T79" s="22" t="e">
        <f t="shared" ca="1" si="64"/>
        <v>#VALUE!</v>
      </c>
      <c r="U79" s="22">
        <f t="shared" ca="1" si="77"/>
        <v>0</v>
      </c>
      <c r="V79" s="22">
        <f t="shared" ca="1" si="78"/>
        <v>0</v>
      </c>
      <c r="W79" s="22">
        <f t="shared" ca="1" si="65"/>
        <v>0</v>
      </c>
      <c r="X79" s="22">
        <f t="shared" ca="1" si="66"/>
        <v>0</v>
      </c>
      <c r="Y79" s="22">
        <f t="shared" ca="1" si="45"/>
        <v>0</v>
      </c>
      <c r="Z79" s="22">
        <f t="shared" ca="1" si="79"/>
        <v>0</v>
      </c>
      <c r="AA79" s="22">
        <f t="shared" ca="1" si="46"/>
        <v>0</v>
      </c>
      <c r="AB79" s="22">
        <f t="shared" ca="1" si="35"/>
        <v>0</v>
      </c>
      <c r="AC79" s="22"/>
      <c r="AD79" s="22">
        <f t="shared" ca="1" si="47"/>
        <v>0</v>
      </c>
      <c r="AE79" s="22">
        <f t="shared" ca="1" si="48"/>
        <v>0</v>
      </c>
      <c r="AF79" s="22">
        <f t="shared" ca="1" si="67"/>
        <v>0</v>
      </c>
      <c r="AG79" s="22">
        <f t="shared" ca="1" si="49"/>
        <v>0</v>
      </c>
      <c r="AH79" s="22">
        <f t="shared" ca="1" si="68"/>
        <v>0</v>
      </c>
      <c r="AI79" s="22">
        <f t="shared" ca="1" si="50"/>
        <v>0</v>
      </c>
      <c r="AJ79" s="22">
        <f t="shared" ca="1" si="51"/>
        <v>0</v>
      </c>
      <c r="AK79" s="22">
        <f t="shared" ca="1" si="80"/>
        <v>0</v>
      </c>
      <c r="AL79" s="22">
        <f t="shared" ca="1" si="81"/>
        <v>0</v>
      </c>
      <c r="AM79" s="69">
        <f t="shared" ca="1" si="69"/>
        <v>0</v>
      </c>
      <c r="AN79" s="69">
        <f t="shared" ca="1" si="52"/>
        <v>0</v>
      </c>
      <c r="AO79" s="4">
        <f t="shared" ca="1" si="70"/>
        <v>0</v>
      </c>
      <c r="AP79" s="4">
        <f t="shared" ca="1" si="53"/>
        <v>0</v>
      </c>
      <c r="AQ79" s="4">
        <f t="shared" ca="1" si="54"/>
        <v>0</v>
      </c>
      <c r="AR79" s="4">
        <f t="shared" ca="1" si="55"/>
        <v>30</v>
      </c>
      <c r="AS79" s="4">
        <f t="shared" si="56"/>
        <v>20</v>
      </c>
      <c r="AT79" s="4">
        <f t="shared" ca="1" si="71"/>
        <v>30</v>
      </c>
      <c r="AU79" s="4"/>
      <c r="AV79" s="4"/>
      <c r="AW79" s="4"/>
      <c r="AX79" s="4"/>
      <c r="AY79" s="4"/>
      <c r="AZ79" s="4">
        <f t="shared" ca="1" si="57"/>
        <v>0</v>
      </c>
      <c r="BA79" s="4"/>
      <c r="BB79" s="4"/>
      <c r="BC79" s="4"/>
      <c r="BD79" s="4"/>
      <c r="BE79" s="10"/>
      <c r="BF79" s="19"/>
      <c r="BG79" s="19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</row>
    <row r="80" spans="1:142" s="24" customFormat="1" ht="15" customHeight="1">
      <c r="A80" s="4"/>
      <c r="B80" s="268" t="str">
        <f t="shared" ca="1" si="58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9"/>
        <v xml:space="preserve"> </v>
      </c>
      <c r="I80" s="84">
        <f t="shared" ca="1" si="60"/>
        <v>0</v>
      </c>
      <c r="J80" s="84">
        <f t="shared" ca="1" si="41"/>
        <v>0</v>
      </c>
      <c r="K80" s="84">
        <v>0</v>
      </c>
      <c r="L80" s="84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2">
        <f t="shared" ca="1" si="43"/>
        <v>0</v>
      </c>
      <c r="Q80" s="22">
        <f t="shared" ca="1" si="44"/>
        <v>0</v>
      </c>
      <c r="R80" s="22">
        <f t="shared" ca="1" si="62"/>
        <v>0</v>
      </c>
      <c r="S80" s="22" t="str">
        <f t="shared" ca="1" si="63"/>
        <v xml:space="preserve"> </v>
      </c>
      <c r="T80" s="22" t="e">
        <f t="shared" ca="1" si="64"/>
        <v>#VALUE!</v>
      </c>
      <c r="U80" s="22">
        <f t="shared" ca="1" si="77"/>
        <v>0</v>
      </c>
      <c r="V80" s="22">
        <f t="shared" ca="1" si="78"/>
        <v>0</v>
      </c>
      <c r="W80" s="22">
        <f t="shared" ca="1" si="65"/>
        <v>0</v>
      </c>
      <c r="X80" s="22">
        <f t="shared" ca="1" si="66"/>
        <v>0</v>
      </c>
      <c r="Y80" s="22">
        <f t="shared" ca="1" si="45"/>
        <v>0</v>
      </c>
      <c r="Z80" s="22">
        <f t="shared" ca="1" si="79"/>
        <v>0</v>
      </c>
      <c r="AA80" s="22">
        <f t="shared" ca="1" si="46"/>
        <v>0</v>
      </c>
      <c r="AB80" s="22">
        <f t="shared" ca="1" si="35"/>
        <v>0</v>
      </c>
      <c r="AC80" s="22"/>
      <c r="AD80" s="22">
        <f t="shared" ca="1" si="47"/>
        <v>0</v>
      </c>
      <c r="AE80" s="22">
        <f t="shared" ca="1" si="48"/>
        <v>0</v>
      </c>
      <c r="AF80" s="22">
        <f t="shared" ca="1" si="67"/>
        <v>0</v>
      </c>
      <c r="AG80" s="22">
        <f t="shared" ca="1" si="49"/>
        <v>0</v>
      </c>
      <c r="AH80" s="22">
        <f t="shared" ca="1" si="68"/>
        <v>0</v>
      </c>
      <c r="AI80" s="22">
        <f t="shared" ca="1" si="50"/>
        <v>0</v>
      </c>
      <c r="AJ80" s="22">
        <f t="shared" ca="1" si="51"/>
        <v>0</v>
      </c>
      <c r="AK80" s="22">
        <f t="shared" ca="1" si="80"/>
        <v>0</v>
      </c>
      <c r="AL80" s="22">
        <f t="shared" ca="1" si="81"/>
        <v>0</v>
      </c>
      <c r="AM80" s="69">
        <f t="shared" ca="1" si="69"/>
        <v>0</v>
      </c>
      <c r="AN80" s="69">
        <f t="shared" ca="1" si="52"/>
        <v>0</v>
      </c>
      <c r="AO80" s="4">
        <f t="shared" ca="1" si="70"/>
        <v>0</v>
      </c>
      <c r="AP80" s="4">
        <f t="shared" ca="1" si="53"/>
        <v>0</v>
      </c>
      <c r="AQ80" s="4">
        <f t="shared" ca="1" si="54"/>
        <v>0</v>
      </c>
      <c r="AR80" s="4">
        <f t="shared" ca="1" si="55"/>
        <v>30</v>
      </c>
      <c r="AS80" s="4">
        <f t="shared" si="56"/>
        <v>20</v>
      </c>
      <c r="AT80" s="4">
        <f t="shared" ca="1" si="71"/>
        <v>30</v>
      </c>
      <c r="AU80" s="4"/>
      <c r="AV80" s="4"/>
      <c r="AW80" s="4"/>
      <c r="AX80" s="4"/>
      <c r="AY80" s="4"/>
      <c r="AZ80" s="4">
        <f t="shared" ca="1" si="57"/>
        <v>0</v>
      </c>
      <c r="BA80" s="4"/>
      <c r="BB80" s="4"/>
      <c r="BC80" s="4"/>
      <c r="BD80" s="4"/>
      <c r="BE80" s="10"/>
      <c r="BF80" s="19"/>
      <c r="BG80" s="19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</row>
    <row r="81" spans="1:142" s="24" customFormat="1" ht="15" customHeight="1">
      <c r="A81" s="4"/>
      <c r="B81" s="268" t="str">
        <f t="shared" ca="1" si="58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9"/>
        <v xml:space="preserve"> </v>
      </c>
      <c r="I81" s="84">
        <f t="shared" ca="1" si="60"/>
        <v>0</v>
      </c>
      <c r="J81" s="84">
        <f t="shared" ca="1" si="41"/>
        <v>0</v>
      </c>
      <c r="K81" s="84">
        <v>0</v>
      </c>
      <c r="L81" s="84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2">
        <f t="shared" ca="1" si="43"/>
        <v>0</v>
      </c>
      <c r="Q81" s="22">
        <f t="shared" ca="1" si="44"/>
        <v>0</v>
      </c>
      <c r="R81" s="22">
        <f t="shared" ca="1" si="62"/>
        <v>0</v>
      </c>
      <c r="S81" s="22" t="str">
        <f t="shared" ca="1" si="63"/>
        <v xml:space="preserve"> </v>
      </c>
      <c r="T81" s="22" t="e">
        <f t="shared" ca="1" si="64"/>
        <v>#VALUE!</v>
      </c>
      <c r="U81" s="22">
        <f t="shared" ca="1" si="77"/>
        <v>0</v>
      </c>
      <c r="V81" s="22">
        <f t="shared" ca="1" si="78"/>
        <v>0</v>
      </c>
      <c r="W81" s="22">
        <f t="shared" ca="1" si="65"/>
        <v>0</v>
      </c>
      <c r="X81" s="22">
        <f t="shared" ca="1" si="66"/>
        <v>0</v>
      </c>
      <c r="Y81" s="22">
        <f t="shared" ca="1" si="45"/>
        <v>0</v>
      </c>
      <c r="Z81" s="22">
        <f t="shared" ca="1" si="79"/>
        <v>0</v>
      </c>
      <c r="AA81" s="22">
        <f t="shared" ca="1" si="46"/>
        <v>0</v>
      </c>
      <c r="AB81" s="22">
        <f t="shared" ca="1" si="35"/>
        <v>0</v>
      </c>
      <c r="AC81" s="22"/>
      <c r="AD81" s="22">
        <f t="shared" ca="1" si="47"/>
        <v>0</v>
      </c>
      <c r="AE81" s="22">
        <f t="shared" ca="1" si="48"/>
        <v>0</v>
      </c>
      <c r="AF81" s="22">
        <f t="shared" ca="1" si="67"/>
        <v>0</v>
      </c>
      <c r="AG81" s="22">
        <f t="shared" ca="1" si="49"/>
        <v>0</v>
      </c>
      <c r="AH81" s="22">
        <f t="shared" ca="1" si="68"/>
        <v>0</v>
      </c>
      <c r="AI81" s="22">
        <f t="shared" ca="1" si="50"/>
        <v>0</v>
      </c>
      <c r="AJ81" s="22">
        <f t="shared" ca="1" si="51"/>
        <v>0</v>
      </c>
      <c r="AK81" s="22">
        <f t="shared" ca="1" si="80"/>
        <v>0</v>
      </c>
      <c r="AL81" s="22">
        <f t="shared" ca="1" si="81"/>
        <v>0</v>
      </c>
      <c r="AM81" s="69">
        <f t="shared" ca="1" si="69"/>
        <v>0</v>
      </c>
      <c r="AN81" s="69">
        <f t="shared" ca="1" si="52"/>
        <v>0</v>
      </c>
      <c r="AO81" s="4">
        <f t="shared" ca="1" si="70"/>
        <v>0</v>
      </c>
      <c r="AP81" s="4">
        <f t="shared" ca="1" si="53"/>
        <v>0</v>
      </c>
      <c r="AQ81" s="4">
        <f t="shared" ca="1" si="54"/>
        <v>0</v>
      </c>
      <c r="AR81" s="4">
        <f t="shared" ca="1" si="55"/>
        <v>30</v>
      </c>
      <c r="AS81" s="4">
        <f t="shared" si="56"/>
        <v>20</v>
      </c>
      <c r="AT81" s="4">
        <f t="shared" ca="1" si="71"/>
        <v>30</v>
      </c>
      <c r="AU81" s="4"/>
      <c r="AV81" s="4"/>
      <c r="AW81" s="4"/>
      <c r="AX81" s="4"/>
      <c r="AY81" s="4"/>
      <c r="AZ81" s="4">
        <f t="shared" ca="1" si="57"/>
        <v>0</v>
      </c>
      <c r="BA81" s="4"/>
      <c r="BB81" s="4"/>
      <c r="BC81" s="4"/>
      <c r="BD81" s="4"/>
      <c r="BE81" s="10"/>
      <c r="BF81" s="19"/>
      <c r="BG81" s="19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</row>
    <row r="82" spans="1:142" s="24" customFormat="1" ht="15" customHeight="1">
      <c r="A82" s="4"/>
      <c r="B82" s="268" t="str">
        <f t="shared" ca="1" si="58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9"/>
        <v xml:space="preserve"> </v>
      </c>
      <c r="I82" s="84">
        <f t="shared" ca="1" si="60"/>
        <v>0</v>
      </c>
      <c r="J82" s="84">
        <f t="shared" ca="1" si="41"/>
        <v>0</v>
      </c>
      <c r="K82" s="84">
        <v>0</v>
      </c>
      <c r="L82" s="84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2">
        <f t="shared" ca="1" si="43"/>
        <v>0</v>
      </c>
      <c r="Q82" s="22">
        <f t="shared" ca="1" si="44"/>
        <v>0</v>
      </c>
      <c r="R82" s="22">
        <f t="shared" ca="1" si="62"/>
        <v>0</v>
      </c>
      <c r="S82" s="22" t="str">
        <f t="shared" ca="1" si="63"/>
        <v xml:space="preserve"> </v>
      </c>
      <c r="T82" s="22" t="e">
        <f t="shared" ca="1" si="64"/>
        <v>#VALUE!</v>
      </c>
      <c r="U82" s="22">
        <f t="shared" ca="1" si="77"/>
        <v>0</v>
      </c>
      <c r="V82" s="22">
        <f t="shared" ca="1" si="78"/>
        <v>0</v>
      </c>
      <c r="W82" s="22">
        <f t="shared" ca="1" si="65"/>
        <v>0</v>
      </c>
      <c r="X82" s="22">
        <f t="shared" ca="1" si="66"/>
        <v>0</v>
      </c>
      <c r="Y82" s="22">
        <f t="shared" ca="1" si="45"/>
        <v>0</v>
      </c>
      <c r="Z82" s="22">
        <f t="shared" ca="1" si="79"/>
        <v>0</v>
      </c>
      <c r="AA82" s="22">
        <f t="shared" ca="1" si="46"/>
        <v>0</v>
      </c>
      <c r="AB82" s="22">
        <f t="shared" ca="1" si="35"/>
        <v>0</v>
      </c>
      <c r="AC82" s="22"/>
      <c r="AD82" s="22">
        <f t="shared" ca="1" si="47"/>
        <v>0</v>
      </c>
      <c r="AE82" s="22">
        <f t="shared" ca="1" si="48"/>
        <v>0</v>
      </c>
      <c r="AF82" s="22">
        <f t="shared" ca="1" si="67"/>
        <v>0</v>
      </c>
      <c r="AG82" s="22">
        <f t="shared" ca="1" si="49"/>
        <v>0</v>
      </c>
      <c r="AH82" s="22">
        <f t="shared" ca="1" si="68"/>
        <v>0</v>
      </c>
      <c r="AI82" s="22">
        <f t="shared" ca="1" si="50"/>
        <v>0</v>
      </c>
      <c r="AJ82" s="22">
        <f t="shared" ca="1" si="51"/>
        <v>0</v>
      </c>
      <c r="AK82" s="22">
        <f t="shared" ca="1" si="80"/>
        <v>0</v>
      </c>
      <c r="AL82" s="22">
        <f t="shared" ca="1" si="81"/>
        <v>0</v>
      </c>
      <c r="AM82" s="69">
        <f t="shared" ca="1" si="69"/>
        <v>0</v>
      </c>
      <c r="AN82" s="69">
        <f t="shared" ca="1" si="52"/>
        <v>0</v>
      </c>
      <c r="AO82" s="4">
        <f t="shared" ca="1" si="70"/>
        <v>0</v>
      </c>
      <c r="AP82" s="4">
        <f t="shared" ca="1" si="53"/>
        <v>0</v>
      </c>
      <c r="AQ82" s="4">
        <f t="shared" ca="1" si="54"/>
        <v>0</v>
      </c>
      <c r="AR82" s="4">
        <f t="shared" ca="1" si="55"/>
        <v>30</v>
      </c>
      <c r="AS82" s="4">
        <f t="shared" si="56"/>
        <v>20</v>
      </c>
      <c r="AT82" s="4">
        <f t="shared" ca="1" si="71"/>
        <v>30</v>
      </c>
      <c r="AU82" s="4"/>
      <c r="AV82" s="4"/>
      <c r="AW82" s="4"/>
      <c r="AX82" s="4"/>
      <c r="AY82" s="4"/>
      <c r="AZ82" s="4">
        <f t="shared" ca="1" si="57"/>
        <v>0</v>
      </c>
      <c r="BA82" s="4"/>
      <c r="BB82" s="4"/>
      <c r="BC82" s="4"/>
      <c r="BD82" s="4"/>
      <c r="BE82" s="10"/>
      <c r="BF82" s="19"/>
      <c r="BG82" s="19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</row>
    <row r="83" spans="1:142" s="24" customFormat="1" ht="15" customHeight="1">
      <c r="A83" s="4"/>
      <c r="B83" s="268" t="str">
        <f t="shared" ca="1" si="58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9"/>
        <v xml:space="preserve"> </v>
      </c>
      <c r="I83" s="84">
        <f t="shared" ca="1" si="60"/>
        <v>0</v>
      </c>
      <c r="J83" s="84">
        <f t="shared" ca="1" si="41"/>
        <v>0</v>
      </c>
      <c r="K83" s="84">
        <v>0</v>
      </c>
      <c r="L83" s="84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2">
        <f t="shared" ca="1" si="43"/>
        <v>0</v>
      </c>
      <c r="Q83" s="22">
        <f t="shared" ca="1" si="44"/>
        <v>0</v>
      </c>
      <c r="R83" s="22">
        <f t="shared" ca="1" si="62"/>
        <v>0</v>
      </c>
      <c r="S83" s="22" t="str">
        <f t="shared" ca="1" si="63"/>
        <v xml:space="preserve"> </v>
      </c>
      <c r="T83" s="22" t="e">
        <f t="shared" ca="1" si="64"/>
        <v>#VALUE!</v>
      </c>
      <c r="U83" s="22">
        <f t="shared" ca="1" si="77"/>
        <v>0</v>
      </c>
      <c r="V83" s="22">
        <f t="shared" ca="1" si="78"/>
        <v>0</v>
      </c>
      <c r="W83" s="22">
        <f t="shared" ca="1" si="65"/>
        <v>0</v>
      </c>
      <c r="X83" s="22">
        <f t="shared" ca="1" si="66"/>
        <v>0</v>
      </c>
      <c r="Y83" s="22">
        <f t="shared" ca="1" si="45"/>
        <v>0</v>
      </c>
      <c r="Z83" s="22">
        <f t="shared" ca="1" si="79"/>
        <v>0</v>
      </c>
      <c r="AA83" s="22">
        <f t="shared" ca="1" si="46"/>
        <v>0</v>
      </c>
      <c r="AB83" s="22">
        <f t="shared" ca="1" si="35"/>
        <v>0</v>
      </c>
      <c r="AC83" s="22"/>
      <c r="AD83" s="22">
        <f t="shared" ca="1" si="47"/>
        <v>0</v>
      </c>
      <c r="AE83" s="22">
        <f t="shared" ca="1" si="48"/>
        <v>0</v>
      </c>
      <c r="AF83" s="22">
        <f t="shared" ca="1" si="67"/>
        <v>0</v>
      </c>
      <c r="AG83" s="22">
        <f t="shared" ca="1" si="49"/>
        <v>0</v>
      </c>
      <c r="AH83" s="22">
        <f t="shared" ca="1" si="68"/>
        <v>0</v>
      </c>
      <c r="AI83" s="22">
        <f t="shared" ca="1" si="50"/>
        <v>0</v>
      </c>
      <c r="AJ83" s="22">
        <f t="shared" ca="1" si="51"/>
        <v>0</v>
      </c>
      <c r="AK83" s="22">
        <f t="shared" ca="1" si="80"/>
        <v>0</v>
      </c>
      <c r="AL83" s="22">
        <f t="shared" ca="1" si="81"/>
        <v>0</v>
      </c>
      <c r="AM83" s="69">
        <f t="shared" ca="1" si="69"/>
        <v>0</v>
      </c>
      <c r="AN83" s="69">
        <f t="shared" ca="1" si="52"/>
        <v>0</v>
      </c>
      <c r="AO83" s="4">
        <f t="shared" ca="1" si="70"/>
        <v>0</v>
      </c>
      <c r="AP83" s="4">
        <f t="shared" ca="1" si="53"/>
        <v>0</v>
      </c>
      <c r="AQ83" s="4">
        <f t="shared" ca="1" si="54"/>
        <v>0</v>
      </c>
      <c r="AR83" s="4">
        <f t="shared" ca="1" si="55"/>
        <v>30</v>
      </c>
      <c r="AS83" s="4">
        <f t="shared" si="56"/>
        <v>20</v>
      </c>
      <c r="AT83" s="4">
        <f t="shared" ca="1" si="71"/>
        <v>30</v>
      </c>
      <c r="AU83" s="4"/>
      <c r="AV83" s="4"/>
      <c r="AW83" s="4"/>
      <c r="AX83" s="4"/>
      <c r="AY83" s="4"/>
      <c r="AZ83" s="4">
        <f t="shared" ca="1" si="57"/>
        <v>0</v>
      </c>
      <c r="BA83" s="4"/>
      <c r="BB83" s="4"/>
      <c r="BC83" s="4"/>
      <c r="BD83" s="4"/>
      <c r="BE83" s="10"/>
      <c r="BF83" s="19"/>
      <c r="BG83" s="19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</row>
    <row r="84" spans="1:142" s="24" customFormat="1" ht="15" customHeight="1">
      <c r="A84" s="4"/>
      <c r="B84" s="268" t="str">
        <f t="shared" ca="1" si="58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9"/>
        <v xml:space="preserve"> </v>
      </c>
      <c r="I84" s="84">
        <f t="shared" ca="1" si="60"/>
        <v>0</v>
      </c>
      <c r="J84" s="84">
        <f t="shared" ca="1" si="41"/>
        <v>0</v>
      </c>
      <c r="K84" s="84">
        <v>0</v>
      </c>
      <c r="L84" s="84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2">
        <f t="shared" ca="1" si="43"/>
        <v>0</v>
      </c>
      <c r="Q84" s="22">
        <f t="shared" ca="1" si="44"/>
        <v>0</v>
      </c>
      <c r="R84" s="22">
        <f t="shared" ca="1" si="62"/>
        <v>0</v>
      </c>
      <c r="S84" s="22" t="str">
        <f t="shared" ca="1" si="63"/>
        <v xml:space="preserve"> </v>
      </c>
      <c r="T84" s="22" t="e">
        <f t="shared" ca="1" si="64"/>
        <v>#VALUE!</v>
      </c>
      <c r="U84" s="22">
        <f t="shared" ca="1" si="77"/>
        <v>0</v>
      </c>
      <c r="V84" s="22">
        <f t="shared" ca="1" si="78"/>
        <v>0</v>
      </c>
      <c r="W84" s="22">
        <f t="shared" ca="1" si="65"/>
        <v>0</v>
      </c>
      <c r="X84" s="22">
        <f t="shared" ca="1" si="66"/>
        <v>0</v>
      </c>
      <c r="Y84" s="22">
        <f t="shared" ca="1" si="45"/>
        <v>0</v>
      </c>
      <c r="Z84" s="22">
        <f t="shared" ca="1" si="79"/>
        <v>0</v>
      </c>
      <c r="AA84" s="22">
        <f t="shared" ca="1" si="46"/>
        <v>0</v>
      </c>
      <c r="AB84" s="22">
        <f t="shared" ca="1" si="35"/>
        <v>0</v>
      </c>
      <c r="AC84" s="22"/>
      <c r="AD84" s="22">
        <f t="shared" ca="1" si="47"/>
        <v>0</v>
      </c>
      <c r="AE84" s="22">
        <f t="shared" ca="1" si="48"/>
        <v>0</v>
      </c>
      <c r="AF84" s="22">
        <f t="shared" ca="1" si="67"/>
        <v>0</v>
      </c>
      <c r="AG84" s="22">
        <f t="shared" ca="1" si="49"/>
        <v>0</v>
      </c>
      <c r="AH84" s="22">
        <f t="shared" ca="1" si="68"/>
        <v>0</v>
      </c>
      <c r="AI84" s="22">
        <f t="shared" ca="1" si="50"/>
        <v>0</v>
      </c>
      <c r="AJ84" s="22">
        <f t="shared" ca="1" si="51"/>
        <v>0</v>
      </c>
      <c r="AK84" s="22">
        <f t="shared" ca="1" si="80"/>
        <v>0</v>
      </c>
      <c r="AL84" s="22">
        <f t="shared" ca="1" si="81"/>
        <v>0</v>
      </c>
      <c r="AM84" s="69">
        <f t="shared" ca="1" si="69"/>
        <v>0</v>
      </c>
      <c r="AN84" s="69">
        <f t="shared" ca="1" si="52"/>
        <v>0</v>
      </c>
      <c r="AO84" s="4">
        <f t="shared" ca="1" si="70"/>
        <v>0</v>
      </c>
      <c r="AP84" s="4">
        <f t="shared" ca="1" si="53"/>
        <v>0</v>
      </c>
      <c r="AQ84" s="4">
        <f t="shared" ca="1" si="54"/>
        <v>0</v>
      </c>
      <c r="AR84" s="4">
        <f t="shared" ca="1" si="55"/>
        <v>30</v>
      </c>
      <c r="AS84" s="4">
        <f t="shared" si="56"/>
        <v>20</v>
      </c>
      <c r="AT84" s="4">
        <f t="shared" ca="1" si="71"/>
        <v>30</v>
      </c>
      <c r="AU84" s="4"/>
      <c r="AV84" s="4"/>
      <c r="AW84" s="4"/>
      <c r="AX84" s="4"/>
      <c r="AY84" s="4"/>
      <c r="AZ84" s="4">
        <f t="shared" ca="1" si="57"/>
        <v>0</v>
      </c>
      <c r="BA84" s="4"/>
      <c r="BB84" s="4"/>
      <c r="BC84" s="4"/>
      <c r="BD84" s="4"/>
      <c r="BE84" s="10"/>
      <c r="BF84" s="19"/>
      <c r="BG84" s="19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</row>
    <row r="85" spans="1:142" s="24" customFormat="1" ht="15" customHeight="1">
      <c r="A85" s="4"/>
      <c r="B85" s="268" t="str">
        <f t="shared" ca="1" si="58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9"/>
        <v xml:space="preserve"> 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 t="str">
        <f t="shared" ca="1" si="63"/>
        <v xml:space="preserve"> </v>
      </c>
      <c r="T85" s="22" t="e">
        <f t="shared" ca="1" si="64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/>
      <c r="AD85" s="22">
        <f t="shared" ca="1" si="47"/>
        <v>0</v>
      </c>
      <c r="AE85" s="22">
        <f t="shared" ca="1" si="48"/>
        <v>0</v>
      </c>
      <c r="AF85" s="22">
        <f ca="1">IF(N86=1,D10*G$12*20/36000+D10*G$12*10/36000,IF(N86=0,IF(N85=0,0,D10*G$12*Q$12/36000)))</f>
        <v>0</v>
      </c>
      <c r="AG85" s="22">
        <f t="shared" ca="1" si="49"/>
        <v>0</v>
      </c>
      <c r="AH85" s="22">
        <f ca="1">IF(N86=1,Y84*G$12*20/36000+Y85*G$12*10/36000,IF(N86=0,IF(N85=0,0,Y85*G$12*Q$12/36000)))</f>
        <v>0</v>
      </c>
      <c r="AI85" s="22">
        <f t="shared" ca="1" si="50"/>
        <v>0</v>
      </c>
      <c r="AJ85" s="22">
        <f t="shared" ca="1" si="51"/>
        <v>0</v>
      </c>
      <c r="AK85" s="22">
        <f ca="1">IF(N86=1,AJ84*G$12*20/36000+AJ85*G$12*10/36000,IF(N86=0,IF(N85=0,0,AJ85*G$12*Q$12/36000)))</f>
        <v>0</v>
      </c>
      <c r="AL85" s="22">
        <f ca="1">IF(N86=1,AJ84*G$12*20/36000+AJ85*G$12*10/36000,IF(N86=0,IF(N85=0,0,AJ85*G$12*Q$12/36000)))</f>
        <v>0</v>
      </c>
      <c r="AM85" s="69">
        <f t="shared" ca="1" si="69"/>
        <v>0</v>
      </c>
      <c r="AN85" s="69">
        <f t="shared" ca="1" si="52"/>
        <v>0</v>
      </c>
      <c r="AO85" s="4">
        <f t="shared" ca="1" si="70"/>
        <v>0</v>
      </c>
      <c r="AP85" s="4">
        <f t="shared" ca="1" si="53"/>
        <v>0</v>
      </c>
      <c r="AQ85" s="4">
        <f t="shared" ca="1" si="54"/>
        <v>0</v>
      </c>
      <c r="AR85" s="4">
        <f t="shared" ca="1" si="55"/>
        <v>30</v>
      </c>
      <c r="AS85" s="4">
        <f t="shared" si="56"/>
        <v>20</v>
      </c>
      <c r="AT85" s="4">
        <f t="shared" ca="1" si="71"/>
        <v>30</v>
      </c>
      <c r="AU85" s="4"/>
      <c r="AV85" s="4"/>
      <c r="AW85" s="4"/>
      <c r="AX85" s="4"/>
      <c r="AY85" s="4"/>
      <c r="AZ85" s="4">
        <f t="shared" ca="1" si="57"/>
        <v>0</v>
      </c>
      <c r="BA85" s="4"/>
      <c r="BB85" s="4"/>
      <c r="BC85" s="4"/>
      <c r="BD85" s="4"/>
      <c r="BE85" s="10"/>
      <c r="BF85" s="19"/>
      <c r="BG85" s="19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</row>
    <row r="86" spans="1:142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1804820</v>
      </c>
      <c r="Q86" s="71">
        <f ca="1">SUM(Q25:Q85)</f>
        <v>1804820</v>
      </c>
      <c r="R86" s="71">
        <f ca="1">SUM(R25:R85)</f>
        <v>45499950</v>
      </c>
      <c r="S86" s="71"/>
      <c r="T86" s="71"/>
      <c r="U86" s="71">
        <f ca="1">SUM(U25:U85)</f>
        <v>1804831.9333333333</v>
      </c>
      <c r="V86" s="71">
        <f ca="1">SUM(V25:V85)</f>
        <v>1804831.9333333333</v>
      </c>
      <c r="W86" s="71">
        <f ca="1">SUM(W25:W85)</f>
        <v>2714833.333333333</v>
      </c>
      <c r="X86" s="71">
        <f ca="1">SUM(X25:X85)</f>
        <v>2714830</v>
      </c>
      <c r="Y86" s="71"/>
      <c r="Z86" s="71"/>
      <c r="AA86" s="71"/>
      <c r="AB86" s="71">
        <f ca="1">SUM(AB25:AB85)</f>
        <v>1438665900</v>
      </c>
      <c r="AC86" s="71"/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>
        <f ca="1">SUM(AG25:AG85)</f>
        <v>0</v>
      </c>
      <c r="AH86" s="71"/>
      <c r="AI86" s="71"/>
      <c r="AJ86" s="71">
        <f ca="1">SUM(AJ25:AJ85)</f>
        <v>45499950</v>
      </c>
      <c r="AK86" s="71">
        <f ca="1">SUM(AK25:AK85)</f>
        <v>0</v>
      </c>
      <c r="AL86" s="71">
        <f ca="1">SUM(AL25:AL85)</f>
        <v>0</v>
      </c>
      <c r="AM86" s="71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111"/>
    </row>
    <row r="87" spans="1:142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8"/>
      <c r="N87" s="28" t="s">
        <v>145</v>
      </c>
      <c r="O87" s="28" t="s">
        <v>145</v>
      </c>
      <c r="P87" s="28"/>
      <c r="Q87" s="28"/>
    </row>
    <row r="88" spans="1:142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2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2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2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2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10"/>
    </row>
    <row r="93" spans="1:142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10"/>
    </row>
    <row r="94" spans="1:142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10"/>
    </row>
    <row r="95" spans="1:142" s="19" customFormat="1" ht="12.75" hidden="1" customHeight="1">
      <c r="A95" s="31"/>
      <c r="B95" s="302" t="s">
        <v>190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10"/>
    </row>
    <row r="96" spans="1:142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112"/>
    </row>
    <row r="97" spans="1:57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112"/>
    </row>
    <row r="98" spans="1:57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112"/>
    </row>
    <row r="99" spans="1:57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98</v>
      </c>
      <c r="V99" s="37" t="s">
        <v>98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112"/>
    </row>
    <row r="100" spans="1:57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112"/>
    </row>
    <row r="101" spans="1:57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112"/>
    </row>
    <row r="102" spans="1:57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112"/>
    </row>
    <row r="103" spans="1:57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112"/>
    </row>
    <row r="104" spans="1:57" s="34" customFormat="1" ht="25.5" hidden="1" customHeight="1">
      <c r="A104" s="32"/>
      <c r="B104" s="299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112"/>
    </row>
    <row r="105" spans="1:57" s="34" customFormat="1" ht="25.5" hidden="1" customHeight="1">
      <c r="A105" s="32">
        <f t="shared" ref="A105:A120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112"/>
    </row>
    <row r="106" spans="1:57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112"/>
    </row>
    <row r="107" spans="1:57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112"/>
    </row>
    <row r="108" spans="1:57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98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112"/>
    </row>
    <row r="109" spans="1:57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112"/>
    </row>
    <row r="110" spans="1:57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98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112"/>
    </row>
    <row r="111" spans="1:57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112"/>
    </row>
    <row r="112" spans="1:57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112"/>
    </row>
    <row r="113" spans="1:57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112"/>
    </row>
    <row r="114" spans="1:57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112"/>
    </row>
    <row r="115" spans="1:57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112"/>
    </row>
    <row r="116" spans="1:57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65"/>
      <c r="N116" s="37" t="s">
        <v>98</v>
      </c>
      <c r="O116" s="37" t="s">
        <v>98</v>
      </c>
      <c r="P116" s="37" t="s">
        <v>98</v>
      </c>
      <c r="Q116" s="37" t="s">
        <v>98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112"/>
    </row>
    <row r="117" spans="1:57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112"/>
    </row>
    <row r="118" spans="1:57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112"/>
    </row>
    <row r="119" spans="1:57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65"/>
      <c r="N119" s="37" t="s">
        <v>105</v>
      </c>
      <c r="O119" s="37" t="s">
        <v>146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112"/>
    </row>
    <row r="120" spans="1:57" s="34" customFormat="1" ht="25.5" hidden="1" customHeight="1">
      <c r="A120" s="32">
        <f t="shared" si="84"/>
        <v>1</v>
      </c>
      <c r="B120" s="299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65"/>
      <c r="N120" s="33" t="s">
        <v>61</v>
      </c>
      <c r="O120" s="33" t="s">
        <v>61</v>
      </c>
      <c r="P120" s="33" t="s">
        <v>36</v>
      </c>
      <c r="Q120" s="33" t="s">
        <v>36</v>
      </c>
      <c r="R120" s="33" t="s">
        <v>36</v>
      </c>
      <c r="S120" s="33"/>
      <c r="T120" s="33"/>
      <c r="U120" s="33" t="s">
        <v>36</v>
      </c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112"/>
    </row>
    <row r="121" spans="1:57" s="34" customFormat="1" ht="36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65"/>
      <c r="N121" s="33"/>
      <c r="O121" s="33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112"/>
    </row>
    <row r="122" spans="1:57" s="34" customFormat="1" ht="21.75" customHeight="1">
      <c r="A122" s="32"/>
      <c r="B122" s="385" t="s">
        <v>155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65"/>
      <c r="N122" s="33"/>
      <c r="O122" s="33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112"/>
    </row>
    <row r="123" spans="1:57" s="34" customFormat="1" ht="36.75" customHeight="1">
      <c r="A123" s="32"/>
      <c r="B123" s="385" t="s">
        <v>153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65"/>
      <c r="N123" s="33"/>
      <c r="O123" s="33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112"/>
    </row>
    <row r="124" spans="1:57" s="34" customFormat="1" ht="52.5" customHeight="1">
      <c r="A124" s="32"/>
      <c r="B124" s="385" t="s">
        <v>193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65"/>
      <c r="N124" s="33"/>
      <c r="O124" s="33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112"/>
    </row>
    <row r="125" spans="1:57" s="34" customFormat="1" ht="27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65"/>
      <c r="N125" s="33"/>
      <c r="O125" s="33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112"/>
    </row>
    <row r="126" spans="1:57" s="34" customFormat="1" ht="44.25" customHeight="1">
      <c r="A126" s="32"/>
      <c r="B126" s="385" t="s">
        <v>197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65"/>
      <c r="N126" s="33"/>
      <c r="O126" s="33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112"/>
    </row>
    <row r="127" spans="1:57" s="34" customFormat="1" ht="51.7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65"/>
      <c r="N127" s="33"/>
      <c r="O127" s="33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112"/>
    </row>
    <row r="128" spans="1:57" s="34" customFormat="1" ht="37.5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65"/>
      <c r="N128" s="33"/>
      <c r="O128" s="33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112"/>
    </row>
    <row r="129" spans="1:57" s="34" customFormat="1" ht="38.2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65"/>
      <c r="N129" s="33"/>
      <c r="O129" s="33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112"/>
    </row>
    <row r="130" spans="1:57" s="34" customFormat="1" ht="23.2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65"/>
      <c r="N130" s="33"/>
      <c r="O130" s="33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112"/>
    </row>
    <row r="131" spans="1:57" s="34" customFormat="1" ht="38.25" customHeight="1">
      <c r="A131" s="32"/>
      <c r="B131" s="385" t="s">
        <v>192</v>
      </c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65"/>
      <c r="N131" s="33"/>
      <c r="O131" s="33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112"/>
    </row>
    <row r="132" spans="1:57" s="34" customFormat="1" ht="38.2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65"/>
      <c r="N132" s="33"/>
      <c r="O132" s="33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112"/>
    </row>
    <row r="133" spans="1:57" s="34" customFormat="1" ht="23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65"/>
      <c r="N133" s="33"/>
      <c r="O133" s="33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112"/>
    </row>
    <row r="134" spans="1:57" s="34" customFormat="1" ht="18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65"/>
      <c r="N134" s="33"/>
      <c r="O134" s="33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112"/>
    </row>
    <row r="135" spans="1:57" s="34" customFormat="1" ht="17.25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65"/>
      <c r="N135" s="33"/>
      <c r="O135" s="33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112"/>
    </row>
    <row r="136" spans="1:57" s="34" customFormat="1" ht="32.2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163</v>
      </c>
      <c r="J136" s="391"/>
      <c r="K136" s="391"/>
      <c r="L136" s="392"/>
      <c r="M136" s="65"/>
      <c r="N136" s="33"/>
      <c r="O136" s="33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112"/>
    </row>
    <row r="137" spans="1:57" s="34" customFormat="1" ht="33.7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165</v>
      </c>
      <c r="J137" s="391"/>
      <c r="K137" s="391"/>
      <c r="L137" s="392"/>
      <c r="M137" s="65"/>
      <c r="N137" s="33"/>
      <c r="O137" s="33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112"/>
    </row>
    <row r="138" spans="1:57" s="34" customFormat="1" ht="51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165</v>
      </c>
      <c r="J138" s="391"/>
      <c r="K138" s="391"/>
      <c r="L138" s="392"/>
      <c r="M138" s="65"/>
      <c r="N138" s="33"/>
      <c r="O138" s="33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112"/>
    </row>
    <row r="139" spans="1:57" s="34" customFormat="1" ht="47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168</v>
      </c>
      <c r="J139" s="391"/>
      <c r="K139" s="391"/>
      <c r="L139" s="392"/>
      <c r="M139" s="65"/>
      <c r="N139" s="33"/>
      <c r="O139" s="33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112"/>
    </row>
    <row r="140" spans="1:57" s="34" customFormat="1" ht="13.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65"/>
      <c r="N140" s="33"/>
      <c r="O140" s="33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112"/>
    </row>
    <row r="141" spans="1:57" s="34" customFormat="1" ht="23.2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65"/>
      <c r="N141" s="33"/>
      <c r="O141" s="33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112"/>
    </row>
    <row r="142" spans="1:57" s="34" customFormat="1" ht="12.7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65"/>
      <c r="N142" s="33"/>
      <c r="O142" s="33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112"/>
    </row>
    <row r="143" spans="1:57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65"/>
      <c r="N143" s="33"/>
      <c r="O143" s="33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112"/>
    </row>
    <row r="144" spans="1:57" s="34" customFormat="1" ht="35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175</v>
      </c>
      <c r="J144" s="391"/>
      <c r="K144" s="391"/>
      <c r="L144" s="392"/>
      <c r="M144" s="65"/>
      <c r="N144" s="33"/>
      <c r="O144" s="33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112"/>
    </row>
    <row r="145" spans="1:57" s="34" customFormat="1" ht="31.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176</v>
      </c>
      <c r="J145" s="391"/>
      <c r="K145" s="391"/>
      <c r="L145" s="392"/>
      <c r="M145" s="65"/>
      <c r="N145" s="33"/>
      <c r="O145" s="33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112"/>
    </row>
    <row r="146" spans="1:57" s="34" customFormat="1" ht="51.7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177</v>
      </c>
      <c r="J146" s="391"/>
      <c r="K146" s="391"/>
      <c r="L146" s="392"/>
      <c r="M146" s="65"/>
      <c r="N146" s="33"/>
      <c r="O146" s="33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112"/>
    </row>
    <row r="147" spans="1:57" s="34" customFormat="1" ht="32.25" customHeight="1">
      <c r="A147" s="32"/>
      <c r="B147" s="390" t="s">
        <v>173</v>
      </c>
      <c r="C147" s="391"/>
      <c r="D147" s="391"/>
      <c r="E147" s="391"/>
      <c r="F147" s="391"/>
      <c r="G147" s="391"/>
      <c r="H147" s="392"/>
      <c r="I147" s="390" t="s">
        <v>178</v>
      </c>
      <c r="J147" s="391"/>
      <c r="K147" s="391"/>
      <c r="L147" s="392"/>
      <c r="M147" s="65"/>
      <c r="N147" s="33"/>
      <c r="O147" s="33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112"/>
    </row>
    <row r="148" spans="1:57" s="34" customFormat="1" ht="79.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65"/>
      <c r="N148" s="33"/>
      <c r="O148" s="33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112"/>
    </row>
    <row r="149" spans="1:57" s="34" customFormat="1" ht="40.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65"/>
      <c r="N149" s="33"/>
      <c r="O149" s="33"/>
      <c r="P149" s="33"/>
      <c r="Q149" s="33"/>
      <c r="R149" s="33"/>
      <c r="S149" s="33"/>
      <c r="T149" s="33"/>
      <c r="U149" s="33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112"/>
    </row>
    <row r="150" spans="1:57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57" ht="16.5" thickBot="1">
      <c r="A151" s="2"/>
      <c r="B151" s="396">
        <f ca="1">IF(A151=0,TODAY(),A151)</f>
        <v>45294</v>
      </c>
      <c r="C151" s="396"/>
      <c r="D151" s="398"/>
      <c r="E151" s="398"/>
      <c r="F151" s="398"/>
      <c r="G151" s="385" t="str">
        <f>D7</f>
        <v>Иванов И.И.</v>
      </c>
      <c r="H151" s="385"/>
      <c r="I151" s="124"/>
      <c r="J151" s="124"/>
      <c r="K151" s="124"/>
      <c r="L151" s="124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B142:L142"/>
    <mergeCell ref="B151:C151"/>
    <mergeCell ref="D151:F151"/>
    <mergeCell ref="G151:H151"/>
    <mergeCell ref="I146:L146"/>
    <mergeCell ref="B149:L149"/>
    <mergeCell ref="B143:H143"/>
    <mergeCell ref="B144:H144"/>
    <mergeCell ref="B146:H146"/>
    <mergeCell ref="I143:L143"/>
    <mergeCell ref="B128:L128"/>
    <mergeCell ref="B129:L129"/>
    <mergeCell ref="B132:L132"/>
    <mergeCell ref="B127:L127"/>
    <mergeCell ref="B124:L124"/>
    <mergeCell ref="B102:L102"/>
    <mergeCell ref="B104:L104"/>
    <mergeCell ref="B105:L105"/>
    <mergeCell ref="B106:L106"/>
    <mergeCell ref="B130:L130"/>
    <mergeCell ref="B120:L120"/>
    <mergeCell ref="H158:R158"/>
    <mergeCell ref="B150:L150"/>
    <mergeCell ref="B148:L148"/>
    <mergeCell ref="I147:L147"/>
    <mergeCell ref="B147:H147"/>
    <mergeCell ref="I145:L145"/>
    <mergeCell ref="B145:H145"/>
    <mergeCell ref="I144:L144"/>
    <mergeCell ref="B118:L118"/>
    <mergeCell ref="B119:L119"/>
    <mergeCell ref="B139:H139"/>
    <mergeCell ref="I139:L139"/>
    <mergeCell ref="B138:H138"/>
    <mergeCell ref="B126:L126"/>
    <mergeCell ref="B140:L140"/>
    <mergeCell ref="B141:L141"/>
    <mergeCell ref="I137:L137"/>
    <mergeCell ref="I138:L138"/>
    <mergeCell ref="B137:H137"/>
    <mergeCell ref="B135:L135"/>
    <mergeCell ref="I136:L136"/>
    <mergeCell ref="B133:L133"/>
    <mergeCell ref="B134:L134"/>
    <mergeCell ref="B123:L123"/>
    <mergeCell ref="N94:O94"/>
    <mergeCell ref="B98:L98"/>
    <mergeCell ref="B95:J95"/>
    <mergeCell ref="B97:L97"/>
    <mergeCell ref="B92:L92"/>
    <mergeCell ref="B136:H136"/>
    <mergeCell ref="P94:Q94"/>
    <mergeCell ref="B96:H96"/>
    <mergeCell ref="B131:L131"/>
    <mergeCell ref="B125:L125"/>
    <mergeCell ref="B113:L113"/>
    <mergeCell ref="B114:L114"/>
    <mergeCell ref="B110:L110"/>
    <mergeCell ref="B111:L111"/>
    <mergeCell ref="B100:L100"/>
    <mergeCell ref="B107:L107"/>
    <mergeCell ref="B112:L112"/>
    <mergeCell ref="B108:L108"/>
    <mergeCell ref="B115:L115"/>
    <mergeCell ref="B117:L117"/>
    <mergeCell ref="B116:L116"/>
    <mergeCell ref="B109:L109"/>
    <mergeCell ref="B121:L121"/>
    <mergeCell ref="B122:L122"/>
    <mergeCell ref="B101:L101"/>
    <mergeCell ref="B103:L103"/>
    <mergeCell ref="B79:C79"/>
    <mergeCell ref="D79:E79"/>
    <mergeCell ref="B99:L99"/>
    <mergeCell ref="B83:C83"/>
    <mergeCell ref="B80:C80"/>
    <mergeCell ref="D80:E80"/>
    <mergeCell ref="D83:E83"/>
    <mergeCell ref="B93:L93"/>
    <mergeCell ref="D81:E81"/>
    <mergeCell ref="B86:C86"/>
    <mergeCell ref="D86:E86"/>
    <mergeCell ref="B84:C84"/>
    <mergeCell ref="D84:E84"/>
    <mergeCell ref="B85:C85"/>
    <mergeCell ref="B81:C81"/>
    <mergeCell ref="D85:E85"/>
    <mergeCell ref="B82:C82"/>
    <mergeCell ref="D82:E82"/>
    <mergeCell ref="B87:L87"/>
    <mergeCell ref="B89:H89"/>
    <mergeCell ref="B78:C78"/>
    <mergeCell ref="D78:E78"/>
    <mergeCell ref="B73:C73"/>
    <mergeCell ref="B77:C77"/>
    <mergeCell ref="D77:E77"/>
    <mergeCell ref="B74:C74"/>
    <mergeCell ref="D74:E74"/>
    <mergeCell ref="B75:C75"/>
    <mergeCell ref="B76:C76"/>
    <mergeCell ref="D76:E76"/>
    <mergeCell ref="D75:E75"/>
    <mergeCell ref="B72:C72"/>
    <mergeCell ref="D72:E72"/>
    <mergeCell ref="D73:E73"/>
    <mergeCell ref="D66:E66"/>
    <mergeCell ref="B66:C66"/>
    <mergeCell ref="B67:C67"/>
    <mergeCell ref="D67:E67"/>
    <mergeCell ref="B69:C69"/>
    <mergeCell ref="D71:E71"/>
    <mergeCell ref="B71:C71"/>
    <mergeCell ref="B70:C70"/>
    <mergeCell ref="D69:E69"/>
    <mergeCell ref="D70:E70"/>
    <mergeCell ref="B68:C68"/>
    <mergeCell ref="D62:E62"/>
    <mergeCell ref="B63:C63"/>
    <mergeCell ref="D68:E68"/>
    <mergeCell ref="D60:E60"/>
    <mergeCell ref="B61:C61"/>
    <mergeCell ref="D61:E61"/>
    <mergeCell ref="D64:E64"/>
    <mergeCell ref="B62:C62"/>
    <mergeCell ref="B60:C60"/>
    <mergeCell ref="B64:C64"/>
    <mergeCell ref="D63:E63"/>
    <mergeCell ref="B65:C65"/>
    <mergeCell ref="D65:E65"/>
    <mergeCell ref="B59:C59"/>
    <mergeCell ref="D59:E59"/>
    <mergeCell ref="B56:C56"/>
    <mergeCell ref="D56:E56"/>
    <mergeCell ref="B57:C57"/>
    <mergeCell ref="D57:E57"/>
    <mergeCell ref="B52:C52"/>
    <mergeCell ref="D52:E52"/>
    <mergeCell ref="B58:C58"/>
    <mergeCell ref="D58:E58"/>
    <mergeCell ref="B53:C53"/>
    <mergeCell ref="D53:E53"/>
    <mergeCell ref="B54:C54"/>
    <mergeCell ref="D54:E54"/>
    <mergeCell ref="B55:C55"/>
    <mergeCell ref="D55:E55"/>
    <mergeCell ref="B50:C50"/>
    <mergeCell ref="D50:E50"/>
    <mergeCell ref="D47:E47"/>
    <mergeCell ref="B49:C49"/>
    <mergeCell ref="D49:E49"/>
    <mergeCell ref="B48:C48"/>
    <mergeCell ref="D48:E48"/>
    <mergeCell ref="B47:C47"/>
    <mergeCell ref="B51:C51"/>
    <mergeCell ref="D51:E51"/>
    <mergeCell ref="B41:C41"/>
    <mergeCell ref="D41:E41"/>
    <mergeCell ref="B46:C46"/>
    <mergeCell ref="D46:E46"/>
    <mergeCell ref="B45:C45"/>
    <mergeCell ref="D45:E45"/>
    <mergeCell ref="B42:C42"/>
    <mergeCell ref="D42:E42"/>
    <mergeCell ref="B43:C43"/>
    <mergeCell ref="D43:E43"/>
    <mergeCell ref="B44:C44"/>
    <mergeCell ref="D44:E44"/>
    <mergeCell ref="B40:C40"/>
    <mergeCell ref="D40:E40"/>
    <mergeCell ref="D36:E36"/>
    <mergeCell ref="B37:C37"/>
    <mergeCell ref="B36:C36"/>
    <mergeCell ref="D37:E37"/>
    <mergeCell ref="B38:C38"/>
    <mergeCell ref="B39:C39"/>
    <mergeCell ref="D39:E39"/>
    <mergeCell ref="D31:E31"/>
    <mergeCell ref="B32:C32"/>
    <mergeCell ref="D38:E38"/>
    <mergeCell ref="B35:C35"/>
    <mergeCell ref="D35:E35"/>
    <mergeCell ref="B28:C28"/>
    <mergeCell ref="D28:E28"/>
    <mergeCell ref="D29:E29"/>
    <mergeCell ref="B31:C31"/>
    <mergeCell ref="B29:C29"/>
    <mergeCell ref="B33:C33"/>
    <mergeCell ref="D33:E33"/>
    <mergeCell ref="B34:C34"/>
    <mergeCell ref="D32:E32"/>
    <mergeCell ref="D34:E34"/>
    <mergeCell ref="B25:C25"/>
    <mergeCell ref="D25:E25"/>
    <mergeCell ref="B26:C26"/>
    <mergeCell ref="D26:E26"/>
    <mergeCell ref="B27:C27"/>
    <mergeCell ref="D27:E27"/>
    <mergeCell ref="B17:C17"/>
    <mergeCell ref="B30:C30"/>
    <mergeCell ref="D30:E30"/>
    <mergeCell ref="D24:E24"/>
    <mergeCell ref="B12:C12"/>
    <mergeCell ref="B10:C10"/>
    <mergeCell ref="D10:E10"/>
    <mergeCell ref="B11:C11"/>
    <mergeCell ref="D11:E11"/>
    <mergeCell ref="N1:Q1"/>
    <mergeCell ref="B7:C7"/>
    <mergeCell ref="D7:F7"/>
    <mergeCell ref="B5:I5"/>
    <mergeCell ref="F1:H4"/>
    <mergeCell ref="M11:P11"/>
    <mergeCell ref="B8:C8"/>
    <mergeCell ref="D8:F8"/>
    <mergeCell ref="M12:P12"/>
    <mergeCell ref="I23:L23"/>
    <mergeCell ref="D22:E22"/>
    <mergeCell ref="D19:F19"/>
    <mergeCell ref="D23:H23"/>
    <mergeCell ref="D18:F18"/>
    <mergeCell ref="D16:E16"/>
    <mergeCell ref="D20:F20"/>
    <mergeCell ref="D21:F21"/>
    <mergeCell ref="D12:E12"/>
    <mergeCell ref="D14:E14"/>
    <mergeCell ref="B13:C13"/>
    <mergeCell ref="B23:C24"/>
    <mergeCell ref="B15:C15"/>
    <mergeCell ref="B16:C16"/>
    <mergeCell ref="B14:C14"/>
    <mergeCell ref="B18:C18"/>
    <mergeCell ref="D15:E15"/>
    <mergeCell ref="D13:F13"/>
    <mergeCell ref="D17:F17"/>
  </mergeCells>
  <phoneticPr fontId="22" type="noConversion"/>
  <conditionalFormatting sqref="B26:C85 D48:F85 H48:H85">
    <cfRule type="expression" dxfId="586" priority="1" stopIfTrue="1">
      <formula>$N26</formula>
    </cfRule>
  </conditionalFormatting>
  <conditionalFormatting sqref="B18:F18">
    <cfRule type="expression" dxfId="585" priority="26" stopIfTrue="1">
      <formula>$M$8</formula>
    </cfRule>
  </conditionalFormatting>
  <conditionalFormatting sqref="B25:H25">
    <cfRule type="expression" dxfId="584" priority="7" stopIfTrue="1">
      <formula>$N$25</formula>
    </cfRule>
  </conditionalFormatting>
  <conditionalFormatting sqref="B96:I120">
    <cfRule type="expression" dxfId="583" priority="5" stopIfTrue="1">
      <formula>A96</formula>
    </cfRule>
  </conditionalFormatting>
  <conditionalFormatting sqref="D12">
    <cfRule type="expression" dxfId="582" priority="33" stopIfTrue="1">
      <formula>$A$24</formula>
    </cfRule>
  </conditionalFormatting>
  <conditionalFormatting sqref="D15:E15">
    <cfRule type="cellIs" dxfId="581" priority="38" stopIfTrue="1" operator="greaterThan">
      <formula>$D$14</formula>
    </cfRule>
  </conditionalFormatting>
  <conditionalFormatting sqref="D45:F45 H45">
    <cfRule type="expression" dxfId="580" priority="30" stopIfTrue="1">
      <formula>$N$45</formula>
    </cfRule>
  </conditionalFormatting>
  <conditionalFormatting sqref="D46:F46 H46">
    <cfRule type="expression" dxfId="579" priority="31" stopIfTrue="1">
      <formula>$N$46</formula>
    </cfRule>
  </conditionalFormatting>
  <conditionalFormatting sqref="D47:F47 H47">
    <cfRule type="expression" dxfId="578" priority="32" stopIfTrue="1">
      <formula>$N$47</formula>
    </cfRule>
  </conditionalFormatting>
  <conditionalFormatting sqref="D26:H26">
    <cfRule type="expression" dxfId="577" priority="8" stopIfTrue="1">
      <formula>$N$26</formula>
    </cfRule>
  </conditionalFormatting>
  <conditionalFormatting sqref="D27:H27">
    <cfRule type="expression" dxfId="576" priority="9" stopIfTrue="1">
      <formula>$N$27</formula>
    </cfRule>
  </conditionalFormatting>
  <conditionalFormatting sqref="D28:H28">
    <cfRule type="expression" dxfId="575" priority="10" stopIfTrue="1">
      <formula>$N$28</formula>
    </cfRule>
  </conditionalFormatting>
  <conditionalFormatting sqref="D29:H29">
    <cfRule type="expression" dxfId="574" priority="11" stopIfTrue="1">
      <formula>$N$29</formula>
    </cfRule>
  </conditionalFormatting>
  <conditionalFormatting sqref="D30:H30">
    <cfRule type="expression" dxfId="573" priority="12" stopIfTrue="1">
      <formula>$N$30</formula>
    </cfRule>
  </conditionalFormatting>
  <conditionalFormatting sqref="D31:H31">
    <cfRule type="expression" dxfId="572" priority="13" stopIfTrue="1">
      <formula>$N$31</formula>
    </cfRule>
  </conditionalFormatting>
  <conditionalFormatting sqref="D32:H32">
    <cfRule type="expression" dxfId="571" priority="14" stopIfTrue="1">
      <formula>$N$32</formula>
    </cfRule>
  </conditionalFormatting>
  <conditionalFormatting sqref="D33:H33">
    <cfRule type="expression" dxfId="570" priority="15" stopIfTrue="1">
      <formula>$N$33</formula>
    </cfRule>
  </conditionalFormatting>
  <conditionalFormatting sqref="D34:H34">
    <cfRule type="expression" dxfId="569" priority="16" stopIfTrue="1">
      <formula>$N$34</formula>
    </cfRule>
  </conditionalFormatting>
  <conditionalFormatting sqref="D35:H35">
    <cfRule type="expression" dxfId="568" priority="17" stopIfTrue="1">
      <formula>$N$35</formula>
    </cfRule>
  </conditionalFormatting>
  <conditionalFormatting sqref="D36:H36">
    <cfRule type="expression" dxfId="567" priority="18" stopIfTrue="1">
      <formula>$N$36</formula>
    </cfRule>
  </conditionalFormatting>
  <conditionalFormatting sqref="D37:H37">
    <cfRule type="expression" dxfId="566" priority="19" stopIfTrue="1">
      <formula>$N$37</formula>
    </cfRule>
  </conditionalFormatting>
  <conditionalFormatting sqref="D38:H38">
    <cfRule type="expression" dxfId="565" priority="20" stopIfTrue="1">
      <formula>$N$38</formula>
    </cfRule>
  </conditionalFormatting>
  <conditionalFormatting sqref="D39:H39">
    <cfRule type="expression" dxfId="564" priority="21" stopIfTrue="1">
      <formula>$N$39</formula>
    </cfRule>
  </conditionalFormatting>
  <conditionalFormatting sqref="D40:H40">
    <cfRule type="expression" dxfId="563" priority="22" stopIfTrue="1">
      <formula>$N$40</formula>
    </cfRule>
  </conditionalFormatting>
  <conditionalFormatting sqref="D41:H41">
    <cfRule type="expression" dxfId="562" priority="23" stopIfTrue="1">
      <formula>$N$41</formula>
    </cfRule>
  </conditionalFormatting>
  <conditionalFormatting sqref="D42:H42">
    <cfRule type="expression" dxfId="561" priority="24" stopIfTrue="1">
      <formula>$N$42</formula>
    </cfRule>
  </conditionalFormatting>
  <conditionalFormatting sqref="D43:H43">
    <cfRule type="expression" dxfId="560" priority="28" stopIfTrue="1">
      <formula>$N$43</formula>
    </cfRule>
  </conditionalFormatting>
  <conditionalFormatting sqref="D44:H44 G45:G85">
    <cfRule type="expression" dxfId="559" priority="29" stopIfTrue="1">
      <formula>$N$44</formula>
    </cfRule>
  </conditionalFormatting>
  <conditionalFormatting sqref="F10 D11:E11">
    <cfRule type="expression" dxfId="558" priority="25" stopIfTrue="1">
      <formula>$M$5</formula>
    </cfRule>
  </conditionalFormatting>
  <conditionalFormatting sqref="G10:L10">
    <cfRule type="expression" dxfId="557" priority="27" stopIfTrue="1">
      <formula>$A$1</formula>
    </cfRule>
  </conditionalFormatting>
  <conditionalFormatting sqref="I24:K24">
    <cfRule type="expression" dxfId="556" priority="36" stopIfTrue="1">
      <formula>$D$15</formula>
    </cfRule>
  </conditionalFormatting>
  <conditionalFormatting sqref="I23:L23 L24">
    <cfRule type="expression" dxfId="555" priority="37" stopIfTrue="1">
      <formula>$D$15</formula>
    </cfRule>
  </conditionalFormatting>
  <conditionalFormatting sqref="I25:L85">
    <cfRule type="expression" dxfId="554" priority="2" stopIfTrue="1">
      <formula>$AZ25</formula>
    </cfRule>
  </conditionalFormatting>
  <conditionalFormatting sqref="J96:J120">
    <cfRule type="expression" dxfId="553" priority="6" stopIfTrue="1">
      <formula>H96</formula>
    </cfRule>
  </conditionalFormatting>
  <conditionalFormatting sqref="K96:K120">
    <cfRule type="expression" dxfId="552" priority="4" stopIfTrue="1">
      <formula>H96</formula>
    </cfRule>
  </conditionalFormatting>
  <conditionalFormatting sqref="L96:L120">
    <cfRule type="expression" dxfId="551" priority="3" stopIfTrue="1">
      <formula>H96</formula>
    </cfRule>
  </conditionalFormatting>
  <dataValidations count="2">
    <dataValidation type="list" allowBlank="1" showInputMessage="1" showErrorMessage="1" sqref="D14:E14" xr:uid="{00000000-0002-0000-0500-000000000000}">
      <formula1>$AD$10:$AD$16</formula1>
    </dataValidation>
    <dataValidation type="list" allowBlank="1" showInputMessage="1" showErrorMessage="1" sqref="D15:E15" xr:uid="{00000000-0002-0000-0500-000001000000}">
      <formula1>$AE$9:$AE$13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L176"/>
  <sheetViews>
    <sheetView zoomScale="90" zoomScaleNormal="100" workbookViewId="0">
      <selection activeCell="D14" sqref="D14:E14"/>
    </sheetView>
  </sheetViews>
  <sheetFormatPr defaultRowHeight="12.75"/>
  <cols>
    <col min="1" max="1" width="26.42578125" style="21" customWidth="1"/>
    <col min="2" max="2" width="19.28515625" style="21" customWidth="1"/>
    <col min="3" max="3" width="3.7109375" style="21" customWidth="1"/>
    <col min="4" max="5" width="8.28515625" style="21" customWidth="1"/>
    <col min="6" max="6" width="18.140625" style="21" customWidth="1"/>
    <col min="7" max="7" width="16.5703125" style="21" hidden="1" customWidth="1"/>
    <col min="8" max="8" width="20.5703125" style="21" customWidth="1"/>
    <col min="9" max="9" width="16.5703125" style="21" customWidth="1"/>
    <col min="10" max="10" width="17.42578125" style="21" customWidth="1"/>
    <col min="11" max="11" width="16.5703125" style="21" hidden="1" customWidth="1"/>
    <col min="12" max="12" width="21.85546875" style="21" customWidth="1"/>
    <col min="13" max="39" width="20.7109375" style="4" customWidth="1"/>
    <col min="40" max="40" width="3.28515625" style="4" bestFit="1" customWidth="1"/>
    <col min="41" max="42" width="5.5703125" style="4" bestFit="1" customWidth="1"/>
    <col min="43" max="43" width="2.140625" style="4" bestFit="1" customWidth="1"/>
    <col min="44" max="46" width="3.28515625" style="4" bestFit="1" customWidth="1"/>
    <col min="47" max="47" width="0" style="4" hidden="1" customWidth="1"/>
    <col min="48" max="48" width="16.140625" style="4" customWidth="1"/>
    <col min="49" max="49" width="15.7109375" style="4" customWidth="1"/>
    <col min="50" max="52" width="2.140625" style="4" bestFit="1" customWidth="1"/>
    <col min="53" max="56" width="9.140625" style="4"/>
    <col min="57" max="57" width="9.140625" style="10"/>
    <col min="58" max="59" width="9.140625" style="19"/>
    <col min="60" max="142" width="9.140625" style="20"/>
    <col min="143" max="16384" width="9.140625" style="21"/>
  </cols>
  <sheetData>
    <row r="1" spans="1:31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31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31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31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31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78"/>
      <c r="K5" s="78"/>
      <c r="L5" s="78"/>
      <c r="M5" s="4">
        <f>IF(M1=0,1,0)</f>
        <v>0</v>
      </c>
    </row>
    <row r="6" spans="1:31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31" ht="15" customHeight="1">
      <c r="A7" s="7"/>
      <c r="B7" s="424" t="s">
        <v>2</v>
      </c>
      <c r="C7" s="425"/>
      <c r="D7" s="339" t="s">
        <v>3</v>
      </c>
      <c r="E7" s="339"/>
      <c r="F7" s="340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31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306">
        <v>123</v>
      </c>
      <c r="E8" s="307"/>
      <c r="F8" s="308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31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  <c r="AE9" s="4">
        <v>0</v>
      </c>
    </row>
    <row r="10" spans="1:31" ht="15" customHeight="1" thickBot="1">
      <c r="A10" s="7"/>
      <c r="B10" s="424" t="str">
        <f>IF(M1=1,"Сумма кредита:",IF(M1=2,"Лимит овердрафта:"," "))</f>
        <v>Лимит овердрафта:</v>
      </c>
      <c r="C10" s="431"/>
      <c r="D10" s="449">
        <v>13000000</v>
      </c>
      <c r="E10" s="450"/>
      <c r="F10" s="11" t="s">
        <v>189</v>
      </c>
      <c r="G10" s="12" t="s">
        <v>7</v>
      </c>
      <c r="H10" s="13">
        <f ca="1">F22+G22+A92+D10</f>
        <v>14804820</v>
      </c>
      <c r="I10" s="40"/>
      <c r="J10" s="40"/>
      <c r="K10" s="40"/>
      <c r="L10" s="40"/>
      <c r="AD10" s="4">
        <v>6</v>
      </c>
      <c r="AE10" s="4">
        <v>1</v>
      </c>
    </row>
    <row r="11" spans="1:31" ht="14.25">
      <c r="A11" s="7"/>
      <c r="B11" s="408" t="s">
        <v>8</v>
      </c>
      <c r="C11" s="409"/>
      <c r="D11" s="413">
        <v>42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">
        <f ca="1">IF(DAY(D16)=31,31,30)</f>
        <v>30</v>
      </c>
      <c r="AD11" s="4">
        <v>12</v>
      </c>
      <c r="AE11" s="4">
        <v>3</v>
      </c>
    </row>
    <row r="12" spans="1:31" ht="14.25" hidden="1">
      <c r="A12" s="7"/>
      <c r="B12" s="309" t="s">
        <v>10</v>
      </c>
      <c r="C12" s="310"/>
      <c r="D12" s="315">
        <v>0</v>
      </c>
      <c r="E12" s="316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2</v>
      </c>
      <c r="AD12" s="4">
        <v>18</v>
      </c>
      <c r="AE12" s="4">
        <v>6</v>
      </c>
    </row>
    <row r="13" spans="1:31" ht="28.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AD13" s="4">
        <v>24</v>
      </c>
      <c r="AE13" s="4">
        <v>12</v>
      </c>
    </row>
    <row r="14" spans="1:31" ht="15" customHeight="1">
      <c r="A14" s="17">
        <f ca="1">IF(DAY(D16)&lt;=21,D14,D14+1)</f>
        <v>6</v>
      </c>
      <c r="B14" s="408" t="s">
        <v>13</v>
      </c>
      <c r="C14" s="409"/>
      <c r="D14" s="413">
        <v>6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6</v>
      </c>
      <c r="AD14" s="4">
        <v>36</v>
      </c>
    </row>
    <row r="15" spans="1:31" ht="15" customHeight="1">
      <c r="A15" s="82"/>
      <c r="B15" s="309" t="s">
        <v>139</v>
      </c>
      <c r="C15" s="310"/>
      <c r="D15" s="355">
        <v>1</v>
      </c>
      <c r="E15" s="356"/>
      <c r="F15" s="14" t="str">
        <f>IF(D15&gt;4,"месяцев",IF(D15&gt;1,"месяца",IF(D15=1,"месяц","месяцев")))</f>
        <v>месяц</v>
      </c>
      <c r="G15" s="4"/>
      <c r="H15" s="4"/>
      <c r="I15" s="4"/>
      <c r="J15" s="4"/>
      <c r="K15" s="4"/>
      <c r="L15" s="4"/>
      <c r="AD15" s="4">
        <v>48</v>
      </c>
    </row>
    <row r="16" spans="1:31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5</v>
      </c>
      <c r="AD16" s="4">
        <v>60</v>
      </c>
    </row>
    <row r="17" spans="1:142" ht="13.5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</row>
    <row r="18" spans="1:142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2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2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2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2" hidden="1">
      <c r="A22" s="4"/>
      <c r="B22" s="4"/>
      <c r="C22" s="4"/>
      <c r="D22" s="404">
        <f ca="1">SUM(D25:E85)</f>
        <v>26000000</v>
      </c>
      <c r="E22" s="272"/>
      <c r="F22" s="22">
        <f ca="1">SUM(F25:F86)/2</f>
        <v>1804820</v>
      </c>
      <c r="G22" s="22">
        <v>0</v>
      </c>
      <c r="H22" s="22">
        <f ca="1">SUM(H25:H72)</f>
        <v>29609640</v>
      </c>
      <c r="I22" s="22"/>
      <c r="J22" s="22"/>
      <c r="K22" s="22"/>
      <c r="L22" s="22"/>
    </row>
    <row r="23" spans="1:142" ht="17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2" ht="44.25" customHeight="1">
      <c r="A24" s="4">
        <f ca="1">IF(ABS(A14-D14)&gt;(D15),1,0)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186</v>
      </c>
      <c r="AD24" s="76" t="s">
        <v>28</v>
      </c>
      <c r="AE24" s="76" t="s">
        <v>29</v>
      </c>
      <c r="AF24" s="76" t="s">
        <v>143</v>
      </c>
      <c r="AG24" s="76" t="s">
        <v>143</v>
      </c>
      <c r="AH24" s="76"/>
      <c r="AI24" s="76"/>
      <c r="AJ24" s="76" t="s">
        <v>30</v>
      </c>
      <c r="AK24" s="76" t="s">
        <v>31</v>
      </c>
      <c r="AL24" s="76" t="s">
        <v>32</v>
      </c>
    </row>
    <row r="25" spans="1:142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рублей",IF(AX25&lt;=5,ROUND(AV25,0)-AX25,ROUND(AV25,0)+AY25)," ")))</f>
        <v>2166670</v>
      </c>
      <c r="E25" s="443"/>
      <c r="F25" s="84">
        <f ca="1">IF(M1=1,P25,IF(M1=2,Q25," "))</f>
        <v>409500</v>
      </c>
      <c r="G25" s="84">
        <v>0</v>
      </c>
      <c r="H25" s="84">
        <f ca="1">SUM(D25:G25)+A87</f>
        <v>2576170</v>
      </c>
      <c r="I25" s="84">
        <f ca="1">T25</f>
        <v>2166670</v>
      </c>
      <c r="J25" s="84">
        <f t="shared" ref="J25:J56" ca="1" si="0">AA25</f>
        <v>409500</v>
      </c>
      <c r="K25" s="84">
        <v>0</v>
      </c>
      <c r="L25" s="84">
        <f ca="1">SUM(I25:K25)+A87</f>
        <v>2576170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IF(D$14+1=A$14,IF(M25=A$14,IF(DATE(YEAR(0),MONTH(0),DAY(D$16)-1)&gt;AS25,DATE(YEAR(0),MONTH(0),DAY(D$16)-1),AS25),AS25),IF(M25=A$14,IF(DATE(YEAR(0),MONTH(0),DAY(D$16)-1)&lt;AS25,DATE(YEAR(0),MONTH(0),DAY(D$16)-1),AS25),AS25))</f>
        <v>20</v>
      </c>
      <c r="P25" s="22">
        <f t="shared" ref="P25:P56" ca="1" si="2">IF(U25&lt;&gt;0,IF(VALUE(RIGHT(ROUND(U25,0)))&lt;=5,ROUND(U25,0)-VALUE(RIGHT(ROUND(U25,0))),ROUND(U25,0)+10-VALUE(RIGHT(ROUND(U25,0)))),0)</f>
        <v>409500</v>
      </c>
      <c r="Q25" s="22">
        <f t="shared" ref="Q25:Q56" ca="1" si="3">IF(V25&lt;&gt;0,IF(VALUE(RIGHT(ROUND(V25,0)))&lt;=5,ROUND(V25,0)-VALUE(RIGHT(ROUND(V25,0))),ROUND(V25,0)+10-VALUE(RIGHT(ROUND(V25,0)))),0)</f>
        <v>409500</v>
      </c>
      <c r="R25" s="22">
        <f>D10</f>
        <v>13000000</v>
      </c>
      <c r="S25" s="22">
        <f ca="1">IF(N25=0,0,IF(F10="USD",ROUND(D10/M14,2),IF(F10="бел. рублей",IF(AX25&lt;=5,ROUND(AV25,0)-AX25,ROUND(AV25,0)+AY25)," ")))</f>
        <v>2166670</v>
      </c>
      <c r="T25" s="22">
        <f ca="1">IF(N25=0,0,IF(F10="USD",ROUND(D10/M14,2),IF(F10="бел. рублей",IF(AX25&lt;=5,ROUND(AV25,0)-AX25,ROUND(AV25,0)+AY25)," ")))</f>
        <v>2166670</v>
      </c>
      <c r="U25" s="22">
        <f ca="1">R25*Q11*D11/36000</f>
        <v>409500</v>
      </c>
      <c r="V25" s="22">
        <f ca="1">R25*Q11*D11/36000</f>
        <v>409500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409500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409500</v>
      </c>
      <c r="Y25" s="22">
        <f t="shared" ref="Y25:Y56" si="4">IF(M25&lt;=(D$15+1),D$10,Y24-I24)</f>
        <v>13000000</v>
      </c>
      <c r="Z25" s="22">
        <f ca="1">Y25*Q11*D11/36000</f>
        <v>409500</v>
      </c>
      <c r="AA25" s="22">
        <f t="shared" ref="AA25:AA56" ca="1" si="5">IF(Z25&lt;&gt;0,IF(VALUE(RIGHT(ROUND(Z25,0)))&lt;=5,ROUND(Z25,0)-VALUE(RIGHT(ROUND(Z25,0))),ROUND(Z25,0)+10-VALUE(RIGHT(ROUND(Z25,0)))),0)</f>
        <v>409500</v>
      </c>
      <c r="AB25" s="22">
        <f ca="1">R25*Q11</f>
        <v>351000000</v>
      </c>
      <c r="AC25" s="22">
        <f ca="1">Y25*Q11</f>
        <v>351000000</v>
      </c>
      <c r="AD25" s="22">
        <f t="shared" ref="AD25:AD56" ca="1" si="6">IF(AK25&lt;&gt;0,IF(VALUE(RIGHT(ROUND(AK25,0)))&lt;=5,ROUND(AK25,0)-VALUE(RIGHT(ROUND(AK25,0))),ROUND(AK25,0)+10-VALUE(RIGHT(ROUND(AK25,0)))),0)</f>
        <v>0</v>
      </c>
      <c r="AE25" s="22">
        <f t="shared" ref="AE25:AE56" ca="1" si="7">IF(AL25&lt;&gt;0,IF(VALUE(RIGHT(ROUND(AL25,0)))&lt;=5,ROUND(AL25,0)-VALUE(RIGHT(ROUND(AL25,0))),ROUND(AL25,0)+10-VALUE(RIGHT(ROUND(AL25,0)))),0)</f>
        <v>0</v>
      </c>
      <c r="AF25" s="22">
        <f ca="1">AJ25*Q11*G12/36000</f>
        <v>0</v>
      </c>
      <c r="AG25" s="22">
        <f t="shared" ref="AG25:AG56" ca="1" si="8">IF(AF25&lt;&gt;0,IF(VALUE(RIGHT(ROUND(AF25,0)))&lt;=5,ROUND(AF25,0)-VALUE(RIGHT(ROUND(AF25,0))),ROUND(AF25,0)+10-VALUE(RIGHT(ROUND(AF25,0)))),0)</f>
        <v>0</v>
      </c>
      <c r="AH25" s="22">
        <f ca="1">Y25*Q11*G12/36000</f>
        <v>0</v>
      </c>
      <c r="AI25" s="22">
        <f t="shared" ref="AI25:AI56" ca="1" si="9">IF(AH25&lt;&gt;0,IF(VALUE(RIGHT(ROUND(AH25,0)))&lt;=5,ROUND(AH25,0)-VALUE(RIGHT(ROUND(AH25,0))),ROUND(AH25,0)+10-VALUE(RIGHT(ROUND(AH25,0)))),0)</f>
        <v>0</v>
      </c>
      <c r="AJ25" s="22">
        <f t="shared" ref="AJ25:AJ56" si="10">R25</f>
        <v>13000000</v>
      </c>
      <c r="AK25" s="22">
        <f ca="1">AJ25*Q11*G12/36000</f>
        <v>0</v>
      </c>
      <c r="AL25" s="22">
        <f ca="1">AJ25*Q11*G12/36000</f>
        <v>0</v>
      </c>
      <c r="AM25" s="69">
        <f ca="1">IF(N25=0,0,MONTH(D16)+1)</f>
        <v>2</v>
      </c>
      <c r="AN25" s="69">
        <f t="shared" ref="AN25:AN56" ca="1" si="11">IF(AM25=13,1,AM25)</f>
        <v>2</v>
      </c>
      <c r="AO25" s="4">
        <f ca="1">IF(N25=0,0,YEAR(D16))</f>
        <v>2024</v>
      </c>
      <c r="AP25" s="4">
        <f t="shared" ref="AP25:AP56" ca="1" si="12">IF(AN25=1,AO25+1,AO25)</f>
        <v>2024</v>
      </c>
      <c r="AQ25" s="4">
        <f t="shared" ref="AQ25:AQ56" ca="1" si="13">IF((AO25/2012)=1,1,IF((AO25/2016)=1,1,IF((AO25/2020)=1,1,IF((AO25/2024)=1,1,IF((AO25/2028)=1,1,IF((AO25/2032)=1,1,0))))))</f>
        <v>1</v>
      </c>
      <c r="AR25" s="4">
        <f t="shared" ref="AR25:AR56" ca="1" si="14">IF(AN25=2,IF(AQ25=1,29,28),30)</f>
        <v>29</v>
      </c>
      <c r="AS25" s="4">
        <f t="shared" ref="AS25:AS56" si="15">IF(C$24=30,AR25,20)</f>
        <v>20</v>
      </c>
      <c r="AT25" s="4"/>
      <c r="AU25" s="4"/>
      <c r="AV25" s="4">
        <f ca="1">IF(N25=0,0,IF(F10="USD",ROUND(D10/M14,2),IF(F10="бел. рублей",ROUND(D10/M14,0)," ")))</f>
        <v>2166667</v>
      </c>
      <c r="AW25" s="69" t="str">
        <f ca="1">RIGHT(AV25)</f>
        <v>7</v>
      </c>
      <c r="AX25" s="4">
        <f ca="1">VALUE(AW25)</f>
        <v>7</v>
      </c>
      <c r="AY25" s="4">
        <f ca="1">10-AX25</f>
        <v>3</v>
      </c>
      <c r="AZ25" s="4">
        <f t="shared" ref="AZ25:AZ56" ca="1" si="16">IF(D$15=0,0,IF(N25=1,1,0))</f>
        <v>1</v>
      </c>
      <c r="BA25" s="4"/>
      <c r="BB25" s="4"/>
      <c r="BC25" s="4"/>
      <c r="BD25" s="4"/>
      <c r="BE25" s="10"/>
      <c r="BF25" s="19"/>
      <c r="BG25" s="19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</row>
    <row r="26" spans="1:142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"),IF(A$14=D$14+1,IF(M26=A$14,IF(MONTH(B25)=2,IF(DAY(D$16)&gt;29,DATE(YEAR(B25),MONTH(B25),AT26),DATE(YEAR(B25),MONTH(B25),O26)),DATE(YEAR(B25),MONTH(B25),O26)),DATE(YEAR(B25),MONTH(B25)+1,O26)),DATE(YEAR(B25),MONTH(B25)+1,O26)))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2166670</v>
      </c>
      <c r="E26" s="443"/>
      <c r="F26" s="84">
        <f ca="1">IF(N26=0,IF(N25=1,F25," "),IF(M1=1,P26,IF(M1=2,Q26," ")))</f>
        <v>429720</v>
      </c>
      <c r="G26" s="84">
        <v>0</v>
      </c>
      <c r="H26" s="84">
        <f t="shared" ref="H26:H57" ca="1" si="19">IF(SUM(D26:G26)=0," ",SUM(D26:G26))</f>
        <v>2596390</v>
      </c>
      <c r="I26" s="84">
        <f t="shared" ref="I26:I57" ca="1" si="20">IF(N26=1,IF(N27=1,IF(M26&lt;=D$15,T26,AW$26),D$10-AW$26*M$16+AW$26),0)</f>
        <v>2600000</v>
      </c>
      <c r="J26" s="84">
        <f t="shared" ca="1" si="0"/>
        <v>455000</v>
      </c>
      <c r="K26" s="84">
        <v>0</v>
      </c>
      <c r="L26" s="84">
        <f t="shared" ref="L26:L57" ca="1" si="21">IF(SUM(I26:K26)=0," ",SUM(I26:K26))</f>
        <v>3055000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429720</v>
      </c>
      <c r="Q26" s="22">
        <f t="shared" ca="1" si="3"/>
        <v>429720</v>
      </c>
      <c r="R26" s="22">
        <f t="shared" ref="R26:R57" ca="1" si="23">IF(N26=0,0,R25-D25)</f>
        <v>10833330</v>
      </c>
      <c r="S26" s="22">
        <f t="shared" ref="S26:S57" ca="1" si="24">IF(M26&lt;=D$15,D$10/(D$14-M25),D26)</f>
        <v>2166670</v>
      </c>
      <c r="T26" s="22">
        <f t="shared" ref="T26:T57" ca="1" si="25">IF(S26&lt;&gt;0,IF(VALUE(RIGHT(ROUND(S26,0)))&lt;=5,ROUND(S26,0)-VALUE(RIGHT(ROUND(S26,0))),ROUND(S26,0)+10-VALUE(RIGHT(ROUND(S26,0)))),0)</f>
        <v>2166670</v>
      </c>
      <c r="U26" s="22">
        <f ca="1">IF(N27=1,R25*D11*20/36000+R26*D11*10/36000,IF(N27=0,IF(N26=0,0,R26*D11*Q12/36000+R25*D11*20/36000+R26*D11*10/36000)))</f>
        <v>429722.18333333335</v>
      </c>
      <c r="V26" s="22">
        <f ca="1">IF(N27=1,R25*D11*20/36000+R26*D11*10/36000,IF(N27=0,IF(N26=0,0,R26*D11*Q12/36000+R25*D11*20/36000+R26*D11*10/36000)))</f>
        <v>429722.18333333335</v>
      </c>
      <c r="W26" s="22">
        <f t="shared" ref="W26:W57" ca="1" si="26">IF(N27=1,$D$10*$D$11*20/36000+$D$10*$D$11*10/36000,IF(N27=0,IF(N26=0,0,$D$10*$D$11*$Q$12/36000+$D$10*$D$11*20/36000+$D$10*$D$11*10/36000)))</f>
        <v>455000</v>
      </c>
      <c r="X26" s="22">
        <f t="shared" ref="X26:X57" ca="1" si="27">IF(W26&lt;&gt;0,IF(VALUE(RIGHT(ROUND(W26,0)))&lt;=5,ROUND(W26,0)-VALUE(RIGHT(ROUND(W26,0))),ROUND(W26,0)+10-VALUE(RIGHT(ROUND(W26,0)))),0)</f>
        <v>455000</v>
      </c>
      <c r="Y26" s="22">
        <f t="shared" si="4"/>
        <v>13000000</v>
      </c>
      <c r="Z26" s="22">
        <f ca="1">IF(N27=1,Y25*D$11*20/36000+Y26*D$11*10/36000,IF(N27=0,IF(N26=0,0,Y26*D$11*Q$12/36000+Y25*D$11*20/36000+Y26*D$11*10/36000)))</f>
        <v>455000</v>
      </c>
      <c r="AA26" s="22">
        <f t="shared" ca="1" si="5"/>
        <v>455000</v>
      </c>
      <c r="AB26" s="22">
        <f ca="1">IF(R27=0,R26*Q12,(R25*20+R26*10))</f>
        <v>368333300</v>
      </c>
      <c r="AC26" s="22">
        <f t="shared" ref="AC26:AC34" ca="1" si="28">IF(Y27=0,Y26*Q12,(Y25*20+Y26*10))</f>
        <v>390000000</v>
      </c>
      <c r="AD26" s="22">
        <f t="shared" ca="1" si="6"/>
        <v>0</v>
      </c>
      <c r="AE26" s="22">
        <f t="shared" ca="1" si="7"/>
        <v>0</v>
      </c>
      <c r="AF26" s="22">
        <f t="shared" ref="AF26:AF57" ca="1" si="29">IF(N27=1,D$10*G$12*20/36000+D$10*G$12*10/36000,IF(N27=0,IF(N26=0,0,D$10*G$12*Q$12/36000+D$10*G$12*20/36000+D$10*G$12*10/36000)))</f>
        <v>0</v>
      </c>
      <c r="AG26" s="22">
        <f t="shared" ca="1" si="8"/>
        <v>0</v>
      </c>
      <c r="AH26" s="22">
        <f t="shared" ref="AH26:AH57" ca="1" si="30">IF(N27=1,Y25*G$12*20/36000+Y26*G$12*10/36000,IF(N27=0,IF(N26=0,0,Y26*G$12*Q$12/36000+Y25*G$12*20/36000+Y26*G$12*10/36000)))</f>
        <v>0</v>
      </c>
      <c r="AI26" s="22">
        <f t="shared" ca="1" si="9"/>
        <v>0</v>
      </c>
      <c r="AJ26" s="22">
        <f t="shared" ca="1" si="10"/>
        <v>10833330</v>
      </c>
      <c r="AK26" s="22">
        <f ca="1">IF(N27=1,AJ25*G12*20/36000+AJ26*G12*10/36000,IF(N27=0,IF(N26=0,0,AJ26*G12*Q12/36000+AJ25*G12*20/36000+AJ26*G12*10/36000)))</f>
        <v>0</v>
      </c>
      <c r="AL26" s="22">
        <f ca="1">IF(N27=1,AJ25*G12*20/36000+AJ26*G12*10/36000,IF(N27=0,IF(N26=0,0,AJ26*G12*Q12/36000+AJ25*G12*20/36000+AJ26*G12*10/36000)))</f>
        <v>0</v>
      </c>
      <c r="AM26" s="69">
        <f t="shared" ref="AM26:AM57" ca="1" si="31">IF(N26=0,0,MONTH(B25)+1)</f>
        <v>3</v>
      </c>
      <c r="AN26" s="69">
        <f t="shared" ca="1" si="11"/>
        <v>3</v>
      </c>
      <c r="AO26" s="4">
        <f t="shared" ref="AO26:AO57" ca="1" si="32">IF(N26=0,0,YEAR(B25))</f>
        <v>2024</v>
      </c>
      <c r="AP26" s="4">
        <f t="shared" ca="1" si="12"/>
        <v>2024</v>
      </c>
      <c r="AQ26" s="4">
        <f t="shared" ca="1" si="13"/>
        <v>1</v>
      </c>
      <c r="AR26" s="4">
        <f t="shared" ca="1" si="14"/>
        <v>30</v>
      </c>
      <c r="AS26" s="4">
        <f t="shared" si="15"/>
        <v>20</v>
      </c>
      <c r="AT26" s="4">
        <f t="shared" ref="AT26:AT57" ca="1" si="33">AR25</f>
        <v>29</v>
      </c>
      <c r="AU26" s="4"/>
      <c r="AV26" s="4">
        <f ca="1">ROUNDUP(D$10/(A$14-D$15),0)</f>
        <v>2600000</v>
      </c>
      <c r="AW26" s="22">
        <f ca="1">IF(AV26&lt;&gt;0,IF(VALUE(RIGHT(ROUND(AV26,0)))&lt;=5,ROUND(AV26,0)-VALUE(RIGHT(ROUND(AV26,0))),ROUND(AV26,0)+10-VALUE(RIGHT(ROUND(AV26,0)))),0)</f>
        <v>2600000</v>
      </c>
      <c r="AX26" s="4"/>
      <c r="AY26" s="4"/>
      <c r="AZ26" s="4">
        <f t="shared" ca="1" si="16"/>
        <v>1</v>
      </c>
      <c r="BA26" s="4"/>
      <c r="BB26" s="4"/>
      <c r="BC26" s="4"/>
      <c r="BD26" s="4"/>
      <c r="BE26" s="10"/>
      <c r="BF26" s="19"/>
      <c r="BG26" s="19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</row>
    <row r="27" spans="1:142" s="24" customFormat="1" ht="15" customHeight="1">
      <c r="A27" s="4">
        <f t="shared" si="17"/>
        <v>3</v>
      </c>
      <c r="B27" s="268">
        <f t="shared" ca="1" si="18"/>
        <v>45402</v>
      </c>
      <c r="C27" s="401"/>
      <c r="D27" s="443">
        <f ca="1">IF(N27=0,IF(N26=1,D25+D26," "),IF(N27=0,0,IF(N28=1,D25,IF(N28=0,D10-D25*(M14-1)," "))))</f>
        <v>2166670</v>
      </c>
      <c r="E27" s="443"/>
      <c r="F27" s="84">
        <f ca="1">IF(N27=0,IF(N26=1,F25+F26," "),IF(M1=1,P27,IF(M1=2,Q27," ")))</f>
        <v>353890</v>
      </c>
      <c r="G27" s="84">
        <v>0</v>
      </c>
      <c r="H27" s="84">
        <f t="shared" ca="1" si="19"/>
        <v>2520560</v>
      </c>
      <c r="I27" s="84">
        <f t="shared" ca="1" si="20"/>
        <v>2600000</v>
      </c>
      <c r="J27" s="84">
        <f t="shared" ca="1" si="0"/>
        <v>424670</v>
      </c>
      <c r="K27" s="84">
        <v>0</v>
      </c>
      <c r="L27" s="84">
        <f t="shared" ca="1" si="21"/>
        <v>3024670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353890</v>
      </c>
      <c r="Q27" s="22">
        <f t="shared" ca="1" si="3"/>
        <v>353890</v>
      </c>
      <c r="R27" s="22">
        <f t="shared" ca="1" si="23"/>
        <v>8666660</v>
      </c>
      <c r="S27" s="22">
        <f t="shared" ca="1" si="24"/>
        <v>2166670</v>
      </c>
      <c r="T27" s="22">
        <f t="shared" ca="1" si="25"/>
        <v>2166670</v>
      </c>
      <c r="U27" s="22">
        <f ca="1">IF(N28=1,R26*D11*20/36000+R27*D11*10/36000,IF(N28=0,IF(N27=0,0,R27*D11*Q12/36000+R26*D11*20/36000+R27*D11*10/36000)))</f>
        <v>353888.73333333334</v>
      </c>
      <c r="V27" s="22">
        <f ca="1">IF(N28=1,R26*D11*20/36000+R27*D11*10/36000,IF(N28=0,IF(N27=0,0,R27*D11*Q12/36000+R26*D11*20/36000+R27*D11*10/36000)))</f>
        <v>353888.73333333334</v>
      </c>
      <c r="W27" s="22">
        <f t="shared" ca="1" si="26"/>
        <v>455000</v>
      </c>
      <c r="X27" s="22">
        <f t="shared" ca="1" si="27"/>
        <v>455000</v>
      </c>
      <c r="Y27" s="22">
        <f t="shared" ca="1" si="4"/>
        <v>10400000</v>
      </c>
      <c r="Z27" s="22">
        <f ca="1">IF(N28=1,Y26*D$11*20/36000+Y27*D$11*10/36000,IF(N28=0,IF(N27=0,0,Y27*D$11*Q$12/36000+Y26*D$11*20/36000+Y27*D$11*10/36000)))</f>
        <v>424666.66666666663</v>
      </c>
      <c r="AA27" s="22">
        <f t="shared" ca="1" si="5"/>
        <v>424670</v>
      </c>
      <c r="AB27" s="22">
        <f ca="1">IF(R28=0,R27*Q12,(R26*20+R27*10))</f>
        <v>303333200</v>
      </c>
      <c r="AC27" s="22">
        <f t="shared" ca="1" si="28"/>
        <v>364000000</v>
      </c>
      <c r="AD27" s="22">
        <f t="shared" ca="1" si="6"/>
        <v>0</v>
      </c>
      <c r="AE27" s="22">
        <f t="shared" ca="1" si="7"/>
        <v>0</v>
      </c>
      <c r="AF27" s="22">
        <f t="shared" ca="1" si="29"/>
        <v>0</v>
      </c>
      <c r="AG27" s="22">
        <f t="shared" ca="1" si="8"/>
        <v>0</v>
      </c>
      <c r="AH27" s="22">
        <f t="shared" ca="1" si="30"/>
        <v>0</v>
      </c>
      <c r="AI27" s="22">
        <f t="shared" ca="1" si="9"/>
        <v>0</v>
      </c>
      <c r="AJ27" s="22">
        <f t="shared" ca="1" si="10"/>
        <v>8666660</v>
      </c>
      <c r="AK27" s="22">
        <f ca="1">IF(N28=1,AJ26*G12*20/36000+AJ27*G12*10/36000,IF(N28=0,IF(N27=0,0,AJ27*G12*Q12/36000+AJ26*G12*20/36000+AJ27*G12*10/36000)))</f>
        <v>0</v>
      </c>
      <c r="AL27" s="22">
        <f ca="1">IF(N28=1,AJ26*G12*20/36000+AJ27*G12*10/36000,IF(N28=0,IF(N27=0,0,AJ27*G12*Q12/36000+AJ26*G12*20/36000+AJ27*G12*10/36000)))</f>
        <v>0</v>
      </c>
      <c r="AM27" s="69">
        <f t="shared" ca="1" si="31"/>
        <v>4</v>
      </c>
      <c r="AN27" s="69">
        <f t="shared" ca="1" si="11"/>
        <v>4</v>
      </c>
      <c r="AO27" s="4">
        <f t="shared" ca="1" si="32"/>
        <v>2024</v>
      </c>
      <c r="AP27" s="4">
        <f t="shared" ca="1" si="12"/>
        <v>2024</v>
      </c>
      <c r="AQ27" s="4">
        <f t="shared" ca="1" si="13"/>
        <v>1</v>
      </c>
      <c r="AR27" s="4">
        <f t="shared" ca="1" si="14"/>
        <v>30</v>
      </c>
      <c r="AS27" s="4">
        <f t="shared" si="15"/>
        <v>20</v>
      </c>
      <c r="AT27" s="4">
        <f t="shared" ca="1" si="33"/>
        <v>30</v>
      </c>
      <c r="AU27" s="4"/>
      <c r="AV27" s="4"/>
      <c r="AW27" s="4"/>
      <c r="AX27" s="4"/>
      <c r="AY27" s="4"/>
      <c r="AZ27" s="4">
        <f t="shared" ca="1" si="16"/>
        <v>1</v>
      </c>
      <c r="BA27" s="4"/>
      <c r="BB27" s="4"/>
      <c r="BC27" s="4"/>
      <c r="BD27" s="4"/>
      <c r="BE27" s="10"/>
      <c r="BF27" s="19"/>
      <c r="BG27" s="19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</row>
    <row r="28" spans="1:142" s="24" customFormat="1" ht="15" customHeight="1">
      <c r="A28" s="4">
        <f t="shared" si="17"/>
        <v>4</v>
      </c>
      <c r="B28" s="268">
        <f t="shared" ca="1" si="18"/>
        <v>45432</v>
      </c>
      <c r="C28" s="401"/>
      <c r="D28" s="443">
        <f ca="1">IF(N28=0,IF(N27=1,D25+D26+D27," "),IF(N28=0,0,IF(N29=1,D25,IF(N29=0,D10-D25*(M14-1)," "))))</f>
        <v>2166670</v>
      </c>
      <c r="E28" s="443"/>
      <c r="F28" s="84">
        <f ca="1">IF(N28=0,IF(N27=1,F25+F26+F27," "),IF(M1=1,P28,IF(M1=2,Q28," ")))</f>
        <v>278050</v>
      </c>
      <c r="G28" s="84">
        <v>0</v>
      </c>
      <c r="H28" s="84">
        <f t="shared" ca="1" si="19"/>
        <v>2444720</v>
      </c>
      <c r="I28" s="84">
        <f t="shared" ca="1" si="20"/>
        <v>2600000</v>
      </c>
      <c r="J28" s="84">
        <f t="shared" ca="1" si="0"/>
        <v>333670</v>
      </c>
      <c r="K28" s="84">
        <v>0</v>
      </c>
      <c r="L28" s="84">
        <f t="shared" ca="1" si="21"/>
        <v>2933670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278050</v>
      </c>
      <c r="Q28" s="22">
        <f t="shared" ca="1" si="3"/>
        <v>278050</v>
      </c>
      <c r="R28" s="22">
        <f t="shared" ca="1" si="23"/>
        <v>6499990</v>
      </c>
      <c r="S28" s="22">
        <f t="shared" ca="1" si="24"/>
        <v>2166670</v>
      </c>
      <c r="T28" s="22">
        <f t="shared" ca="1" si="25"/>
        <v>2166670</v>
      </c>
      <c r="U28" s="22">
        <f ca="1">IF(N29=1,R27*D11*20/36000+R28*D11*10/36000,IF(N29=0,IF(N28=0,0,R28*D11*Q12/36000+R27*D11*20/36000+R28*D11*10/36000)))</f>
        <v>278055.28333333333</v>
      </c>
      <c r="V28" s="22">
        <f ca="1">IF(N29=1,R27*D11*20/36000+R28*D11*10/36000,IF(N29=0,IF(N28=0,0,R28*D11*Q12/36000+R27*D11*20/36000+R28*D11*10/36000)))</f>
        <v>278055.28333333333</v>
      </c>
      <c r="W28" s="22">
        <f t="shared" ca="1" si="26"/>
        <v>455000</v>
      </c>
      <c r="X28" s="22">
        <f t="shared" ca="1" si="27"/>
        <v>455000</v>
      </c>
      <c r="Y28" s="22">
        <f t="shared" ca="1" si="4"/>
        <v>7800000</v>
      </c>
      <c r="Z28" s="22">
        <f ca="1">IF(N29=1,Y27*D$11*20/36000+Y28*D$11*10/36000,IF(N29=0,IF(N28=0,0,Y28*D$11*Q$12/36000+Y27*D$11*20/36000+Y28*D$11*10/36000)))</f>
        <v>333666.66666666663</v>
      </c>
      <c r="AA28" s="22">
        <f t="shared" ca="1" si="5"/>
        <v>333670</v>
      </c>
      <c r="AB28" s="22">
        <f ca="1">IF(R29=0,R28*Q12,(R27*20+R28*10))</f>
        <v>238333100</v>
      </c>
      <c r="AC28" s="22">
        <f t="shared" ca="1" si="28"/>
        <v>286000000</v>
      </c>
      <c r="AD28" s="22">
        <f t="shared" ca="1" si="6"/>
        <v>0</v>
      </c>
      <c r="AE28" s="22">
        <f t="shared" ca="1" si="7"/>
        <v>0</v>
      </c>
      <c r="AF28" s="22">
        <f t="shared" ca="1" si="29"/>
        <v>0</v>
      </c>
      <c r="AG28" s="22">
        <f t="shared" ca="1" si="8"/>
        <v>0</v>
      </c>
      <c r="AH28" s="22">
        <f t="shared" ca="1" si="30"/>
        <v>0</v>
      </c>
      <c r="AI28" s="22">
        <f t="shared" ca="1" si="9"/>
        <v>0</v>
      </c>
      <c r="AJ28" s="22">
        <f t="shared" ca="1" si="10"/>
        <v>6499990</v>
      </c>
      <c r="AK28" s="22">
        <f ca="1">IF(N29=1,AJ27*G12*20/36000+AJ28*G12*10/36000,IF(N29=0,IF(N28=0,0,AJ28*G12*Q12/36000+AJ27*G12*20/36000+AJ28*G12*10/36000)))</f>
        <v>0</v>
      </c>
      <c r="AL28" s="22">
        <f ca="1">IF(N29=1,AJ27*G12*20/36000+AJ28*G12*10/36000,IF(N29=0,IF(N28=0,0,AJ28*G12*Q12/36000+AJ27*G12*20/36000+AJ28*G12*10/36000)))</f>
        <v>0</v>
      </c>
      <c r="AM28" s="69">
        <f t="shared" ca="1" si="31"/>
        <v>5</v>
      </c>
      <c r="AN28" s="69">
        <f t="shared" ca="1" si="11"/>
        <v>5</v>
      </c>
      <c r="AO28" s="4">
        <f t="shared" ca="1" si="32"/>
        <v>2024</v>
      </c>
      <c r="AP28" s="4">
        <f t="shared" ca="1" si="12"/>
        <v>2024</v>
      </c>
      <c r="AQ28" s="4">
        <f t="shared" ca="1" si="13"/>
        <v>1</v>
      </c>
      <c r="AR28" s="4">
        <f t="shared" ca="1" si="14"/>
        <v>30</v>
      </c>
      <c r="AS28" s="4">
        <f t="shared" si="15"/>
        <v>20</v>
      </c>
      <c r="AT28" s="4">
        <f t="shared" ca="1" si="33"/>
        <v>30</v>
      </c>
      <c r="AU28" s="4"/>
      <c r="AV28" s="4"/>
      <c r="AW28" s="4"/>
      <c r="AX28" s="4"/>
      <c r="AY28" s="4"/>
      <c r="AZ28" s="4">
        <f t="shared" ca="1" si="16"/>
        <v>1</v>
      </c>
      <c r="BA28" s="4"/>
      <c r="BB28" s="4"/>
      <c r="BC28" s="4"/>
      <c r="BD28" s="4"/>
      <c r="BE28" s="10"/>
      <c r="BF28" s="19"/>
      <c r="BG28" s="19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</row>
    <row r="29" spans="1:142" s="24" customFormat="1" ht="15" customHeight="1">
      <c r="A29" s="4">
        <f t="shared" si="17"/>
        <v>5</v>
      </c>
      <c r="B29" s="268">
        <f t="shared" ca="1" si="18"/>
        <v>45463</v>
      </c>
      <c r="C29" s="401"/>
      <c r="D29" s="443">
        <f ca="1">IF(N29=0,IF(N28=1,D25+D26+D27+D28," "),IF(N29=0,0,IF(N30=1,D25,IF(N30=0,D10-D25*(M14-1)," "))))</f>
        <v>2166670</v>
      </c>
      <c r="E29" s="443"/>
      <c r="F29" s="84">
        <f ca="1">IF(N29=0,IF(N28=1,F25+F26+F27+F28," "),IF(M1=1,P29,IF(M1=2,Q29," ")))</f>
        <v>202220</v>
      </c>
      <c r="G29" s="84">
        <v>0</v>
      </c>
      <c r="H29" s="84">
        <f t="shared" ca="1" si="19"/>
        <v>2368890</v>
      </c>
      <c r="I29" s="84">
        <f t="shared" ca="1" si="20"/>
        <v>2600000</v>
      </c>
      <c r="J29" s="84">
        <f t="shared" ca="1" si="0"/>
        <v>242670</v>
      </c>
      <c r="K29" s="84">
        <v>0</v>
      </c>
      <c r="L29" s="84">
        <f t="shared" ca="1" si="21"/>
        <v>2842670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202220</v>
      </c>
      <c r="Q29" s="22">
        <f t="shared" ca="1" si="3"/>
        <v>202220</v>
      </c>
      <c r="R29" s="22">
        <f t="shared" ca="1" si="23"/>
        <v>4333320</v>
      </c>
      <c r="S29" s="22">
        <f t="shared" ca="1" si="24"/>
        <v>2166670</v>
      </c>
      <c r="T29" s="22">
        <f t="shared" ca="1" si="25"/>
        <v>2166670</v>
      </c>
      <c r="U29" s="22">
        <f ca="1">IF(N30=1,R28*D11*20/36000+R29*D11*10/36000,IF(N30=0,IF(N29=0,0,R29*D11*Q12/36000+R28*D11*20/36000+R29*D11*10/36000)))</f>
        <v>202221.83333333331</v>
      </c>
      <c r="V29" s="22">
        <f ca="1">IF(N30=1,R28*D11*20/36000+R29*D11*10/36000,IF(N30=0,IF(N29=0,0,R29*D11*Q12/36000+R28*D11*20/36000+R29*D11*10/36000)))</f>
        <v>202221.83333333331</v>
      </c>
      <c r="W29" s="22">
        <f t="shared" ca="1" si="26"/>
        <v>455000</v>
      </c>
      <c r="X29" s="22">
        <f t="shared" ca="1" si="27"/>
        <v>455000</v>
      </c>
      <c r="Y29" s="22">
        <f t="shared" ca="1" si="4"/>
        <v>5200000</v>
      </c>
      <c r="Z29" s="22">
        <f ca="1">IF(N30=1,Y28*D$11*20/36000+Y29*D$11*10/36000,IF(N30=0,IF(N29=0,0,Y29*D$11*Q$12/36000+Y28*D$11*20/36000+Y29*D$11*10/36000)))</f>
        <v>242666.66666666666</v>
      </c>
      <c r="AA29" s="22">
        <f t="shared" ca="1" si="5"/>
        <v>242670</v>
      </c>
      <c r="AB29" s="22">
        <f ca="1">IF(R30=0,R29*Q12,(R28*20+R29*10))</f>
        <v>173333000</v>
      </c>
      <c r="AC29" s="22">
        <f t="shared" ca="1" si="28"/>
        <v>208000000</v>
      </c>
      <c r="AD29" s="22">
        <f t="shared" ca="1" si="6"/>
        <v>0</v>
      </c>
      <c r="AE29" s="22">
        <f t="shared" ca="1" si="7"/>
        <v>0</v>
      </c>
      <c r="AF29" s="22">
        <f t="shared" ca="1" si="29"/>
        <v>0</v>
      </c>
      <c r="AG29" s="22">
        <f t="shared" ca="1" si="8"/>
        <v>0</v>
      </c>
      <c r="AH29" s="22">
        <f t="shared" ca="1" si="30"/>
        <v>0</v>
      </c>
      <c r="AI29" s="22">
        <f t="shared" ca="1" si="9"/>
        <v>0</v>
      </c>
      <c r="AJ29" s="22">
        <f t="shared" ca="1" si="10"/>
        <v>4333320</v>
      </c>
      <c r="AK29" s="22">
        <f ca="1">IF(N30=1,AJ28*G12*20/36000+AJ29*G12*10/36000,IF(N30=0,IF(N29=0,0,AJ29*G12*Q12/36000+AJ28*G12*20/36000+AJ29*G12*10/36000)))</f>
        <v>0</v>
      </c>
      <c r="AL29" s="22">
        <f ca="1">IF(N30=1,AJ28*G12*20/36000+AJ29*G12*10/36000,IF(N30=0,IF(N29=0,0,AJ29*G12*Q12/36000+AJ28*G12*20/36000+AJ29*G12*10/36000)))</f>
        <v>0</v>
      </c>
      <c r="AM29" s="69">
        <f t="shared" ca="1" si="31"/>
        <v>6</v>
      </c>
      <c r="AN29" s="69">
        <f t="shared" ca="1" si="11"/>
        <v>6</v>
      </c>
      <c r="AO29" s="4">
        <f t="shared" ca="1" si="32"/>
        <v>2024</v>
      </c>
      <c r="AP29" s="4">
        <f t="shared" ca="1" si="12"/>
        <v>2024</v>
      </c>
      <c r="AQ29" s="4">
        <f t="shared" ca="1" si="13"/>
        <v>1</v>
      </c>
      <c r="AR29" s="4">
        <f t="shared" ca="1" si="14"/>
        <v>30</v>
      </c>
      <c r="AS29" s="4">
        <f t="shared" si="15"/>
        <v>20</v>
      </c>
      <c r="AT29" s="4">
        <f t="shared" ca="1" si="33"/>
        <v>30</v>
      </c>
      <c r="AU29" s="4"/>
      <c r="AV29" s="4"/>
      <c r="AW29" s="4"/>
      <c r="AX29" s="4"/>
      <c r="AY29" s="4"/>
      <c r="AZ29" s="4">
        <f t="shared" ca="1" si="16"/>
        <v>1</v>
      </c>
      <c r="BA29" s="4"/>
      <c r="BB29" s="4"/>
      <c r="BC29" s="4"/>
      <c r="BD29" s="4"/>
      <c r="BE29" s="10"/>
      <c r="BF29" s="19"/>
      <c r="BG29" s="19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</row>
    <row r="30" spans="1:142" s="24" customFormat="1" ht="15" customHeight="1">
      <c r="A30" s="4">
        <f t="shared" si="17"/>
        <v>6</v>
      </c>
      <c r="B30" s="268">
        <f t="shared" ca="1" si="18"/>
        <v>45475</v>
      </c>
      <c r="C30" s="401"/>
      <c r="D30" s="443">
        <f ca="1">IF(N30=0,IF(N29=1,D25+D26+D27+D28+D29," "),IF(N30=0,0,IF(N31=1,D25,IF(N31=0,D10-D25*(M14-1)," "))))</f>
        <v>2166650</v>
      </c>
      <c r="E30" s="443"/>
      <c r="F30" s="84">
        <f ca="1">IF(N30=0,IF(N29=1,F25+F26+F27+F28+F29," "),IF(M1=1,P30,IF(M1=2,Q30," ")))</f>
        <v>131440</v>
      </c>
      <c r="G30" s="84">
        <v>0</v>
      </c>
      <c r="H30" s="84">
        <f t="shared" ca="1" si="19"/>
        <v>2298090</v>
      </c>
      <c r="I30" s="84">
        <f t="shared" ca="1" si="20"/>
        <v>2600000</v>
      </c>
      <c r="J30" s="84">
        <f t="shared" ca="1" si="0"/>
        <v>157730</v>
      </c>
      <c r="K30" s="84">
        <v>0</v>
      </c>
      <c r="L30" s="84">
        <f t="shared" ca="1" si="21"/>
        <v>2757730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</v>
      </c>
      <c r="P30" s="22">
        <f t="shared" ca="1" si="2"/>
        <v>131440</v>
      </c>
      <c r="Q30" s="22">
        <f t="shared" ca="1" si="3"/>
        <v>131440</v>
      </c>
      <c r="R30" s="22">
        <f t="shared" ca="1" si="23"/>
        <v>2166650</v>
      </c>
      <c r="S30" s="22">
        <f t="shared" ca="1" si="24"/>
        <v>2166650</v>
      </c>
      <c r="T30" s="22">
        <f t="shared" ca="1" si="25"/>
        <v>2166650</v>
      </c>
      <c r="U30" s="22">
        <f ca="1">IF(N31=1,R29*D11*20/36000+R30*D11*10/36000,IF(N31=0,IF(N30=0,0,R30*D11*Q12/36000+R29*D11*20/36000+R30*D11*10/36000)))</f>
        <v>131443.9</v>
      </c>
      <c r="V30" s="22">
        <f ca="1">IF(N31=1,R29*D11*20/36000+R30*D11*10/36000,IF(N31=0,IF(N30=0,0,R30*D11*Q12/36000+R29*D11*20/36000+R30*D11*10/36000)))</f>
        <v>131443.9</v>
      </c>
      <c r="W30" s="22">
        <f t="shared" ca="1" si="26"/>
        <v>485333.33333333326</v>
      </c>
      <c r="X30" s="22">
        <f t="shared" ca="1" si="27"/>
        <v>485330</v>
      </c>
      <c r="Y30" s="22">
        <f t="shared" ca="1" si="4"/>
        <v>2600000</v>
      </c>
      <c r="Z30" s="22">
        <f ca="1">IF(N31=1,Y29*D$11*20/36000+Y30*D$11*10/36000,IF(N31=0,IF(N30=0,0,Y30*D$11*Q$12/36000+Y29*D$11*20/36000+Y30*D$11*10/36000)))</f>
        <v>157733.33333333334</v>
      </c>
      <c r="AA30" s="22">
        <f t="shared" ca="1" si="5"/>
        <v>157730</v>
      </c>
      <c r="AB30" s="22">
        <f ca="1">IF(R31=0,R30*Q12,(R29*20+R30*10))</f>
        <v>4333300</v>
      </c>
      <c r="AC30" s="22">
        <f t="shared" ca="1" si="28"/>
        <v>0</v>
      </c>
      <c r="AD30" s="22">
        <f t="shared" ca="1" si="6"/>
        <v>0</v>
      </c>
      <c r="AE30" s="22">
        <f t="shared" ca="1" si="7"/>
        <v>0</v>
      </c>
      <c r="AF30" s="22">
        <f t="shared" ca="1" si="29"/>
        <v>0</v>
      </c>
      <c r="AG30" s="22">
        <f t="shared" ca="1" si="8"/>
        <v>0</v>
      </c>
      <c r="AH30" s="22">
        <f t="shared" ca="1" si="30"/>
        <v>0</v>
      </c>
      <c r="AI30" s="22">
        <f t="shared" ca="1" si="9"/>
        <v>0</v>
      </c>
      <c r="AJ30" s="22">
        <f t="shared" ca="1" si="10"/>
        <v>2166650</v>
      </c>
      <c r="AK30" s="22">
        <f ca="1">IF(N31=1,AJ29*G12*20/36000+AJ30*G12*10/36000,IF(N31=0,IF(N30=0,0,AJ30*G12*Q12/36000+AJ29*G12*20/36000+AJ30*G12*10/36000)))</f>
        <v>0</v>
      </c>
      <c r="AL30" s="22">
        <f ca="1">IF(N31=1,AJ29*G12*20/36000+AJ30*G12*10/36000,IF(N31=0,IF(N30=0,0,AJ30*G12*Q12/36000+AJ29*G12*20/36000+AJ30*G12*10/36000)))</f>
        <v>0</v>
      </c>
      <c r="AM30" s="69">
        <f t="shared" ca="1" si="31"/>
        <v>7</v>
      </c>
      <c r="AN30" s="69">
        <f t="shared" ca="1" si="11"/>
        <v>7</v>
      </c>
      <c r="AO30" s="4">
        <f t="shared" ca="1" si="32"/>
        <v>2024</v>
      </c>
      <c r="AP30" s="4">
        <f t="shared" ca="1" si="12"/>
        <v>2024</v>
      </c>
      <c r="AQ30" s="4">
        <f t="shared" ca="1" si="13"/>
        <v>1</v>
      </c>
      <c r="AR30" s="4">
        <f t="shared" ca="1" si="14"/>
        <v>30</v>
      </c>
      <c r="AS30" s="4">
        <f t="shared" si="15"/>
        <v>20</v>
      </c>
      <c r="AT30" s="4">
        <f t="shared" ca="1" si="33"/>
        <v>30</v>
      </c>
      <c r="AU30" s="4"/>
      <c r="AV30" s="4"/>
      <c r="AW30" s="4"/>
      <c r="AX30" s="4"/>
      <c r="AY30" s="4"/>
      <c r="AZ30" s="4">
        <f t="shared" ca="1" si="16"/>
        <v>1</v>
      </c>
      <c r="BA30" s="4"/>
      <c r="BB30" s="4"/>
      <c r="BC30" s="4"/>
      <c r="BD30" s="4"/>
      <c r="BE30" s="10"/>
      <c r="BF30" s="19"/>
      <c r="BG30" s="19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</row>
    <row r="31" spans="1:142" s="24" customFormat="1" ht="15" customHeight="1">
      <c r="A31" s="19">
        <f t="shared" si="17"/>
        <v>7</v>
      </c>
      <c r="B31" s="268" t="str">
        <f t="shared" ca="1" si="18"/>
        <v>ИТОГО</v>
      </c>
      <c r="C31" s="401"/>
      <c r="D31" s="443">
        <f ca="1">IF(N31=0,IF(N30=1,D25+D26+D27+D28+D29+D30," "),IF(N31=0," ",IF(N32=1,D25,IF(N32=0,D10-D25*(M14-1)," "))))</f>
        <v>13000000</v>
      </c>
      <c r="E31" s="443"/>
      <c r="F31" s="84">
        <f ca="1">IF(N31=0,IF(N30=1,F25+F26+F27+F28+F29+F30," "),IF(M1=1,P31,IF(M1=2,Q31," ")))</f>
        <v>1804820</v>
      </c>
      <c r="G31" s="84">
        <v>0</v>
      </c>
      <c r="H31" s="84">
        <f t="shared" ca="1" si="19"/>
        <v>14804820</v>
      </c>
      <c r="I31" s="84">
        <f t="shared" ca="1" si="20"/>
        <v>0</v>
      </c>
      <c r="J31" s="84">
        <f t="shared" ca="1" si="0"/>
        <v>0</v>
      </c>
      <c r="K31" s="84">
        <v>0</v>
      </c>
      <c r="L31" s="84" t="str">
        <f t="shared" ca="1" si="21"/>
        <v xml:space="preserve"> </v>
      </c>
      <c r="M31" s="4">
        <f t="shared" si="22"/>
        <v>7</v>
      </c>
      <c r="N31" s="4">
        <f ca="1">IF(M1=1,IF(M14&gt;6,1,0),IF(M1=2,IF(M14&gt;6,1,0),0))</f>
        <v>0</v>
      </c>
      <c r="O31" s="4">
        <f t="shared" ca="1" si="1"/>
        <v>20</v>
      </c>
      <c r="P31" s="22">
        <f t="shared" ca="1" si="2"/>
        <v>0</v>
      </c>
      <c r="Q31" s="22">
        <f t="shared" ca="1" si="3"/>
        <v>0</v>
      </c>
      <c r="R31" s="22">
        <f t="shared" ca="1" si="23"/>
        <v>0</v>
      </c>
      <c r="S31" s="22">
        <f t="shared" ca="1" si="24"/>
        <v>13000000</v>
      </c>
      <c r="T31" s="22">
        <f t="shared" ca="1" si="25"/>
        <v>13000000</v>
      </c>
      <c r="U31" s="22">
        <f ca="1">IF(N32=1,R30*D$11*20/36000+R31*D$11*10/36000,IF(N32=0,IF(N31=0,0,IF(D$16&gt;20,R30*D$11*20/36000+R31*D$11*(Q$12-20)/36000,R31*D$11*Q$12/36000))))</f>
        <v>0</v>
      </c>
      <c r="V31" s="22">
        <f ca="1">IF(N32=1,R30*D11*20/36000+R31*D11*10/36000,IF(N32=0,IF(N31=0,0,IF(D16&gt;20,R30*D$11*20/36000+R31*D$11*(Q$12-20)/36000,R31*D$11*Q$12/36000))))</f>
        <v>0</v>
      </c>
      <c r="W31" s="22">
        <f t="shared" ca="1" si="26"/>
        <v>0</v>
      </c>
      <c r="X31" s="22">
        <f t="shared" ca="1" si="27"/>
        <v>0</v>
      </c>
      <c r="Y31" s="22">
        <f t="shared" ca="1" si="4"/>
        <v>0</v>
      </c>
      <c r="Z31" s="22">
        <f ca="1">IF(N32=1,Y30*D$11*20/36000+Y31*D$11*10/36000,IF(N32=0,IF(N31=0,0,IF(D$16&gt;20,Y30*D$11*20/36000+Y31*D$11*(Q$12-20)/36000,Y31*D$11*Q$12/36000))))</f>
        <v>0</v>
      </c>
      <c r="AA31" s="22">
        <f t="shared" ca="1" si="5"/>
        <v>0</v>
      </c>
      <c r="AB31" s="22">
        <f ca="1">IF(R32=0,R31*Q12,(R30*20+R31*10))</f>
        <v>0</v>
      </c>
      <c r="AC31" s="22">
        <f t="shared" ca="1" si="28"/>
        <v>0</v>
      </c>
      <c r="AD31" s="22">
        <f t="shared" ca="1" si="6"/>
        <v>0</v>
      </c>
      <c r="AE31" s="22">
        <f t="shared" ca="1" si="7"/>
        <v>0</v>
      </c>
      <c r="AF31" s="22">
        <f t="shared" ca="1" si="29"/>
        <v>0</v>
      </c>
      <c r="AG31" s="22">
        <f t="shared" ca="1" si="8"/>
        <v>0</v>
      </c>
      <c r="AH31" s="22">
        <f t="shared" ca="1" si="30"/>
        <v>0</v>
      </c>
      <c r="AI31" s="22">
        <f t="shared" ca="1" si="9"/>
        <v>0</v>
      </c>
      <c r="AJ31" s="22">
        <f t="shared" ca="1" si="10"/>
        <v>0</v>
      </c>
      <c r="AK31" s="22">
        <f ca="1">IF(N32=1,AJ30*G$12*20/36000+AJ31*G$12*10/36000,IF(N32=0,IF(N31=0,0,AJ31*G$12*Q$12/36000)))</f>
        <v>0</v>
      </c>
      <c r="AL31" s="22">
        <f ca="1">IF(N32=1,AJ30*G$12*20/36000+AJ31*G$12*10/36000,IF(N32=0,IF(N31=0,0,AJ31*G$12*Q$12/36000)))</f>
        <v>0</v>
      </c>
      <c r="AM31" s="69">
        <f t="shared" ca="1" si="31"/>
        <v>0</v>
      </c>
      <c r="AN31" s="69">
        <f t="shared" ca="1" si="11"/>
        <v>0</v>
      </c>
      <c r="AO31" s="4">
        <f t="shared" ca="1" si="32"/>
        <v>0</v>
      </c>
      <c r="AP31" s="4">
        <f t="shared" ca="1" si="12"/>
        <v>0</v>
      </c>
      <c r="AQ31" s="4">
        <f t="shared" ca="1" si="13"/>
        <v>0</v>
      </c>
      <c r="AR31" s="4">
        <f t="shared" ca="1" si="14"/>
        <v>30</v>
      </c>
      <c r="AS31" s="4">
        <f t="shared" si="15"/>
        <v>20</v>
      </c>
      <c r="AT31" s="4">
        <f t="shared" ca="1" si="33"/>
        <v>30</v>
      </c>
      <c r="AU31" s="4"/>
      <c r="AV31" s="4"/>
      <c r="AW31" s="4"/>
      <c r="AX31" s="4"/>
      <c r="AY31" s="4"/>
      <c r="AZ31" s="4">
        <f t="shared" ca="1" si="16"/>
        <v>0</v>
      </c>
      <c r="BA31" s="4"/>
      <c r="BB31" s="4"/>
      <c r="BC31" s="4"/>
      <c r="BD31" s="4"/>
      <c r="BE31" s="10"/>
      <c r="BF31" s="19"/>
      <c r="BG31" s="19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</row>
    <row r="32" spans="1:142" s="24" customFormat="1" ht="15" customHeight="1">
      <c r="A32" s="4">
        <f t="shared" si="17"/>
        <v>8</v>
      </c>
      <c r="B32" s="268" t="str">
        <f t="shared" ca="1" si="18"/>
        <v xml:space="preserve"> </v>
      </c>
      <c r="C32" s="401"/>
      <c r="D32" s="443" t="str">
        <f ca="1">IF(N32=0,IF(N31=1,D25+D26+D27+D28+D29+D30+D31," "),IF(N32=0," ",IF(N33=1,D25,IF(N33=0,D10-D25*(M14-1)," "))))</f>
        <v xml:space="preserve"> </v>
      </c>
      <c r="E32" s="443"/>
      <c r="F32" s="84" t="str">
        <f ca="1">IF(N32=0,IF(N31=1,F25+F26+F27+F28+F29+F30+F31," "),IF(M1=1,P32,IF(M1=2,Q32," ")))</f>
        <v xml:space="preserve"> </v>
      </c>
      <c r="G32" s="84">
        <v>0</v>
      </c>
      <c r="H32" s="84" t="str">
        <f t="shared" ca="1" si="19"/>
        <v xml:space="preserve"> </v>
      </c>
      <c r="I32" s="84">
        <f t="shared" ca="1" si="20"/>
        <v>0</v>
      </c>
      <c r="J32" s="84">
        <f t="shared" ca="1" si="0"/>
        <v>0</v>
      </c>
      <c r="K32" s="84">
        <v>0</v>
      </c>
      <c r="L32" s="84" t="str">
        <f t="shared" ca="1" si="21"/>
        <v xml:space="preserve"> </v>
      </c>
      <c r="M32" s="4">
        <f t="shared" si="22"/>
        <v>8</v>
      </c>
      <c r="N32" s="4">
        <f ca="1">IF(M1=1,IF(M14&gt;7,1,0),IF(M1=2,IF(M14&gt;7,1,0),0))</f>
        <v>0</v>
      </c>
      <c r="O32" s="4">
        <f t="shared" ca="1" si="1"/>
        <v>20</v>
      </c>
      <c r="P32" s="22">
        <f t="shared" ca="1" si="2"/>
        <v>0</v>
      </c>
      <c r="Q32" s="22">
        <f t="shared" ca="1" si="3"/>
        <v>0</v>
      </c>
      <c r="R32" s="22">
        <f t="shared" ca="1" si="23"/>
        <v>0</v>
      </c>
      <c r="S32" s="22" t="str">
        <f t="shared" ca="1" si="24"/>
        <v xml:space="preserve"> </v>
      </c>
      <c r="T32" s="22" t="e">
        <f t="shared" ca="1" si="25"/>
        <v>#VALUE!</v>
      </c>
      <c r="U32" s="22">
        <f ca="1">IF(N33=1,R31*D11*20/36000+R32*D11*10/36000,IF(N33=0,IF(N32=0,0,R32*D11*Q12/36000+R31*D11*20/36000+R32*D11*10/36000)))</f>
        <v>0</v>
      </c>
      <c r="V32" s="22">
        <f ca="1">IF(N33=1,R31*D11*20/36000+R32*D11*10/36000,IF(N33=0,IF(N32=0,0,R32*D11*Q12/36000+R31*D11*20/36000+R32*D11*10/36000)))</f>
        <v>0</v>
      </c>
      <c r="W32" s="22">
        <f t="shared" ca="1" si="26"/>
        <v>0</v>
      </c>
      <c r="X32" s="22">
        <f t="shared" ca="1" si="27"/>
        <v>0</v>
      </c>
      <c r="Y32" s="22">
        <f t="shared" ca="1" si="4"/>
        <v>0</v>
      </c>
      <c r="Z32" s="22">
        <f ca="1">IF(N33=1,Y31*D$11*20/36000+Y32*D$11*10/36000,IF(N33=0,IF(N32=0,0,Y32*D$11*Q$12/36000+Y31*D$11*20/36000+Y32*D$11*10/36000)))</f>
        <v>0</v>
      </c>
      <c r="AA32" s="22">
        <f t="shared" ca="1" si="5"/>
        <v>0</v>
      </c>
      <c r="AB32" s="22">
        <f ca="1">IF(R33=0,R32*Q12,(R31*20+R32*10))</f>
        <v>0</v>
      </c>
      <c r="AC32" s="22">
        <f t="shared" ca="1" si="28"/>
        <v>0</v>
      </c>
      <c r="AD32" s="22">
        <f t="shared" ca="1" si="6"/>
        <v>0</v>
      </c>
      <c r="AE32" s="22">
        <f t="shared" ca="1" si="7"/>
        <v>0</v>
      </c>
      <c r="AF32" s="22">
        <f t="shared" ca="1" si="29"/>
        <v>0</v>
      </c>
      <c r="AG32" s="22">
        <f t="shared" ca="1" si="8"/>
        <v>0</v>
      </c>
      <c r="AH32" s="22">
        <f t="shared" ca="1" si="30"/>
        <v>0</v>
      </c>
      <c r="AI32" s="22">
        <f t="shared" ca="1" si="9"/>
        <v>0</v>
      </c>
      <c r="AJ32" s="22">
        <f t="shared" ca="1" si="10"/>
        <v>0</v>
      </c>
      <c r="AK32" s="22">
        <f ca="1">IF(N33=1,AJ31*G12*20/36000+AJ32*G12*10/36000,IF(N33=0,IF(N32=0,0,AJ32*G12*Q12/36000+AJ31*G12*20/36000+AJ32*G12*10/36000)))</f>
        <v>0</v>
      </c>
      <c r="AL32" s="22">
        <f ca="1">IF(N33=1,AJ31*G12*20/36000+AJ32*G12*10/36000,IF(N33=0,IF(N32=0,0,AJ32*G12*Q12/36000+AJ31*G12*20/36000+AJ32*G12*10/36000)))</f>
        <v>0</v>
      </c>
      <c r="AM32" s="69">
        <f t="shared" ca="1" si="31"/>
        <v>0</v>
      </c>
      <c r="AN32" s="69">
        <f t="shared" ca="1" si="11"/>
        <v>0</v>
      </c>
      <c r="AO32" s="4">
        <f t="shared" ca="1" si="32"/>
        <v>0</v>
      </c>
      <c r="AP32" s="4">
        <f t="shared" ca="1" si="12"/>
        <v>0</v>
      </c>
      <c r="AQ32" s="4">
        <f t="shared" ca="1" si="13"/>
        <v>0</v>
      </c>
      <c r="AR32" s="4">
        <f t="shared" ca="1" si="14"/>
        <v>30</v>
      </c>
      <c r="AS32" s="4">
        <f t="shared" si="15"/>
        <v>20</v>
      </c>
      <c r="AT32" s="4">
        <f t="shared" ca="1" si="33"/>
        <v>30</v>
      </c>
      <c r="AU32" s="4"/>
      <c r="AV32" s="4"/>
      <c r="AW32" s="4"/>
      <c r="AX32" s="4"/>
      <c r="AY32" s="4"/>
      <c r="AZ32" s="4">
        <f t="shared" ca="1" si="16"/>
        <v>0</v>
      </c>
      <c r="BA32" s="4"/>
      <c r="BB32" s="4"/>
      <c r="BC32" s="4"/>
      <c r="BD32" s="4"/>
      <c r="BE32" s="10"/>
      <c r="BF32" s="19"/>
      <c r="BG32" s="19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</row>
    <row r="33" spans="1:142" s="24" customFormat="1" ht="15" customHeight="1">
      <c r="A33" s="4">
        <f t="shared" si="17"/>
        <v>9</v>
      </c>
      <c r="B33" s="268" t="str">
        <f t="shared" ca="1" si="18"/>
        <v xml:space="preserve"> </v>
      </c>
      <c r="C33" s="401"/>
      <c r="D33" s="443" t="str">
        <f ca="1">IF(N33=0,IF(N32=1,D25+D26+D27+D28+D29+D30+D31+D32," "),IF(N33=0," ",IF(N34=1,D25,IF(N34=0,D10-D25*(M14-1)," "))))</f>
        <v xml:space="preserve"> </v>
      </c>
      <c r="E33" s="443"/>
      <c r="F33" s="84" t="str">
        <f ca="1">IF(N33=0,IF(N32=1,F25+F26+F27+F28+F29+F30+F31+F32," "),IF(M1=1,P33,IF(M1=2,Q33," ")))</f>
        <v xml:space="preserve"> </v>
      </c>
      <c r="G33" s="84">
        <v>0</v>
      </c>
      <c r="H33" s="84" t="str">
        <f t="shared" ca="1" si="19"/>
        <v xml:space="preserve"> </v>
      </c>
      <c r="I33" s="84">
        <f t="shared" ca="1" si="20"/>
        <v>0</v>
      </c>
      <c r="J33" s="84">
        <f t="shared" ca="1" si="0"/>
        <v>0</v>
      </c>
      <c r="K33" s="84">
        <v>0</v>
      </c>
      <c r="L33" s="84" t="str">
        <f t="shared" ca="1" si="21"/>
        <v xml:space="preserve"> </v>
      </c>
      <c r="M33" s="4">
        <f t="shared" si="22"/>
        <v>9</v>
      </c>
      <c r="N33" s="4">
        <f ca="1">IF(M1=1,IF(M14&gt;8,1,0),IF(M1=2,IF(M14&gt;8,1,0),0))</f>
        <v>0</v>
      </c>
      <c r="O33" s="4">
        <f t="shared" ca="1" si="1"/>
        <v>20</v>
      </c>
      <c r="P33" s="22">
        <f t="shared" ca="1" si="2"/>
        <v>0</v>
      </c>
      <c r="Q33" s="22">
        <f t="shared" ca="1" si="3"/>
        <v>0</v>
      </c>
      <c r="R33" s="22">
        <f t="shared" ca="1" si="23"/>
        <v>0</v>
      </c>
      <c r="S33" s="22" t="str">
        <f t="shared" ca="1" si="24"/>
        <v xml:space="preserve"> </v>
      </c>
      <c r="T33" s="22" t="e">
        <f t="shared" ca="1" si="25"/>
        <v>#VALUE!</v>
      </c>
      <c r="U33" s="22">
        <f ca="1">IF(N34=1,R32*D11*20/36000+R33*D11*10/36000,IF(N34=0,IF(N33=0,0,R33*D11*Q12/36000+R32*D11*20/36000+R33*D11*10/36000)))</f>
        <v>0</v>
      </c>
      <c r="V33" s="22">
        <f ca="1">IF(N34=1,R32*D11*20/36000+R33*D11*10/36000,IF(N34=0,IF(N33=0,0,R33*D11*Q12/36000+R32*D11*20/36000+R33*D11*10/36000)))</f>
        <v>0</v>
      </c>
      <c r="W33" s="22">
        <f t="shared" ca="1" si="26"/>
        <v>0</v>
      </c>
      <c r="X33" s="22">
        <f t="shared" ca="1" si="27"/>
        <v>0</v>
      </c>
      <c r="Y33" s="22">
        <f t="shared" ca="1" si="4"/>
        <v>0</v>
      </c>
      <c r="Z33" s="22">
        <f ca="1">IF(N34=1,Y32*D$11*20/36000+Y33*D$11*10/36000,IF(N34=0,IF(N33=0,0,Y33*D$11*Q$12/36000+Y32*D$11*20/36000+Y33*D$11*10/36000)))</f>
        <v>0</v>
      </c>
      <c r="AA33" s="22">
        <f t="shared" ca="1" si="5"/>
        <v>0</v>
      </c>
      <c r="AB33" s="22">
        <f ca="1">IF(R34=0,R33*Q12,(R32*20+R33*10))</f>
        <v>0</v>
      </c>
      <c r="AC33" s="22">
        <f t="shared" ca="1" si="28"/>
        <v>0</v>
      </c>
      <c r="AD33" s="22">
        <f t="shared" ca="1" si="6"/>
        <v>0</v>
      </c>
      <c r="AE33" s="22">
        <f t="shared" ca="1" si="7"/>
        <v>0</v>
      </c>
      <c r="AF33" s="22">
        <f t="shared" ca="1" si="29"/>
        <v>0</v>
      </c>
      <c r="AG33" s="22">
        <f t="shared" ca="1" si="8"/>
        <v>0</v>
      </c>
      <c r="AH33" s="22">
        <f t="shared" ca="1" si="30"/>
        <v>0</v>
      </c>
      <c r="AI33" s="22">
        <f t="shared" ca="1" si="9"/>
        <v>0</v>
      </c>
      <c r="AJ33" s="22">
        <f t="shared" ca="1" si="10"/>
        <v>0</v>
      </c>
      <c r="AK33" s="22">
        <f ca="1">IF(N34=1,AJ32*G12*20/36000+AJ33*G12*10/36000,IF(N34=0,IF(N33=0,0,AJ33*G12*Q12/36000+AJ32*G12*20/36000+AJ33*G12*10/36000)))</f>
        <v>0</v>
      </c>
      <c r="AL33" s="22">
        <f ca="1">IF(N34=1,AJ32*G12*20/36000+AJ33*G12*10/36000,IF(N34=0,IF(N33=0,0,AJ33*G12*Q12/36000+AJ32*G12*20/36000+AJ33*G12*10/36000)))</f>
        <v>0</v>
      </c>
      <c r="AM33" s="69">
        <f t="shared" ca="1" si="31"/>
        <v>0</v>
      </c>
      <c r="AN33" s="69">
        <f t="shared" ca="1" si="11"/>
        <v>0</v>
      </c>
      <c r="AO33" s="4">
        <f t="shared" ca="1" si="32"/>
        <v>0</v>
      </c>
      <c r="AP33" s="4">
        <f t="shared" ca="1" si="12"/>
        <v>0</v>
      </c>
      <c r="AQ33" s="4">
        <f t="shared" ca="1" si="13"/>
        <v>0</v>
      </c>
      <c r="AR33" s="4">
        <f t="shared" ca="1" si="14"/>
        <v>30</v>
      </c>
      <c r="AS33" s="4">
        <f t="shared" si="15"/>
        <v>20</v>
      </c>
      <c r="AT33" s="4">
        <f t="shared" ca="1" si="33"/>
        <v>30</v>
      </c>
      <c r="AU33" s="4"/>
      <c r="AV33" s="4"/>
      <c r="AW33" s="4"/>
      <c r="AX33" s="4"/>
      <c r="AY33" s="4"/>
      <c r="AZ33" s="4">
        <f t="shared" ca="1" si="16"/>
        <v>0</v>
      </c>
      <c r="BA33" s="4"/>
      <c r="BB33" s="4"/>
      <c r="BC33" s="4"/>
      <c r="BD33" s="4"/>
      <c r="BE33" s="10"/>
      <c r="BF33" s="19"/>
      <c r="BG33" s="19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</row>
    <row r="34" spans="1:142" s="24" customFormat="1" ht="15" customHeight="1">
      <c r="A34" s="4">
        <f t="shared" si="17"/>
        <v>10</v>
      </c>
      <c r="B34" s="268" t="str">
        <f t="shared" ca="1" si="18"/>
        <v xml:space="preserve"> </v>
      </c>
      <c r="C34" s="401"/>
      <c r="D34" s="443" t="str">
        <f ca="1">IF(N34=0,IF(N33=1,D25+D26+D27+D28+D29+D30+D31+D32+D33," "),IF(N34=0," ",IF(N35=1,D25,IF(N35=0,D10-D25*(M14-1)," "))))</f>
        <v xml:space="preserve"> </v>
      </c>
      <c r="E34" s="443"/>
      <c r="F34" s="84" t="str">
        <f ca="1">IF(N34=0,IF(N33=1,F25+F26+F27+F28+F29+F30+F31+F32+F33," "),IF(M1=1,P34,IF(M1=2,Q34," ")))</f>
        <v xml:space="preserve"> </v>
      </c>
      <c r="G34" s="84">
        <v>0</v>
      </c>
      <c r="H34" s="84" t="str">
        <f t="shared" ca="1" si="19"/>
        <v xml:space="preserve"> </v>
      </c>
      <c r="I34" s="84">
        <f t="shared" ca="1" si="20"/>
        <v>0</v>
      </c>
      <c r="J34" s="84">
        <f t="shared" ca="1" si="0"/>
        <v>0</v>
      </c>
      <c r="K34" s="84">
        <v>0</v>
      </c>
      <c r="L34" s="84" t="str">
        <f t="shared" ca="1" si="21"/>
        <v xml:space="preserve"> </v>
      </c>
      <c r="M34" s="4">
        <f t="shared" si="22"/>
        <v>10</v>
      </c>
      <c r="N34" s="4">
        <f ca="1">IF(M1=1,IF(M14&gt;9,1,0),IF(M1=2,IF(M14&gt;9,1,0),0))</f>
        <v>0</v>
      </c>
      <c r="O34" s="4">
        <f t="shared" ca="1" si="1"/>
        <v>20</v>
      </c>
      <c r="P34" s="22">
        <f t="shared" ca="1" si="2"/>
        <v>0</v>
      </c>
      <c r="Q34" s="22">
        <f t="shared" ca="1" si="3"/>
        <v>0</v>
      </c>
      <c r="R34" s="22">
        <f t="shared" ca="1" si="23"/>
        <v>0</v>
      </c>
      <c r="S34" s="22" t="str">
        <f t="shared" ca="1" si="24"/>
        <v xml:space="preserve"> </v>
      </c>
      <c r="T34" s="22" t="e">
        <f t="shared" ca="1" si="25"/>
        <v>#VALUE!</v>
      </c>
      <c r="U34" s="22">
        <f ca="1">IF(N35=1,R33*D11*20/36000+R34*D11*10/36000,IF(N35=0,IF(N34=0,0,R34*D11*Q12/36000+29*D11*20/36000+R34*D11*10/36000)))</f>
        <v>0</v>
      </c>
      <c r="V34" s="22">
        <f ca="1">IF(N35=1,R33*D11*20/36000+R34*D11*10/36000,IF(N35=0,IF(N34=0,0,R34*D11*Q12/36000+29*D11*20/36000+R34*D11*10/36000)))</f>
        <v>0</v>
      </c>
      <c r="W34" s="22">
        <f t="shared" ca="1" si="26"/>
        <v>0</v>
      </c>
      <c r="X34" s="22">
        <f t="shared" ca="1" si="27"/>
        <v>0</v>
      </c>
      <c r="Y34" s="22">
        <f t="shared" ca="1" si="4"/>
        <v>0</v>
      </c>
      <c r="Z34" s="22">
        <f ca="1">IF(N35=1,Y33*D$11*20/36000+Y34*D$11*10/36000,IF(N35=0,IF(N34=0,0,Y34*D$11*Q$12/36000+Y33*D$11*20/36000+Y34*D$11*10/36000)))</f>
        <v>0</v>
      </c>
      <c r="AA34" s="22">
        <f t="shared" ca="1" si="5"/>
        <v>0</v>
      </c>
      <c r="AB34" s="22">
        <f ca="1">IF(R35=0,R34*Q12,(R33*20+R34*10))</f>
        <v>0</v>
      </c>
      <c r="AC34" s="22">
        <f t="shared" ca="1" si="28"/>
        <v>0</v>
      </c>
      <c r="AD34" s="22">
        <f t="shared" ca="1" si="6"/>
        <v>0</v>
      </c>
      <c r="AE34" s="22">
        <f t="shared" ca="1" si="7"/>
        <v>0</v>
      </c>
      <c r="AF34" s="22">
        <f t="shared" ca="1" si="29"/>
        <v>0</v>
      </c>
      <c r="AG34" s="22">
        <f t="shared" ca="1" si="8"/>
        <v>0</v>
      </c>
      <c r="AH34" s="22">
        <f t="shared" ca="1" si="30"/>
        <v>0</v>
      </c>
      <c r="AI34" s="22">
        <f t="shared" ca="1" si="9"/>
        <v>0</v>
      </c>
      <c r="AJ34" s="22">
        <f t="shared" ca="1" si="10"/>
        <v>0</v>
      </c>
      <c r="AK34" s="22">
        <f ca="1">IF(N35=1,AJ33*G12*20/36000+AJ34*G12*10/36000,IF(N35=0,IF(N34=0,0,AJ34*G12*Q12/36000+29*G12*20/36000+AJ34*G12*10/36000)))</f>
        <v>0</v>
      </c>
      <c r="AL34" s="22">
        <f ca="1">IF(N35=1,AJ33*G12*20/36000+AJ34*G12*10/36000,IF(N35=0,IF(N34=0,0,AJ34*G12*Q12/36000+29*G12*20/36000+AJ34*G12*10/36000)))</f>
        <v>0</v>
      </c>
      <c r="AM34" s="69">
        <f t="shared" ca="1" si="31"/>
        <v>0</v>
      </c>
      <c r="AN34" s="69">
        <f t="shared" ca="1" si="11"/>
        <v>0</v>
      </c>
      <c r="AO34" s="4">
        <f t="shared" ca="1" si="32"/>
        <v>0</v>
      </c>
      <c r="AP34" s="4">
        <f t="shared" ca="1" si="12"/>
        <v>0</v>
      </c>
      <c r="AQ34" s="4">
        <f t="shared" ca="1" si="13"/>
        <v>0</v>
      </c>
      <c r="AR34" s="4">
        <f t="shared" ca="1" si="14"/>
        <v>30</v>
      </c>
      <c r="AS34" s="4">
        <f t="shared" si="15"/>
        <v>20</v>
      </c>
      <c r="AT34" s="4">
        <f t="shared" ca="1" si="33"/>
        <v>30</v>
      </c>
      <c r="AU34" s="4"/>
      <c r="AV34" s="4"/>
      <c r="AW34" s="4"/>
      <c r="AX34" s="4"/>
      <c r="AY34" s="4"/>
      <c r="AZ34" s="4">
        <f t="shared" ca="1" si="16"/>
        <v>0</v>
      </c>
      <c r="BA34" s="4"/>
      <c r="BB34" s="4"/>
      <c r="BC34" s="4"/>
      <c r="BD34" s="4"/>
      <c r="BE34" s="10"/>
      <c r="BF34" s="19"/>
      <c r="BG34" s="19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</row>
    <row r="35" spans="1:142" s="24" customFormat="1" ht="15" customHeight="1">
      <c r="A35" s="4">
        <f t="shared" si="17"/>
        <v>11</v>
      </c>
      <c r="B35" s="268" t="str">
        <f t="shared" ca="1" si="18"/>
        <v xml:space="preserve"> </v>
      </c>
      <c r="C35" s="401"/>
      <c r="D35" s="443" t="str">
        <f ca="1">IF(N35=0,IF(N34=1,D25+D26+D27+D28+D29+D30+D31+D32+D33+D34," "),IF(N35=0," ",IF(N36=1,D25,IF(N36=0,D10-D25*(M14-1)," "))))</f>
        <v xml:space="preserve"> </v>
      </c>
      <c r="E35" s="443"/>
      <c r="F35" s="84" t="str">
        <f ca="1">IF(N35=0,IF(N34=1,F25+F26+F27+F28+F29+F30+F31+F32+F33+F34," "),IF(M1=1,P35,IF(M1=2,Q35," ")))</f>
        <v xml:space="preserve"> </v>
      </c>
      <c r="G35" s="84">
        <v>0</v>
      </c>
      <c r="H35" s="84" t="str">
        <f t="shared" ca="1" si="19"/>
        <v xml:space="preserve"> </v>
      </c>
      <c r="I35" s="84">
        <f t="shared" ca="1" si="20"/>
        <v>0</v>
      </c>
      <c r="J35" s="84">
        <f t="shared" ca="1" si="0"/>
        <v>0</v>
      </c>
      <c r="K35" s="84">
        <v>0</v>
      </c>
      <c r="L35" s="84" t="str">
        <f t="shared" ca="1" si="21"/>
        <v xml:space="preserve"> </v>
      </c>
      <c r="M35" s="4">
        <f t="shared" si="22"/>
        <v>11</v>
      </c>
      <c r="N35" s="4">
        <f ca="1">IF(M1=1,IF(M14&gt;10,1,0),IF(M1=2,IF(M14&gt;10,1,0),0))</f>
        <v>0</v>
      </c>
      <c r="O35" s="4">
        <f t="shared" ca="1" si="1"/>
        <v>20</v>
      </c>
      <c r="P35" s="22">
        <f t="shared" ca="1" si="2"/>
        <v>0</v>
      </c>
      <c r="Q35" s="22">
        <f t="shared" ca="1" si="3"/>
        <v>0</v>
      </c>
      <c r="R35" s="22">
        <f t="shared" ca="1" si="23"/>
        <v>0</v>
      </c>
      <c r="S35" s="22" t="str">
        <f t="shared" ca="1" si="24"/>
        <v xml:space="preserve"> </v>
      </c>
      <c r="T35" s="22" t="e">
        <f t="shared" ca="1" si="25"/>
        <v>#VALUE!</v>
      </c>
      <c r="U35" s="22">
        <f ca="1">IF(N36=1,R34*D11*20/36000+R35*D11*10/36000,IF(N36=0,IF(N35=0,0,R35*D11*Q12/36000+R34*D11*20/36000+R35*D11*10/36000)))</f>
        <v>0</v>
      </c>
      <c r="V35" s="22">
        <f ca="1">IF(N36=1,R34*D11*20/36000+R35*D11*10/36000,IF(N36=0,IF(N35=0,0,R35*D11*Q12/36000+R34*D11*20/36000+R35*D11*10/36000)))</f>
        <v>0</v>
      </c>
      <c r="W35" s="22">
        <f t="shared" ca="1" si="26"/>
        <v>0</v>
      </c>
      <c r="X35" s="22">
        <f t="shared" ca="1" si="27"/>
        <v>0</v>
      </c>
      <c r="Y35" s="22">
        <f t="shared" ca="1" si="4"/>
        <v>0</v>
      </c>
      <c r="Z35" s="22">
        <f ca="1">IF(N36=1,Y34*D$11*20/36000+Y35*D$11*10/36000,IF(N36=0,IF(N35=0,0,Y35*D$11*Q$12/36000+Y34*D$11*20/36000+Y35*D$11*10/36000)))</f>
        <v>0</v>
      </c>
      <c r="AA35" s="22">
        <f t="shared" ca="1" si="5"/>
        <v>0</v>
      </c>
      <c r="AB35" s="22">
        <f ca="1">IF(R36=0,R35*Q12,(R34*20+R35*10))</f>
        <v>0</v>
      </c>
      <c r="AC35" s="22"/>
      <c r="AD35" s="22">
        <f t="shared" ca="1" si="6"/>
        <v>0</v>
      </c>
      <c r="AE35" s="22">
        <f t="shared" ca="1" si="7"/>
        <v>0</v>
      </c>
      <c r="AF35" s="22">
        <f t="shared" ca="1" si="29"/>
        <v>0</v>
      </c>
      <c r="AG35" s="22">
        <f t="shared" ca="1" si="8"/>
        <v>0</v>
      </c>
      <c r="AH35" s="22">
        <f t="shared" ca="1" si="30"/>
        <v>0</v>
      </c>
      <c r="AI35" s="22">
        <f t="shared" ca="1" si="9"/>
        <v>0</v>
      </c>
      <c r="AJ35" s="22">
        <f t="shared" ca="1" si="10"/>
        <v>0</v>
      </c>
      <c r="AK35" s="22">
        <f ca="1">IF(N36=1,AJ34*G12*20/36000+AJ35*G12*10/36000,IF(N36=0,IF(N35=0,0,AJ35*G12*Q12/36000+AJ34*G12*20/36000+AJ35*G12*10/36000)))</f>
        <v>0</v>
      </c>
      <c r="AL35" s="22">
        <f ca="1">IF(N36=1,AJ34*G12*20/36000+AJ35*G12*10/36000,IF(N36=0,IF(N35=0,0,AJ35*G12*Q12/36000+AJ34*G12*20/36000+AJ35*G12*10/36000)))</f>
        <v>0</v>
      </c>
      <c r="AM35" s="69">
        <f t="shared" ca="1" si="31"/>
        <v>0</v>
      </c>
      <c r="AN35" s="69">
        <f t="shared" ca="1" si="11"/>
        <v>0</v>
      </c>
      <c r="AO35" s="4">
        <f t="shared" ca="1" si="32"/>
        <v>0</v>
      </c>
      <c r="AP35" s="4">
        <f t="shared" ca="1" si="12"/>
        <v>0</v>
      </c>
      <c r="AQ35" s="4">
        <f t="shared" ca="1" si="13"/>
        <v>0</v>
      </c>
      <c r="AR35" s="4">
        <f t="shared" ca="1" si="14"/>
        <v>30</v>
      </c>
      <c r="AS35" s="4">
        <f t="shared" si="15"/>
        <v>20</v>
      </c>
      <c r="AT35" s="4">
        <f t="shared" ca="1" si="33"/>
        <v>30</v>
      </c>
      <c r="AU35" s="4"/>
      <c r="AV35" s="4"/>
      <c r="AW35" s="4"/>
      <c r="AX35" s="4"/>
      <c r="AY35" s="4"/>
      <c r="AZ35" s="4">
        <f t="shared" ca="1" si="16"/>
        <v>0</v>
      </c>
      <c r="BA35" s="4"/>
      <c r="BB35" s="4"/>
      <c r="BC35" s="4"/>
      <c r="BD35" s="4"/>
      <c r="BE35" s="10"/>
      <c r="BF35" s="19"/>
      <c r="BG35" s="19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</row>
    <row r="36" spans="1:142" s="24" customFormat="1" ht="15" customHeight="1">
      <c r="A36" s="4">
        <f t="shared" si="17"/>
        <v>12</v>
      </c>
      <c r="B36" s="268" t="str">
        <f t="shared" ca="1" si="18"/>
        <v xml:space="preserve"> </v>
      </c>
      <c r="C36" s="401"/>
      <c r="D36" s="443" t="str">
        <f ca="1">IF(N36=0,IF(N35=1,D25+D26+D27+D28+D29+D30+D31+D32+D33+D34+D35," "),IF(N36=0," ",IF(N37=1,D25,IF(N37=0,D10-D25*(M14-1)," "))))</f>
        <v xml:space="preserve"> </v>
      </c>
      <c r="E36" s="443"/>
      <c r="F36" s="84" t="str">
        <f ca="1">IF(N36=0,IF(N35=1,F25+F26+F27+F28+F29+F30+F31+F32+F33+F34+F35," "),IF(M1=1,P36,IF(M1=2,Q36," ")))</f>
        <v xml:space="preserve"> </v>
      </c>
      <c r="G36" s="84">
        <v>0</v>
      </c>
      <c r="H36" s="84" t="str">
        <f t="shared" ca="1" si="19"/>
        <v xml:space="preserve"> </v>
      </c>
      <c r="I36" s="84">
        <f t="shared" ca="1" si="20"/>
        <v>0</v>
      </c>
      <c r="J36" s="84">
        <f t="shared" ca="1" si="0"/>
        <v>0</v>
      </c>
      <c r="K36" s="84">
        <v>0</v>
      </c>
      <c r="L36" s="84" t="str">
        <f t="shared" ca="1" si="21"/>
        <v xml:space="preserve"> </v>
      </c>
      <c r="M36" s="4">
        <f t="shared" si="22"/>
        <v>12</v>
      </c>
      <c r="N36" s="4">
        <f ca="1">IF(M1=1,IF(M14&gt;11,1,0),IF(M1=2,IF(M14&gt;11,1,0),0))</f>
        <v>0</v>
      </c>
      <c r="O36" s="4">
        <f t="shared" ca="1" si="1"/>
        <v>20</v>
      </c>
      <c r="P36" s="22">
        <f t="shared" ca="1" si="2"/>
        <v>0</v>
      </c>
      <c r="Q36" s="22">
        <f t="shared" ca="1" si="3"/>
        <v>0</v>
      </c>
      <c r="R36" s="22">
        <f t="shared" ca="1" si="23"/>
        <v>0</v>
      </c>
      <c r="S36" s="22" t="str">
        <f t="shared" ca="1" si="24"/>
        <v xml:space="preserve"> </v>
      </c>
      <c r="T36" s="22" t="e">
        <f t="shared" ca="1" si="25"/>
        <v>#VALUE!</v>
      </c>
      <c r="U36" s="22">
        <f ca="1">IF(N37=1,R35*D11*20/36000+R36*D11*10/36000,IF(N37=0,IF(N36=0,0,R36*D11*Q12/36000+R35*D11*20/36000+R36*D11*10/36000)))</f>
        <v>0</v>
      </c>
      <c r="V36" s="22">
        <f ca="1">IF(N37=1,R35*D11*20/36000+R36*D11*10/36000,IF(N37=0,IF(N36=0,0,R36*D11*Q12/36000+R35*D11*20/36000+R36*D11*10/36000)))</f>
        <v>0</v>
      </c>
      <c r="W36" s="22">
        <f t="shared" ca="1" si="26"/>
        <v>0</v>
      </c>
      <c r="X36" s="22">
        <f t="shared" ca="1" si="27"/>
        <v>0</v>
      </c>
      <c r="Y36" s="22">
        <f t="shared" ca="1" si="4"/>
        <v>0</v>
      </c>
      <c r="Z36" s="22">
        <f ca="1">IF(N37=1,Y35*D$11*20/36000+Y36*D$11*10/36000,IF(N37=0,IF(N36=0,0,Y36*D$11*Q$12/36000+Y35*D$11*20/36000+Y36*D$11*10/36000)))</f>
        <v>0</v>
      </c>
      <c r="AA36" s="22">
        <f t="shared" ca="1" si="5"/>
        <v>0</v>
      </c>
      <c r="AB36" s="22">
        <f ca="1">IF(R37=0,R36*Q12,(R35*20+R36*10))</f>
        <v>0</v>
      </c>
      <c r="AC36" s="22"/>
      <c r="AD36" s="22">
        <f t="shared" ca="1" si="6"/>
        <v>0</v>
      </c>
      <c r="AE36" s="22">
        <f t="shared" ca="1" si="7"/>
        <v>0</v>
      </c>
      <c r="AF36" s="22">
        <f t="shared" ca="1" si="29"/>
        <v>0</v>
      </c>
      <c r="AG36" s="22">
        <f t="shared" ca="1" si="8"/>
        <v>0</v>
      </c>
      <c r="AH36" s="22">
        <f t="shared" ca="1" si="30"/>
        <v>0</v>
      </c>
      <c r="AI36" s="22">
        <f t="shared" ca="1" si="9"/>
        <v>0</v>
      </c>
      <c r="AJ36" s="22">
        <f t="shared" ca="1" si="10"/>
        <v>0</v>
      </c>
      <c r="AK36" s="22">
        <f ca="1">IF(N37=1,AJ35*G12*20/36000+AJ36*G12*10/36000,IF(N37=0,IF(N36=0,0,AJ36*G12*Q12/36000+AJ35*G12*20/36000+AJ36*G12*10/36000)))</f>
        <v>0</v>
      </c>
      <c r="AL36" s="22">
        <f ca="1">IF(N37=1,AJ35*G12*20/36000+AJ36*G12*10/36000,IF(N37=0,IF(N36=0,0,AJ36*G12*Q12/36000+AJ35*G12*20/36000+AJ36*G12*10/36000)))</f>
        <v>0</v>
      </c>
      <c r="AM36" s="69">
        <f t="shared" ca="1" si="31"/>
        <v>0</v>
      </c>
      <c r="AN36" s="69">
        <f t="shared" ca="1" si="11"/>
        <v>0</v>
      </c>
      <c r="AO36" s="4">
        <f t="shared" ca="1" si="32"/>
        <v>0</v>
      </c>
      <c r="AP36" s="4">
        <f t="shared" ca="1" si="12"/>
        <v>0</v>
      </c>
      <c r="AQ36" s="4">
        <f t="shared" ca="1" si="13"/>
        <v>0</v>
      </c>
      <c r="AR36" s="4">
        <f t="shared" ca="1" si="14"/>
        <v>30</v>
      </c>
      <c r="AS36" s="4">
        <f t="shared" si="15"/>
        <v>20</v>
      </c>
      <c r="AT36" s="4">
        <f t="shared" ca="1" si="33"/>
        <v>30</v>
      </c>
      <c r="AU36" s="4"/>
      <c r="AV36" s="4"/>
      <c r="AW36" s="4"/>
      <c r="AX36" s="4"/>
      <c r="AY36" s="4"/>
      <c r="AZ36" s="4">
        <f t="shared" ca="1" si="16"/>
        <v>0</v>
      </c>
      <c r="BA36" s="4"/>
      <c r="BB36" s="4"/>
      <c r="BC36" s="4"/>
      <c r="BD36" s="4"/>
      <c r="BE36" s="10"/>
      <c r="BF36" s="19"/>
      <c r="BG36" s="19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</row>
    <row r="37" spans="1:142" s="24" customFormat="1" ht="15" customHeight="1">
      <c r="A37" s="19">
        <f t="shared" si="17"/>
        <v>13</v>
      </c>
      <c r="B37" s="268" t="str">
        <f t="shared" ca="1" si="18"/>
        <v xml:space="preserve"> </v>
      </c>
      <c r="C37" s="401"/>
      <c r="D37" s="443" t="str">
        <f ca="1">IF(N37=0,IF(N36=1,D25+D26+D27+D28+D29+D30+D31+D32+D33+D34+D35+D36," "),IF(N37=0," ",IF(N38=1,D25,IF(N38=0,D10-D25*(M14-1)," "))))</f>
        <v xml:space="preserve"> </v>
      </c>
      <c r="E37" s="443"/>
      <c r="F37" s="84" t="str">
        <f ca="1">IF(N37=0,IF(N36=1,F25+F26+F27+F28+F29+F30+F31+F32+F33+F34+F35+F36," "),IF(M1=1,P37,IF(M1=2,Q37," ")))</f>
        <v xml:space="preserve"> </v>
      </c>
      <c r="G37" s="84">
        <v>0</v>
      </c>
      <c r="H37" s="84" t="str">
        <f t="shared" ca="1" si="19"/>
        <v xml:space="preserve"> </v>
      </c>
      <c r="I37" s="84">
        <f t="shared" ca="1" si="20"/>
        <v>0</v>
      </c>
      <c r="J37" s="84">
        <f t="shared" ca="1" si="0"/>
        <v>0</v>
      </c>
      <c r="K37" s="84">
        <v>0</v>
      </c>
      <c r="L37" s="84" t="str">
        <f t="shared" ca="1" si="21"/>
        <v xml:space="preserve"> </v>
      </c>
      <c r="M37" s="4">
        <f t="shared" si="22"/>
        <v>13</v>
      </c>
      <c r="N37" s="4">
        <f ca="1">IF(M1=1,IF(M14&gt;12,1,0),IF(M1=2,IF(M14&gt;12,1,0),0))</f>
        <v>0</v>
      </c>
      <c r="O37" s="4">
        <f t="shared" ca="1" si="1"/>
        <v>20</v>
      </c>
      <c r="P37" s="22">
        <f t="shared" ca="1" si="2"/>
        <v>0</v>
      </c>
      <c r="Q37" s="22">
        <f t="shared" ca="1" si="3"/>
        <v>0</v>
      </c>
      <c r="R37" s="22">
        <f t="shared" ca="1" si="23"/>
        <v>0</v>
      </c>
      <c r="S37" s="22" t="str">
        <f t="shared" ca="1" si="24"/>
        <v xml:space="preserve"> </v>
      </c>
      <c r="T37" s="22" t="e">
        <f t="shared" ca="1" si="25"/>
        <v>#VALUE!</v>
      </c>
      <c r="U37" s="22">
        <f ca="1">IF(N38=1,R36*D$11*20/36000+R37*D$11*10/36000,IF(N38=0,IF(N37=0,0,IF(D16&gt;20,R36*D$11*20/36000+R37*D$11*(Q$12-20)/36000,R37*D$11*Q$12/36000))))</f>
        <v>0</v>
      </c>
      <c r="V37" s="22">
        <f ca="1">IF(N38=1,R36*D$11*20/36000+R37*D$11*10/36000,IF(N38=0,IF(N37=0,0,IF(D16&gt;20,R36*D$11*20/36000+R37*D$11*(Q$12-20)/36000,R37*D$11*Q$12/36000))))</f>
        <v>0</v>
      </c>
      <c r="W37" s="22">
        <f t="shared" ca="1" si="26"/>
        <v>0</v>
      </c>
      <c r="X37" s="22">
        <f t="shared" ca="1" si="27"/>
        <v>0</v>
      </c>
      <c r="Y37" s="22">
        <f t="shared" ca="1" si="4"/>
        <v>0</v>
      </c>
      <c r="Z37" s="22">
        <f ca="1">IF(N38=1,Y36*D$11*20/36000+Y37*D$11*10/36000,IF(N38=0,IF(N37=0,0,IF(D$16&gt;20,Y36*D$11*20/36000+Y37*D$11*(Q$12-20)/36000,Y37*D$11*Q$12/36000))))</f>
        <v>0</v>
      </c>
      <c r="AA37" s="22">
        <f t="shared" ca="1" si="5"/>
        <v>0</v>
      </c>
      <c r="AB37" s="22">
        <f ca="1">IF(R38=0,R37*Q12,(R36*20+R37*10))</f>
        <v>0</v>
      </c>
      <c r="AC37" s="22"/>
      <c r="AD37" s="22">
        <f t="shared" ca="1" si="6"/>
        <v>0</v>
      </c>
      <c r="AE37" s="22">
        <f t="shared" ca="1" si="7"/>
        <v>0</v>
      </c>
      <c r="AF37" s="22">
        <f t="shared" ca="1" si="29"/>
        <v>0</v>
      </c>
      <c r="AG37" s="22">
        <f t="shared" ca="1" si="8"/>
        <v>0</v>
      </c>
      <c r="AH37" s="22">
        <f t="shared" ca="1" si="30"/>
        <v>0</v>
      </c>
      <c r="AI37" s="22">
        <f t="shared" ca="1" si="9"/>
        <v>0</v>
      </c>
      <c r="AJ37" s="22">
        <f t="shared" ca="1" si="10"/>
        <v>0</v>
      </c>
      <c r="AK37" s="22">
        <f ca="1">IF(N38=1,AJ36*G12*20/36000+AJ37*G12*10/36000,IF(N38=0,IF(N37=0,0,AJ37*G12*Q12/36000)))</f>
        <v>0</v>
      </c>
      <c r="AL37" s="22">
        <f ca="1">IF(N38=1,AJ36*G12*20/36000+AJ37*G12*10/36000,IF(N38=0,IF(N37=0,0,AJ37*G12*Q12/36000)))</f>
        <v>0</v>
      </c>
      <c r="AM37" s="69">
        <f t="shared" ca="1" si="31"/>
        <v>0</v>
      </c>
      <c r="AN37" s="69">
        <f t="shared" ca="1" si="11"/>
        <v>0</v>
      </c>
      <c r="AO37" s="4">
        <f t="shared" ca="1" si="32"/>
        <v>0</v>
      </c>
      <c r="AP37" s="4">
        <f t="shared" ca="1" si="12"/>
        <v>0</v>
      </c>
      <c r="AQ37" s="4">
        <f t="shared" ca="1" si="13"/>
        <v>0</v>
      </c>
      <c r="AR37" s="4">
        <f t="shared" ca="1" si="14"/>
        <v>30</v>
      </c>
      <c r="AS37" s="4">
        <f t="shared" si="15"/>
        <v>20</v>
      </c>
      <c r="AT37" s="4">
        <f t="shared" ca="1" si="33"/>
        <v>30</v>
      </c>
      <c r="AU37" s="4"/>
      <c r="AV37" s="4"/>
      <c r="AW37" s="4"/>
      <c r="AX37" s="4"/>
      <c r="AY37" s="4"/>
      <c r="AZ37" s="4">
        <f t="shared" ca="1" si="16"/>
        <v>0</v>
      </c>
      <c r="BA37" s="4"/>
      <c r="BB37" s="4"/>
      <c r="BC37" s="4"/>
      <c r="BD37" s="4"/>
      <c r="BE37" s="10"/>
      <c r="BF37" s="19"/>
      <c r="BG37" s="19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</row>
    <row r="38" spans="1:142" s="24" customFormat="1" ht="15" customHeight="1">
      <c r="A38" s="4">
        <f t="shared" si="17"/>
        <v>14</v>
      </c>
      <c r="B38" s="268" t="str">
        <f t="shared" ca="1" si="18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9"/>
        <v xml:space="preserve"> </v>
      </c>
      <c r="I38" s="84">
        <f t="shared" ca="1" si="20"/>
        <v>0</v>
      </c>
      <c r="J38" s="84">
        <f t="shared" ca="1" si="0"/>
        <v>0</v>
      </c>
      <c r="K38" s="84">
        <v>0</v>
      </c>
      <c r="L38" s="84" t="str">
        <f t="shared" ca="1" si="21"/>
        <v xml:space="preserve"> </v>
      </c>
      <c r="M38" s="4">
        <f t="shared" si="22"/>
        <v>14</v>
      </c>
      <c r="N38" s="4">
        <f ca="1">IF(M1=1,IF(M14&gt;13,1,0),IF(M1=2,IF(M14&gt;13,1,0),0))</f>
        <v>0</v>
      </c>
      <c r="O38" s="4">
        <f t="shared" ca="1" si="1"/>
        <v>20</v>
      </c>
      <c r="P38" s="22">
        <f t="shared" ca="1" si="2"/>
        <v>0</v>
      </c>
      <c r="Q38" s="22">
        <f t="shared" ca="1" si="3"/>
        <v>0</v>
      </c>
      <c r="R38" s="22">
        <f t="shared" ca="1" si="23"/>
        <v>0</v>
      </c>
      <c r="S38" s="22" t="str">
        <f t="shared" ca="1" si="24"/>
        <v xml:space="preserve"> </v>
      </c>
      <c r="T38" s="22" t="e">
        <f t="shared" ca="1" si="25"/>
        <v>#VALUE!</v>
      </c>
      <c r="U38" s="22">
        <f ca="1">IF(N39=1,R37*D11*20/36000+R38*D11*10/36000,IF(N39=0,IF(N38=0,0,R38*D11*Q12/36000+R37*D11*20/36000+R38*D11*10/36000)))</f>
        <v>0</v>
      </c>
      <c r="V38" s="22">
        <f ca="1">IF(N39=1,R37*D11*20/36000+R38*D11*10/36000,IF(N39=0,IF(N38=0,0,R38*D11*Q12/36000+R37*D11*20/36000+R38*D11*10/36000)))</f>
        <v>0</v>
      </c>
      <c r="W38" s="22">
        <f t="shared" ca="1" si="26"/>
        <v>0</v>
      </c>
      <c r="X38" s="22">
        <f t="shared" ca="1" si="27"/>
        <v>0</v>
      </c>
      <c r="Y38" s="22">
        <f t="shared" ca="1" si="4"/>
        <v>0</v>
      </c>
      <c r="Z38" s="22">
        <f ca="1">IF(N39=1,Y37*D$11*20/36000+Y38*D$11*10/36000,IF(N39=0,IF(N38=0,0,Y38*D$11*Q$12/36000+Y37*D$11*20/36000+Y38*D$11*10/36000)))</f>
        <v>0</v>
      </c>
      <c r="AA38" s="22">
        <f t="shared" ca="1" si="5"/>
        <v>0</v>
      </c>
      <c r="AB38" s="22">
        <f ca="1">IF(R39=0,R38*Q12,(R37*20+R38*10))</f>
        <v>0</v>
      </c>
      <c r="AC38" s="22"/>
      <c r="AD38" s="22">
        <f t="shared" ca="1" si="6"/>
        <v>0</v>
      </c>
      <c r="AE38" s="22">
        <f t="shared" ca="1" si="7"/>
        <v>0</v>
      </c>
      <c r="AF38" s="22">
        <f t="shared" ca="1" si="29"/>
        <v>0</v>
      </c>
      <c r="AG38" s="22">
        <f t="shared" ca="1" si="8"/>
        <v>0</v>
      </c>
      <c r="AH38" s="22">
        <f t="shared" ca="1" si="30"/>
        <v>0</v>
      </c>
      <c r="AI38" s="22">
        <f t="shared" ca="1" si="9"/>
        <v>0</v>
      </c>
      <c r="AJ38" s="22">
        <f t="shared" ca="1" si="10"/>
        <v>0</v>
      </c>
      <c r="AK38" s="22">
        <f ca="1">IF(N39=1,AJ37*G12*20/36000+AJ38*G12*10/36000,IF(N39=0,IF(N38=0,0,AJ38*G12*Q12/36000+AJ37*G12*20/36000+AJ38*G12*10/36000)))</f>
        <v>0</v>
      </c>
      <c r="AL38" s="22">
        <f ca="1">IF(N39=1,AJ37*G12*20/36000+AJ38*G12*10/36000,IF(N39=0,IF(N38=0,0,AJ38*G12*Q12/36000+AJ37*G12*20/36000+AJ38*G12*10/36000)))</f>
        <v>0</v>
      </c>
      <c r="AM38" s="69">
        <f t="shared" ca="1" si="31"/>
        <v>0</v>
      </c>
      <c r="AN38" s="69">
        <f t="shared" ca="1" si="11"/>
        <v>0</v>
      </c>
      <c r="AO38" s="4">
        <f t="shared" ca="1" si="32"/>
        <v>0</v>
      </c>
      <c r="AP38" s="4">
        <f t="shared" ca="1" si="12"/>
        <v>0</v>
      </c>
      <c r="AQ38" s="4">
        <f t="shared" ca="1" si="13"/>
        <v>0</v>
      </c>
      <c r="AR38" s="4">
        <f t="shared" ca="1" si="14"/>
        <v>30</v>
      </c>
      <c r="AS38" s="4">
        <f t="shared" si="15"/>
        <v>20</v>
      </c>
      <c r="AT38" s="4">
        <f t="shared" ca="1" si="33"/>
        <v>30</v>
      </c>
      <c r="AU38" s="4"/>
      <c r="AV38" s="4"/>
      <c r="AW38" s="4"/>
      <c r="AX38" s="4"/>
      <c r="AY38" s="4"/>
      <c r="AZ38" s="4">
        <f t="shared" ca="1" si="16"/>
        <v>0</v>
      </c>
      <c r="BA38" s="4"/>
      <c r="BB38" s="4"/>
      <c r="BC38" s="4"/>
      <c r="BD38" s="4"/>
      <c r="BE38" s="10"/>
      <c r="BF38" s="19"/>
      <c r="BG38" s="19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</row>
    <row r="39" spans="1:142" s="24" customFormat="1" ht="15" customHeight="1">
      <c r="A39" s="4">
        <f t="shared" si="17"/>
        <v>15</v>
      </c>
      <c r="B39" s="268" t="str">
        <f t="shared" ca="1" si="18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9"/>
        <v xml:space="preserve"> </v>
      </c>
      <c r="I39" s="84">
        <f t="shared" ca="1" si="20"/>
        <v>0</v>
      </c>
      <c r="J39" s="84">
        <f t="shared" ca="1" si="0"/>
        <v>0</v>
      </c>
      <c r="K39" s="84">
        <v>0</v>
      </c>
      <c r="L39" s="84" t="str">
        <f t="shared" ca="1" si="21"/>
        <v xml:space="preserve"> </v>
      </c>
      <c r="M39" s="4">
        <f t="shared" si="22"/>
        <v>15</v>
      </c>
      <c r="N39" s="4">
        <f ca="1">IF(M1=1,IF(M14&gt;14,1,0),IF(M1=2,IF(M14&gt;14,1,0),0))</f>
        <v>0</v>
      </c>
      <c r="O39" s="4">
        <f t="shared" ca="1" si="1"/>
        <v>20</v>
      </c>
      <c r="P39" s="22">
        <f t="shared" ca="1" si="2"/>
        <v>0</v>
      </c>
      <c r="Q39" s="22">
        <f t="shared" ca="1" si="3"/>
        <v>0</v>
      </c>
      <c r="R39" s="22">
        <f t="shared" ca="1" si="23"/>
        <v>0</v>
      </c>
      <c r="S39" s="22" t="str">
        <f t="shared" ca="1" si="24"/>
        <v xml:space="preserve"> </v>
      </c>
      <c r="T39" s="22" t="e">
        <f t="shared" ca="1" si="25"/>
        <v>#VALUE!</v>
      </c>
      <c r="U39" s="22">
        <f ca="1">IF(N40=1,R38*D11*20/36000+R39*D11*10/36000,IF(N40=0,IF(N39=0,0,R39*D11*Q12/36000+R38*D11*20/36000+R39*D11*10/36000)))</f>
        <v>0</v>
      </c>
      <c r="V39" s="22">
        <f ca="1">IF(N40=1,R38*D11*20/36000+R39*D11*10/36000,IF(N40=0,IF(N39=0,0,R39*D11*Q12/36000+R38*D11*20/36000+R39*D11*10/36000)))</f>
        <v>0</v>
      </c>
      <c r="W39" s="22">
        <f t="shared" ca="1" si="26"/>
        <v>0</v>
      </c>
      <c r="X39" s="22">
        <f t="shared" ca="1" si="27"/>
        <v>0</v>
      </c>
      <c r="Y39" s="22">
        <f t="shared" ca="1" si="4"/>
        <v>0</v>
      </c>
      <c r="Z39" s="22">
        <f ca="1">IF(N40=1,Y38*D$11*20/36000+Y39*D$11*10/36000,IF(N40=0,IF(N39=0,0,Y39*D$11*Q$12/36000+Y38*D$11*20/36000+Y39*D$11*10/36000)))</f>
        <v>0</v>
      </c>
      <c r="AA39" s="22">
        <f t="shared" ca="1" si="5"/>
        <v>0</v>
      </c>
      <c r="AB39" s="22">
        <f ca="1">IF(R40=0,R39*Q12,(R38*20+R39*10))</f>
        <v>0</v>
      </c>
      <c r="AC39" s="22"/>
      <c r="AD39" s="22">
        <f t="shared" ca="1" si="6"/>
        <v>0</v>
      </c>
      <c r="AE39" s="22">
        <f t="shared" ca="1" si="7"/>
        <v>0</v>
      </c>
      <c r="AF39" s="22">
        <f t="shared" ca="1" si="29"/>
        <v>0</v>
      </c>
      <c r="AG39" s="22">
        <f t="shared" ca="1" si="8"/>
        <v>0</v>
      </c>
      <c r="AH39" s="22">
        <f t="shared" ca="1" si="30"/>
        <v>0</v>
      </c>
      <c r="AI39" s="22">
        <f t="shared" ca="1" si="9"/>
        <v>0</v>
      </c>
      <c r="AJ39" s="22">
        <f t="shared" ca="1" si="10"/>
        <v>0</v>
      </c>
      <c r="AK39" s="22">
        <f ca="1">IF(N40=1,AJ38*G12*20/36000+AJ39*G12*10/36000,IF(N40=0,IF(N39=0,0,AJ39*G12*Q12/36000+AJ38*G12*20/36000+AJ39*G12*10/36000)))</f>
        <v>0</v>
      </c>
      <c r="AL39" s="22">
        <f ca="1">IF(N40=1,AJ38*G12*20/36000+AJ39*G12*10/36000,IF(N40=0,IF(N39=0,0,AJ39*G12*Q12/36000+AJ38*G12*20/36000+AJ39*G12*10/36000)))</f>
        <v>0</v>
      </c>
      <c r="AM39" s="69">
        <f t="shared" ca="1" si="31"/>
        <v>0</v>
      </c>
      <c r="AN39" s="69">
        <f t="shared" ca="1" si="11"/>
        <v>0</v>
      </c>
      <c r="AO39" s="4">
        <f t="shared" ca="1" si="32"/>
        <v>0</v>
      </c>
      <c r="AP39" s="4">
        <f t="shared" ca="1" si="12"/>
        <v>0</v>
      </c>
      <c r="AQ39" s="4">
        <f t="shared" ca="1" si="13"/>
        <v>0</v>
      </c>
      <c r="AR39" s="4">
        <f t="shared" ca="1" si="14"/>
        <v>30</v>
      </c>
      <c r="AS39" s="4">
        <f t="shared" si="15"/>
        <v>20</v>
      </c>
      <c r="AT39" s="4">
        <f t="shared" ca="1" si="33"/>
        <v>30</v>
      </c>
      <c r="AU39" s="4"/>
      <c r="AV39" s="4"/>
      <c r="AW39" s="4"/>
      <c r="AX39" s="4"/>
      <c r="AY39" s="4"/>
      <c r="AZ39" s="4">
        <f t="shared" ca="1" si="16"/>
        <v>0</v>
      </c>
      <c r="BA39" s="4"/>
      <c r="BB39" s="4"/>
      <c r="BC39" s="4"/>
      <c r="BD39" s="4"/>
      <c r="BE39" s="10"/>
      <c r="BF39" s="19"/>
      <c r="BG39" s="19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</row>
    <row r="40" spans="1:142" s="24" customFormat="1" ht="15" customHeight="1">
      <c r="A40" s="4">
        <f t="shared" si="17"/>
        <v>16</v>
      </c>
      <c r="B40" s="268" t="str">
        <f t="shared" ca="1" si="18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9"/>
        <v xml:space="preserve"> </v>
      </c>
      <c r="I40" s="84">
        <f t="shared" ca="1" si="20"/>
        <v>0</v>
      </c>
      <c r="J40" s="84">
        <f t="shared" ca="1" si="0"/>
        <v>0</v>
      </c>
      <c r="K40" s="84">
        <v>0</v>
      </c>
      <c r="L40" s="84" t="str">
        <f t="shared" ca="1" si="21"/>
        <v xml:space="preserve"> </v>
      </c>
      <c r="M40" s="4">
        <f t="shared" si="22"/>
        <v>16</v>
      </c>
      <c r="N40" s="4">
        <f ca="1">IF(M1=1,IF(M14&gt;15,1,0),IF(M1=2,IF(M14&gt;15,1,0),0))</f>
        <v>0</v>
      </c>
      <c r="O40" s="4">
        <f t="shared" ca="1" si="1"/>
        <v>20</v>
      </c>
      <c r="P40" s="22">
        <f t="shared" ca="1" si="2"/>
        <v>0</v>
      </c>
      <c r="Q40" s="22">
        <f t="shared" ca="1" si="3"/>
        <v>0</v>
      </c>
      <c r="R40" s="22">
        <f t="shared" ca="1" si="23"/>
        <v>0</v>
      </c>
      <c r="S40" s="22" t="str">
        <f t="shared" ca="1" si="24"/>
        <v xml:space="preserve"> </v>
      </c>
      <c r="T40" s="22" t="e">
        <f t="shared" ca="1" si="25"/>
        <v>#VALUE!</v>
      </c>
      <c r="U40" s="22">
        <f ca="1">IF(N41=1,R39*D11*20/36000+R40*D11*10/36000,IF(N41=0,IF(N40=0,0,R40*D11*Q12/36000+R39*D11*20/36000+R40*D11*10/36000)))</f>
        <v>0</v>
      </c>
      <c r="V40" s="22">
        <f ca="1">IF(N41=1,R39*D11*20/36000+R40*D11*10/36000,IF(N41=0,IF(N40=0,0,R40*D11*Q12/36000+R39*D11*20/36000+R40*D11*10/36000)))</f>
        <v>0</v>
      </c>
      <c r="W40" s="22">
        <f t="shared" ca="1" si="26"/>
        <v>0</v>
      </c>
      <c r="X40" s="22">
        <f t="shared" ca="1" si="27"/>
        <v>0</v>
      </c>
      <c r="Y40" s="22">
        <f t="shared" ca="1" si="4"/>
        <v>0</v>
      </c>
      <c r="Z40" s="22">
        <f ca="1">IF(N41=1,Y39*D$11*20/36000+Y40*D$11*10/36000,IF(N41=0,IF(N40=0,0,Y40*D$11*Q$12/36000+Y39*D$11*20/36000+Y40*D$11*10/36000)))</f>
        <v>0</v>
      </c>
      <c r="AA40" s="22">
        <f t="shared" ca="1" si="5"/>
        <v>0</v>
      </c>
      <c r="AB40" s="22">
        <f ca="1">IF(R41=0,R40*Q12,(R39*20+R40*10))</f>
        <v>0</v>
      </c>
      <c r="AC40" s="22"/>
      <c r="AD40" s="22">
        <f t="shared" ca="1" si="6"/>
        <v>0</v>
      </c>
      <c r="AE40" s="22">
        <f t="shared" ca="1" si="7"/>
        <v>0</v>
      </c>
      <c r="AF40" s="22">
        <f t="shared" ca="1" si="29"/>
        <v>0</v>
      </c>
      <c r="AG40" s="22">
        <f t="shared" ca="1" si="8"/>
        <v>0</v>
      </c>
      <c r="AH40" s="22">
        <f t="shared" ca="1" si="30"/>
        <v>0</v>
      </c>
      <c r="AI40" s="22">
        <f t="shared" ca="1" si="9"/>
        <v>0</v>
      </c>
      <c r="AJ40" s="22">
        <f t="shared" ca="1" si="10"/>
        <v>0</v>
      </c>
      <c r="AK40" s="22">
        <f ca="1">IF(N41=1,AJ39*G12*20/36000+AJ40*G12*10/36000,IF(N41=0,IF(N40=0,0,AJ40*G12*Q12/36000+AJ39*G12*20/36000+AJ40*G12*10/36000)))</f>
        <v>0</v>
      </c>
      <c r="AL40" s="22">
        <f ca="1">IF(N41=1,AJ39*G12*20/36000+AJ40*G12*10/36000,IF(N41=0,IF(N40=0,0,AJ40*G12*Q12/36000+AJ39*G12*20/36000+AJ40*G12*10/36000)))</f>
        <v>0</v>
      </c>
      <c r="AM40" s="69">
        <f t="shared" ca="1" si="31"/>
        <v>0</v>
      </c>
      <c r="AN40" s="69">
        <f t="shared" ca="1" si="11"/>
        <v>0</v>
      </c>
      <c r="AO40" s="4">
        <f t="shared" ca="1" si="32"/>
        <v>0</v>
      </c>
      <c r="AP40" s="4">
        <f t="shared" ca="1" si="12"/>
        <v>0</v>
      </c>
      <c r="AQ40" s="4">
        <f t="shared" ca="1" si="13"/>
        <v>0</v>
      </c>
      <c r="AR40" s="4">
        <f t="shared" ca="1" si="14"/>
        <v>30</v>
      </c>
      <c r="AS40" s="4">
        <f t="shared" si="15"/>
        <v>20</v>
      </c>
      <c r="AT40" s="4">
        <f t="shared" ca="1" si="33"/>
        <v>30</v>
      </c>
      <c r="AU40" s="4"/>
      <c r="AV40" s="4"/>
      <c r="AW40" s="4"/>
      <c r="AX40" s="4"/>
      <c r="AY40" s="4"/>
      <c r="AZ40" s="4">
        <f t="shared" ca="1" si="16"/>
        <v>0</v>
      </c>
      <c r="BA40" s="4"/>
      <c r="BB40" s="4"/>
      <c r="BC40" s="4"/>
      <c r="BD40" s="4"/>
      <c r="BE40" s="10"/>
      <c r="BF40" s="19"/>
      <c r="BG40" s="19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</row>
    <row r="41" spans="1:142" s="24" customFormat="1" ht="15" customHeight="1">
      <c r="A41" s="4">
        <f t="shared" si="17"/>
        <v>17</v>
      </c>
      <c r="B41" s="268" t="str">
        <f t="shared" ca="1" si="18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9"/>
        <v xml:space="preserve"> </v>
      </c>
      <c r="I41" s="84">
        <f t="shared" ca="1" si="20"/>
        <v>0</v>
      </c>
      <c r="J41" s="84">
        <f t="shared" ca="1" si="0"/>
        <v>0</v>
      </c>
      <c r="K41" s="84">
        <v>0</v>
      </c>
      <c r="L41" s="84" t="str">
        <f t="shared" ca="1" si="21"/>
        <v xml:space="preserve"> </v>
      </c>
      <c r="M41" s="4">
        <f t="shared" si="22"/>
        <v>17</v>
      </c>
      <c r="N41" s="4">
        <f ca="1">IF(M1=1,IF(M14&gt;16,1,0),IF(M1=2,IF(M14&gt;16,1,0),0))</f>
        <v>0</v>
      </c>
      <c r="O41" s="4">
        <f t="shared" ca="1" si="1"/>
        <v>20</v>
      </c>
      <c r="P41" s="22">
        <f t="shared" ca="1" si="2"/>
        <v>0</v>
      </c>
      <c r="Q41" s="22">
        <f t="shared" ca="1" si="3"/>
        <v>0</v>
      </c>
      <c r="R41" s="22">
        <f t="shared" ca="1" si="23"/>
        <v>0</v>
      </c>
      <c r="S41" s="22" t="str">
        <f t="shared" ca="1" si="24"/>
        <v xml:space="preserve"> </v>
      </c>
      <c r="T41" s="22" t="e">
        <f t="shared" ca="1" si="25"/>
        <v>#VALUE!</v>
      </c>
      <c r="U41" s="22">
        <f ca="1">IF(N42=1,R40*D11*20/36000+R41*D11*10/36000,IF(N42=0,IF(N41=0,0,R41*D11*Q12/36000+R40*D11*20/36000+R41*D11*10/36000)))</f>
        <v>0</v>
      </c>
      <c r="V41" s="22">
        <f ca="1">IF(N42=1,R40*D11*20/36000+R41*D11*10/36000,IF(N42=0,IF(N41=0,0,R41*D11*Q12/36000+R40*D11*20/36000+R41*D11*10/36000)))</f>
        <v>0</v>
      </c>
      <c r="W41" s="22">
        <f t="shared" ca="1" si="26"/>
        <v>0</v>
      </c>
      <c r="X41" s="22">
        <f t="shared" ca="1" si="27"/>
        <v>0</v>
      </c>
      <c r="Y41" s="22">
        <f t="shared" ca="1" si="4"/>
        <v>0</v>
      </c>
      <c r="Z41" s="22">
        <f ca="1">IF(N42=1,Y40*D$11*20/36000+Y41*D$11*10/36000,IF(N42=0,IF(N41=0,0,Y41*D$11*Q$12/36000+Y40*D$11*20/36000+Y41*D$11*10/36000)))</f>
        <v>0</v>
      </c>
      <c r="AA41" s="22">
        <f t="shared" ca="1" si="5"/>
        <v>0</v>
      </c>
      <c r="AB41" s="22">
        <f ca="1">IF(R42=0,R41*Q12,(R40*20+R41*10))</f>
        <v>0</v>
      </c>
      <c r="AC41" s="22"/>
      <c r="AD41" s="22">
        <f t="shared" ca="1" si="6"/>
        <v>0</v>
      </c>
      <c r="AE41" s="22">
        <f t="shared" ca="1" si="7"/>
        <v>0</v>
      </c>
      <c r="AF41" s="22">
        <f t="shared" ca="1" si="29"/>
        <v>0</v>
      </c>
      <c r="AG41" s="22">
        <f t="shared" ca="1" si="8"/>
        <v>0</v>
      </c>
      <c r="AH41" s="22">
        <f t="shared" ca="1" si="30"/>
        <v>0</v>
      </c>
      <c r="AI41" s="22">
        <f t="shared" ca="1" si="9"/>
        <v>0</v>
      </c>
      <c r="AJ41" s="22">
        <f t="shared" ca="1" si="10"/>
        <v>0</v>
      </c>
      <c r="AK41" s="22">
        <f ca="1">IF(N42=1,AJ40*G12*20/36000+AJ41*G12*10/36000,IF(N42=0,IF(N41=0,0,AJ41*G12*Q12/36000+AJ40*G12*20/36000+AJ41*G12*10/36000)))</f>
        <v>0</v>
      </c>
      <c r="AL41" s="22">
        <f ca="1">IF(N42=1,AJ40*G12*20/36000+AJ41*G12*10/36000,IF(N42=0,IF(N41=0,0,AJ41*G12*Q12/36000+AJ40*G12*20/36000+AJ41*G12*10/36000)))</f>
        <v>0</v>
      </c>
      <c r="AM41" s="69">
        <f t="shared" ca="1" si="31"/>
        <v>0</v>
      </c>
      <c r="AN41" s="69">
        <f t="shared" ca="1" si="11"/>
        <v>0</v>
      </c>
      <c r="AO41" s="4">
        <f t="shared" ca="1" si="32"/>
        <v>0</v>
      </c>
      <c r="AP41" s="4">
        <f t="shared" ca="1" si="12"/>
        <v>0</v>
      </c>
      <c r="AQ41" s="4">
        <f t="shared" ca="1" si="13"/>
        <v>0</v>
      </c>
      <c r="AR41" s="4">
        <f t="shared" ca="1" si="14"/>
        <v>30</v>
      </c>
      <c r="AS41" s="4">
        <f t="shared" si="15"/>
        <v>20</v>
      </c>
      <c r="AT41" s="4">
        <f t="shared" ca="1" si="33"/>
        <v>30</v>
      </c>
      <c r="AU41" s="4"/>
      <c r="AV41" s="4"/>
      <c r="AW41" s="4"/>
      <c r="AX41" s="4"/>
      <c r="AY41" s="4"/>
      <c r="AZ41" s="4">
        <f t="shared" ca="1" si="16"/>
        <v>0</v>
      </c>
      <c r="BA41" s="4"/>
      <c r="BB41" s="4"/>
      <c r="BC41" s="4"/>
      <c r="BD41" s="4"/>
      <c r="BE41" s="10"/>
      <c r="BF41" s="19"/>
      <c r="BG41" s="19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</row>
    <row r="42" spans="1:142" s="24" customFormat="1" ht="15" customHeight="1">
      <c r="A42" s="4">
        <f t="shared" si="17"/>
        <v>18</v>
      </c>
      <c r="B42" s="268" t="str">
        <f t="shared" ca="1" si="18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9"/>
        <v xml:space="preserve"> </v>
      </c>
      <c r="I42" s="84">
        <f t="shared" ca="1" si="20"/>
        <v>0</v>
      </c>
      <c r="J42" s="84">
        <f t="shared" ca="1" si="0"/>
        <v>0</v>
      </c>
      <c r="K42" s="84">
        <v>0</v>
      </c>
      <c r="L42" s="84" t="str">
        <f t="shared" ca="1" si="21"/>
        <v xml:space="preserve"> </v>
      </c>
      <c r="M42" s="4">
        <f t="shared" si="22"/>
        <v>18</v>
      </c>
      <c r="N42" s="4">
        <f ca="1">IF(M1=1,IF(M14&gt;17,1,0),IF(M1=2,IF(M14&gt;17,1,0),0))</f>
        <v>0</v>
      </c>
      <c r="O42" s="4">
        <f t="shared" ca="1" si="1"/>
        <v>20</v>
      </c>
      <c r="P42" s="22">
        <f t="shared" ca="1" si="2"/>
        <v>0</v>
      </c>
      <c r="Q42" s="22">
        <f t="shared" ca="1" si="3"/>
        <v>0</v>
      </c>
      <c r="R42" s="22">
        <f t="shared" ca="1" si="23"/>
        <v>0</v>
      </c>
      <c r="S42" s="22" t="str">
        <f t="shared" ca="1" si="24"/>
        <v xml:space="preserve"> </v>
      </c>
      <c r="T42" s="22" t="e">
        <f t="shared" ca="1" si="25"/>
        <v>#VALUE!</v>
      </c>
      <c r="U42" s="22">
        <f ca="1">IF(N43=1,R41*D11*20/36000+R42*D11*10/36000,IF(N43=0,IF(N42=0,0,R42*D11*Q12/36000+R41*D11*20/36000+R42*D11*10/36000)))</f>
        <v>0</v>
      </c>
      <c r="V42" s="22">
        <f ca="1">IF(N43=1,R41*D11*20/36000+R42*D11*10/36000,IF(N43=0,IF(N42=0,0,R42*D11*Q12/36000+R41*D11*20/36000+R42*D11*10/36000)))</f>
        <v>0</v>
      </c>
      <c r="W42" s="22">
        <f t="shared" ca="1" si="26"/>
        <v>0</v>
      </c>
      <c r="X42" s="22">
        <f t="shared" ca="1" si="27"/>
        <v>0</v>
      </c>
      <c r="Y42" s="22">
        <f t="shared" ca="1" si="4"/>
        <v>0</v>
      </c>
      <c r="Z42" s="22">
        <f ca="1">IF(N43=1,Y41*D$11*20/36000+Y42*D$11*10/36000,IF(N43=0,IF(N42=0,0,Y42*D$11*Q$12/36000+Y41*D$11*20/36000+Y42*D$11*10/36000)))</f>
        <v>0</v>
      </c>
      <c r="AA42" s="22">
        <f t="shared" ca="1" si="5"/>
        <v>0</v>
      </c>
      <c r="AB42" s="22">
        <f ca="1">IF(R43=0,R42*Q12,(R41*20+R42*10))</f>
        <v>0</v>
      </c>
      <c r="AC42" s="22"/>
      <c r="AD42" s="22">
        <f t="shared" ca="1" si="6"/>
        <v>0</v>
      </c>
      <c r="AE42" s="22">
        <f t="shared" ca="1" si="7"/>
        <v>0</v>
      </c>
      <c r="AF42" s="22">
        <f t="shared" ca="1" si="29"/>
        <v>0</v>
      </c>
      <c r="AG42" s="22">
        <f t="shared" ca="1" si="8"/>
        <v>0</v>
      </c>
      <c r="AH42" s="22">
        <f t="shared" ca="1" si="30"/>
        <v>0</v>
      </c>
      <c r="AI42" s="22">
        <f t="shared" ca="1" si="9"/>
        <v>0</v>
      </c>
      <c r="AJ42" s="22">
        <f t="shared" ca="1" si="10"/>
        <v>0</v>
      </c>
      <c r="AK42" s="22">
        <f ca="1">IF(N43=1,AJ41*G12*20/36000+AJ42*G12*10/36000,IF(N43=0,IF(N42=0,0,AJ42*G12*Q12/36000+AJ41*G12*20/36000+AJ42*G12*10/36000)))</f>
        <v>0</v>
      </c>
      <c r="AL42" s="22">
        <f ca="1">IF(N43=1,AJ41*G12*20/36000+AJ42*G12*10/36000,IF(N43=0,IF(N42=0,0,AJ42*G12*Q12/36000+AJ41*G12*20/36000+AJ42*G12*10/36000)))</f>
        <v>0</v>
      </c>
      <c r="AM42" s="69">
        <f t="shared" ca="1" si="31"/>
        <v>0</v>
      </c>
      <c r="AN42" s="69">
        <f t="shared" ca="1" si="11"/>
        <v>0</v>
      </c>
      <c r="AO42" s="4">
        <f t="shared" ca="1" si="32"/>
        <v>0</v>
      </c>
      <c r="AP42" s="4">
        <f t="shared" ca="1" si="12"/>
        <v>0</v>
      </c>
      <c r="AQ42" s="4">
        <f t="shared" ca="1" si="13"/>
        <v>0</v>
      </c>
      <c r="AR42" s="4">
        <f t="shared" ca="1" si="14"/>
        <v>30</v>
      </c>
      <c r="AS42" s="4">
        <f t="shared" si="15"/>
        <v>20</v>
      </c>
      <c r="AT42" s="4">
        <f t="shared" ca="1" si="33"/>
        <v>30</v>
      </c>
      <c r="AU42" s="4"/>
      <c r="AV42" s="4"/>
      <c r="AW42" s="4"/>
      <c r="AX42" s="4"/>
      <c r="AY42" s="4"/>
      <c r="AZ42" s="4">
        <f t="shared" ca="1" si="16"/>
        <v>0</v>
      </c>
      <c r="BA42" s="4"/>
      <c r="BB42" s="4"/>
      <c r="BC42" s="4"/>
      <c r="BD42" s="4"/>
      <c r="BE42" s="10"/>
      <c r="BF42" s="19"/>
      <c r="BG42" s="19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</row>
    <row r="43" spans="1:142" s="24" customFormat="1" ht="15" customHeight="1">
      <c r="A43" s="19">
        <f t="shared" si="17"/>
        <v>19</v>
      </c>
      <c r="B43" s="268" t="str">
        <f t="shared" ca="1" si="18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9"/>
        <v xml:space="preserve"> </v>
      </c>
      <c r="I43" s="84">
        <f t="shared" ca="1" si="20"/>
        <v>0</v>
      </c>
      <c r="J43" s="84">
        <f t="shared" ca="1" si="0"/>
        <v>0</v>
      </c>
      <c r="K43" s="84">
        <v>0</v>
      </c>
      <c r="L43" s="84" t="str">
        <f t="shared" ca="1" si="21"/>
        <v xml:space="preserve"> </v>
      </c>
      <c r="M43" s="4">
        <f t="shared" si="22"/>
        <v>19</v>
      </c>
      <c r="N43" s="4">
        <f ca="1">IF(M1=1,IF(M14&gt;18,1,0),IF(M1=2,IF(M14&gt;18,1,0),0))</f>
        <v>0</v>
      </c>
      <c r="O43" s="4">
        <f t="shared" ca="1" si="1"/>
        <v>20</v>
      </c>
      <c r="P43" s="22">
        <f t="shared" ca="1" si="2"/>
        <v>0</v>
      </c>
      <c r="Q43" s="22">
        <f t="shared" ca="1" si="3"/>
        <v>0</v>
      </c>
      <c r="R43" s="22">
        <f t="shared" ca="1" si="23"/>
        <v>0</v>
      </c>
      <c r="S43" s="22" t="str">
        <f t="shared" ca="1" si="24"/>
        <v xml:space="preserve"> </v>
      </c>
      <c r="T43" s="22" t="e">
        <f t="shared" ca="1" si="25"/>
        <v>#VALUE!</v>
      </c>
      <c r="U43" s="22">
        <f ca="1">IF(N44=1,R42*D$11*20/36000+R43*D$11*10/36000,IF(N44=0,IF(N43=0,0,IF(D16&gt;20,R42*D$11*20/36000+R43*D$11*(Q$12-20)/36000,R43*D$11*Q$12/36000))))</f>
        <v>0</v>
      </c>
      <c r="V43" s="22">
        <f ca="1">IF(N44=1,R42*D$11*20/36000+R43*D$11*10/36000,IF(N44=0,IF(N43=0,0,IF(D16&gt;20,R42*D$11*20/36000+R43*D$11*(Q$12-20)/36000,R43*D$11*Q$12/36000))))</f>
        <v>0</v>
      </c>
      <c r="W43" s="22">
        <f t="shared" ca="1" si="26"/>
        <v>0</v>
      </c>
      <c r="X43" s="22">
        <f t="shared" ca="1" si="27"/>
        <v>0</v>
      </c>
      <c r="Y43" s="22">
        <f t="shared" ca="1" si="4"/>
        <v>0</v>
      </c>
      <c r="Z43" s="22">
        <f ca="1">IF(N44=1,Y42*D$11*20/36000+Y43*D$11*10/36000,IF(N44=0,IF(N43=0,0,IF(D$16&gt;20,Y42*D$11*20/36000+Y43*D$11*(Q$12-20)/36000,Y43*D$11*Q$12/36000))))</f>
        <v>0</v>
      </c>
      <c r="AA43" s="22">
        <f t="shared" ca="1" si="5"/>
        <v>0</v>
      </c>
      <c r="AB43" s="22">
        <f ca="1">IF(R44=0,R43*Q12,(R42*20+R43*10))</f>
        <v>0</v>
      </c>
      <c r="AC43" s="22"/>
      <c r="AD43" s="22">
        <f t="shared" ca="1" si="6"/>
        <v>0</v>
      </c>
      <c r="AE43" s="22">
        <f t="shared" ca="1" si="7"/>
        <v>0</v>
      </c>
      <c r="AF43" s="22">
        <f t="shared" ca="1" si="29"/>
        <v>0</v>
      </c>
      <c r="AG43" s="22">
        <f t="shared" ca="1" si="8"/>
        <v>0</v>
      </c>
      <c r="AH43" s="22">
        <f t="shared" ca="1" si="30"/>
        <v>0</v>
      </c>
      <c r="AI43" s="22">
        <f t="shared" ca="1" si="9"/>
        <v>0</v>
      </c>
      <c r="AJ43" s="22">
        <f t="shared" ca="1" si="10"/>
        <v>0</v>
      </c>
      <c r="AK43" s="22">
        <f ca="1">IF(N44=1,AJ42*G$12*20/36000+AJ43*G$12*10/36000,IF(N44=0,IF(N43=0,0,AJ43*G$12*Q$12/36000)))</f>
        <v>0</v>
      </c>
      <c r="AL43" s="22">
        <f ca="1">IF(N44=1,AJ42*G$12*20/36000+AJ43*G$12*10/36000,IF(N44=0,IF(N43=0,0,AJ43*G$12*Q$12/36000)))</f>
        <v>0</v>
      </c>
      <c r="AM43" s="69">
        <f t="shared" ca="1" si="31"/>
        <v>0</v>
      </c>
      <c r="AN43" s="69">
        <f t="shared" ca="1" si="11"/>
        <v>0</v>
      </c>
      <c r="AO43" s="4">
        <f t="shared" ca="1" si="32"/>
        <v>0</v>
      </c>
      <c r="AP43" s="4">
        <f t="shared" ca="1" si="12"/>
        <v>0</v>
      </c>
      <c r="AQ43" s="4">
        <f t="shared" ca="1" si="13"/>
        <v>0</v>
      </c>
      <c r="AR43" s="4">
        <f t="shared" ca="1" si="14"/>
        <v>30</v>
      </c>
      <c r="AS43" s="4">
        <f t="shared" si="15"/>
        <v>20</v>
      </c>
      <c r="AT43" s="4">
        <f t="shared" ca="1" si="33"/>
        <v>30</v>
      </c>
      <c r="AU43" s="4"/>
      <c r="AV43" s="4"/>
      <c r="AW43" s="4"/>
      <c r="AX43" s="4"/>
      <c r="AY43" s="4"/>
      <c r="AZ43" s="4">
        <f t="shared" ca="1" si="16"/>
        <v>0</v>
      </c>
      <c r="BA43" s="4"/>
      <c r="BB43" s="4"/>
      <c r="BC43" s="4"/>
      <c r="BD43" s="4"/>
      <c r="BE43" s="10"/>
      <c r="BF43" s="19"/>
      <c r="BG43" s="19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</row>
    <row r="44" spans="1:142" s="24" customFormat="1" ht="15" customHeight="1">
      <c r="A44" s="4">
        <f t="shared" si="17"/>
        <v>20</v>
      </c>
      <c r="B44" s="268" t="str">
        <f t="shared" ca="1" si="18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9"/>
        <v xml:space="preserve"> </v>
      </c>
      <c r="I44" s="84">
        <f t="shared" ca="1" si="20"/>
        <v>0</v>
      </c>
      <c r="J44" s="84">
        <f t="shared" ca="1" si="0"/>
        <v>0</v>
      </c>
      <c r="K44" s="84">
        <v>0</v>
      </c>
      <c r="L44" s="84" t="str">
        <f t="shared" ca="1" si="21"/>
        <v xml:space="preserve"> </v>
      </c>
      <c r="M44" s="4">
        <f t="shared" si="22"/>
        <v>20</v>
      </c>
      <c r="N44" s="4">
        <f ca="1">IF(M1=1,IF(M14&gt;19,1,0),IF(M1=2,IF(M14&gt;19,1,0),0))</f>
        <v>0</v>
      </c>
      <c r="O44" s="4">
        <f t="shared" ca="1" si="1"/>
        <v>20</v>
      </c>
      <c r="P44" s="22">
        <f t="shared" ca="1" si="2"/>
        <v>0</v>
      </c>
      <c r="Q44" s="22">
        <f t="shared" ca="1" si="3"/>
        <v>0</v>
      </c>
      <c r="R44" s="22">
        <f t="shared" ca="1" si="23"/>
        <v>0</v>
      </c>
      <c r="S44" s="22" t="str">
        <f t="shared" ca="1" si="24"/>
        <v xml:space="preserve"> </v>
      </c>
      <c r="T44" s="22" t="e">
        <f t="shared" ca="1" si="25"/>
        <v>#VALUE!</v>
      </c>
      <c r="U44" s="22">
        <f ca="1">IF(N45=1,R43*D11*20/36000+R44*D11*10/36000,IF(N45=0,IF(N44=0,0,R44*D11*Q12/36000+R43*D11*20/36000+R44*D11*10/36000)))</f>
        <v>0</v>
      </c>
      <c r="V44" s="22">
        <f ca="1">IF(N45=1,R43*D11*20/36000+R44*D11*10/36000,IF(N45=0,IF(N44=0,0,R44*D11*Q12/36000+R43*D11*20/36000+R44*D11*10/36000)))</f>
        <v>0</v>
      </c>
      <c r="W44" s="22">
        <f t="shared" ca="1" si="26"/>
        <v>0</v>
      </c>
      <c r="X44" s="22">
        <f t="shared" ca="1" si="27"/>
        <v>0</v>
      </c>
      <c r="Y44" s="22">
        <f t="shared" ca="1" si="4"/>
        <v>0</v>
      </c>
      <c r="Z44" s="22">
        <f ca="1">IF(N45=1,Y43*D$11*20/36000+Y44*D$11*10/36000,IF(N45=0,IF(N44=0,0,Y44*D$11*Q$12/36000+Y43*D$11*20/36000+Y44*D$11*10/36000)))</f>
        <v>0</v>
      </c>
      <c r="AA44" s="22">
        <f t="shared" ca="1" si="5"/>
        <v>0</v>
      </c>
      <c r="AB44" s="22">
        <f ca="1">IF(R45=0,R44*Q12,(R43*20+R44*10))</f>
        <v>0</v>
      </c>
      <c r="AC44" s="22"/>
      <c r="AD44" s="22">
        <f t="shared" ca="1" si="6"/>
        <v>0</v>
      </c>
      <c r="AE44" s="22">
        <f t="shared" ca="1" si="7"/>
        <v>0</v>
      </c>
      <c r="AF44" s="22">
        <f t="shared" ca="1" si="29"/>
        <v>0</v>
      </c>
      <c r="AG44" s="22">
        <f t="shared" ca="1" si="8"/>
        <v>0</v>
      </c>
      <c r="AH44" s="22">
        <f t="shared" ca="1" si="30"/>
        <v>0</v>
      </c>
      <c r="AI44" s="22">
        <f t="shared" ca="1" si="9"/>
        <v>0</v>
      </c>
      <c r="AJ44" s="22">
        <f t="shared" ca="1" si="10"/>
        <v>0</v>
      </c>
      <c r="AK44" s="22">
        <f ca="1">IF(N45=1,AJ43*G12*20/36000+AJ44*G12*10/36000,IF(N45=0,IF(N44=0,0,AJ44*G12*Q12/36000+AJ43*G12*20/36000+AJ44*G12*10/36000)))</f>
        <v>0</v>
      </c>
      <c r="AL44" s="22">
        <f ca="1">IF(N45=1,AJ43*G12*20/36000+AJ44*G12*10/36000,IF(N45=0,IF(N44=0,0,AJ44*G12*Q12/36000+AJ43*G12*20/36000+AJ44*G12*10/36000)))</f>
        <v>0</v>
      </c>
      <c r="AM44" s="69">
        <f t="shared" ca="1" si="31"/>
        <v>0</v>
      </c>
      <c r="AN44" s="69">
        <f t="shared" ca="1" si="11"/>
        <v>0</v>
      </c>
      <c r="AO44" s="4">
        <f t="shared" ca="1" si="32"/>
        <v>0</v>
      </c>
      <c r="AP44" s="4">
        <f t="shared" ca="1" si="12"/>
        <v>0</v>
      </c>
      <c r="AQ44" s="4">
        <f t="shared" ca="1" si="13"/>
        <v>0</v>
      </c>
      <c r="AR44" s="4">
        <f t="shared" ca="1" si="14"/>
        <v>30</v>
      </c>
      <c r="AS44" s="4">
        <f t="shared" si="15"/>
        <v>20</v>
      </c>
      <c r="AT44" s="4">
        <f t="shared" ca="1" si="33"/>
        <v>30</v>
      </c>
      <c r="AU44" s="4"/>
      <c r="AV44" s="4"/>
      <c r="AW44" s="4"/>
      <c r="AX44" s="4"/>
      <c r="AY44" s="4"/>
      <c r="AZ44" s="4">
        <f t="shared" ca="1" si="16"/>
        <v>0</v>
      </c>
      <c r="BA44" s="4"/>
      <c r="BB44" s="4"/>
      <c r="BC44" s="4"/>
      <c r="BD44" s="4"/>
      <c r="BE44" s="10"/>
      <c r="BF44" s="19"/>
      <c r="BG44" s="19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</row>
    <row r="45" spans="1:142" s="24" customFormat="1" ht="15" customHeight="1">
      <c r="A45" s="4">
        <f t="shared" si="17"/>
        <v>21</v>
      </c>
      <c r="B45" s="268" t="str">
        <f t="shared" ca="1" si="18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9"/>
        <v xml:space="preserve"> </v>
      </c>
      <c r="I45" s="84">
        <f t="shared" ca="1" si="20"/>
        <v>0</v>
      </c>
      <c r="J45" s="84">
        <f t="shared" ca="1" si="0"/>
        <v>0</v>
      </c>
      <c r="K45" s="84">
        <v>0</v>
      </c>
      <c r="L45" s="84" t="str">
        <f t="shared" ca="1" si="21"/>
        <v xml:space="preserve"> </v>
      </c>
      <c r="M45" s="4">
        <f t="shared" si="22"/>
        <v>21</v>
      </c>
      <c r="N45" s="4">
        <f ca="1">IF(M1=1,IF(M14&gt;20,1,0),IF(M1=2,IF(M14&gt;20,1,0),0))</f>
        <v>0</v>
      </c>
      <c r="O45" s="4">
        <f t="shared" ca="1" si="1"/>
        <v>20</v>
      </c>
      <c r="P45" s="22">
        <f t="shared" ca="1" si="2"/>
        <v>0</v>
      </c>
      <c r="Q45" s="22">
        <f t="shared" ca="1" si="3"/>
        <v>0</v>
      </c>
      <c r="R45" s="22">
        <f t="shared" ca="1" si="23"/>
        <v>0</v>
      </c>
      <c r="S45" s="22" t="str">
        <f t="shared" ca="1" si="24"/>
        <v xml:space="preserve"> </v>
      </c>
      <c r="T45" s="22" t="e">
        <f t="shared" ca="1" si="25"/>
        <v>#VALUE!</v>
      </c>
      <c r="U45" s="22">
        <f ca="1">IF(N46=1,R44*D11*20/36000+R45*D11*10/36000,IF(N46=0,IF(N45=0,0,R45*D11*Q12/36000+R44*D11*20/36000+R45*D11*10/36000)))</f>
        <v>0</v>
      </c>
      <c r="V45" s="22">
        <f ca="1">IF(N46=1,R44*D11*20/36000+R45*D11*10/36000,IF(N46=0,IF(N45=0,0,R45*D11*Q12/36000+R44*D11*20/36000+R45*D11*10/36000)))</f>
        <v>0</v>
      </c>
      <c r="W45" s="22">
        <f t="shared" ca="1" si="26"/>
        <v>0</v>
      </c>
      <c r="X45" s="22">
        <f t="shared" ca="1" si="27"/>
        <v>0</v>
      </c>
      <c r="Y45" s="22">
        <f t="shared" ca="1" si="4"/>
        <v>0</v>
      </c>
      <c r="Z45" s="22">
        <f ca="1">IF(N46=1,Y44*D$11*20/36000+Y45*D$11*10/36000,IF(N46=0,IF(N45=0,0,Y45*D$11*Q$12/36000+Y44*D$11*20/36000+Y45*D$11*10/36000)))</f>
        <v>0</v>
      </c>
      <c r="AA45" s="22">
        <f t="shared" ca="1" si="5"/>
        <v>0</v>
      </c>
      <c r="AB45" s="22">
        <f ca="1">IF(R46=0,R45*Q12,(R44*20+R45*10))</f>
        <v>0</v>
      </c>
      <c r="AC45" s="22"/>
      <c r="AD45" s="22">
        <f t="shared" ca="1" si="6"/>
        <v>0</v>
      </c>
      <c r="AE45" s="22">
        <f t="shared" ca="1" si="7"/>
        <v>0</v>
      </c>
      <c r="AF45" s="22">
        <f t="shared" ca="1" si="29"/>
        <v>0</v>
      </c>
      <c r="AG45" s="22">
        <f t="shared" ca="1" si="8"/>
        <v>0</v>
      </c>
      <c r="AH45" s="22">
        <f t="shared" ca="1" si="30"/>
        <v>0</v>
      </c>
      <c r="AI45" s="22">
        <f t="shared" ca="1" si="9"/>
        <v>0</v>
      </c>
      <c r="AJ45" s="22">
        <f t="shared" ca="1" si="10"/>
        <v>0</v>
      </c>
      <c r="AK45" s="22">
        <f ca="1">IF(N46=1,AJ44*G12*20/36000+AJ45*G12*10/36000,IF(N46=0,IF(N45=0,0,AJ45*G12*Q12/36000+AJ44*G12*20/36000+AJ45*G12*10/36000)))</f>
        <v>0</v>
      </c>
      <c r="AL45" s="22">
        <f ca="1">IF(N46=1,AJ44*G12*20/36000+AJ45*G12*10/36000,IF(N46=0,IF(N45=0,0,AJ45*G12*Q12/36000+AJ44*G12*20/36000+AJ45*G12*10/36000)))</f>
        <v>0</v>
      </c>
      <c r="AM45" s="69">
        <f t="shared" ca="1" si="31"/>
        <v>0</v>
      </c>
      <c r="AN45" s="69">
        <f t="shared" ca="1" si="11"/>
        <v>0</v>
      </c>
      <c r="AO45" s="4">
        <f t="shared" ca="1" si="32"/>
        <v>0</v>
      </c>
      <c r="AP45" s="4">
        <f t="shared" ca="1" si="12"/>
        <v>0</v>
      </c>
      <c r="AQ45" s="4">
        <f t="shared" ca="1" si="13"/>
        <v>0</v>
      </c>
      <c r="AR45" s="4">
        <f t="shared" ca="1" si="14"/>
        <v>30</v>
      </c>
      <c r="AS45" s="4">
        <f t="shared" si="15"/>
        <v>20</v>
      </c>
      <c r="AT45" s="4">
        <f t="shared" ca="1" si="33"/>
        <v>30</v>
      </c>
      <c r="AU45" s="4"/>
      <c r="AV45" s="4"/>
      <c r="AW45" s="4"/>
      <c r="AX45" s="4"/>
      <c r="AY45" s="4"/>
      <c r="AZ45" s="4">
        <f t="shared" ca="1" si="16"/>
        <v>0</v>
      </c>
      <c r="BA45" s="4"/>
      <c r="BB45" s="4"/>
      <c r="BC45" s="4"/>
      <c r="BD45" s="4"/>
      <c r="BE45" s="10"/>
      <c r="BF45" s="19"/>
      <c r="BG45" s="19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</row>
    <row r="46" spans="1:142" s="24" customFormat="1" ht="15" customHeight="1">
      <c r="A46" s="4">
        <f t="shared" si="17"/>
        <v>22</v>
      </c>
      <c r="B46" s="268" t="str">
        <f t="shared" ca="1" si="18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9"/>
        <v xml:space="preserve"> </v>
      </c>
      <c r="I46" s="84">
        <f t="shared" ca="1" si="20"/>
        <v>0</v>
      </c>
      <c r="J46" s="84">
        <f t="shared" ca="1" si="0"/>
        <v>0</v>
      </c>
      <c r="K46" s="84">
        <v>0</v>
      </c>
      <c r="L46" s="84" t="str">
        <f t="shared" ca="1" si="21"/>
        <v xml:space="preserve"> </v>
      </c>
      <c r="M46" s="4">
        <f t="shared" si="22"/>
        <v>22</v>
      </c>
      <c r="N46" s="4">
        <f ca="1">IF(M1=1,IF(M14&gt;21,1,0),IF(M1=2,IF(M14&gt;21,1,0),0))</f>
        <v>0</v>
      </c>
      <c r="O46" s="4">
        <f t="shared" ca="1" si="1"/>
        <v>20</v>
      </c>
      <c r="P46" s="22">
        <f t="shared" ca="1" si="2"/>
        <v>0</v>
      </c>
      <c r="Q46" s="22">
        <f t="shared" ca="1" si="3"/>
        <v>0</v>
      </c>
      <c r="R46" s="22">
        <f t="shared" ca="1" si="23"/>
        <v>0</v>
      </c>
      <c r="S46" s="22" t="str">
        <f t="shared" ca="1" si="24"/>
        <v xml:space="preserve"> </v>
      </c>
      <c r="T46" s="22" t="e">
        <f t="shared" ca="1" si="25"/>
        <v>#VALUE!</v>
      </c>
      <c r="U46" s="22">
        <f ca="1">IF(N47=1,R45*D11*20/36000+R46*D11*10/36000,IF(N47=0,IF(N46=0,0,R46*D11*Q12/36000+R45*D11*20/36000+R46*D11*10/36000)))</f>
        <v>0</v>
      </c>
      <c r="V46" s="22">
        <f ca="1">IF(N47=1,R45*D11*20/36000+R46*D11*10/36000,IF(N47=0,IF(N46=0,0,R46*D11*Q12/36000+R45*D11*20/36000+R46*D11*10/36000)))</f>
        <v>0</v>
      </c>
      <c r="W46" s="22">
        <f t="shared" ca="1" si="26"/>
        <v>0</v>
      </c>
      <c r="X46" s="22">
        <f t="shared" ca="1" si="27"/>
        <v>0</v>
      </c>
      <c r="Y46" s="22">
        <f t="shared" ca="1" si="4"/>
        <v>0</v>
      </c>
      <c r="Z46" s="22">
        <f ca="1">IF(N47=1,Y45*D$11*20/36000+Y46*D$11*10/36000,IF(N47=0,IF(N46=0,0,Y46*D$11*Q$12/36000+Y45*D$11*20/36000+Y46*D$11*10/36000)))</f>
        <v>0</v>
      </c>
      <c r="AA46" s="22">
        <f t="shared" ca="1" si="5"/>
        <v>0</v>
      </c>
      <c r="AB46" s="22">
        <f ca="1">IF(R47=0,R46*Q12,(R45*20+R46*10))</f>
        <v>0</v>
      </c>
      <c r="AC46" s="22"/>
      <c r="AD46" s="22">
        <f t="shared" ca="1" si="6"/>
        <v>0</v>
      </c>
      <c r="AE46" s="22">
        <f t="shared" ca="1" si="7"/>
        <v>0</v>
      </c>
      <c r="AF46" s="22">
        <f t="shared" ca="1" si="29"/>
        <v>0</v>
      </c>
      <c r="AG46" s="22">
        <f t="shared" ca="1" si="8"/>
        <v>0</v>
      </c>
      <c r="AH46" s="22">
        <f t="shared" ca="1" si="30"/>
        <v>0</v>
      </c>
      <c r="AI46" s="22">
        <f t="shared" ca="1" si="9"/>
        <v>0</v>
      </c>
      <c r="AJ46" s="22">
        <f t="shared" ca="1" si="10"/>
        <v>0</v>
      </c>
      <c r="AK46" s="22">
        <f ca="1">IF(N47=1,AJ45*G12*20/36000+AJ46*G12*10/36000,IF(N47=0,IF(N46=0,0,AJ46*G12*Q12/36000+AJ45*G12*20/36000+AJ46*G12*10/36000)))</f>
        <v>0</v>
      </c>
      <c r="AL46" s="22">
        <f ca="1">IF(N47=1,AJ45*G12*20/36000+AJ46*G12*10/36000,IF(N47=0,IF(N46=0,0,AJ46*G12*Q12/36000+AJ45*G12*20/36000+AJ46*G12*10/36000)))</f>
        <v>0</v>
      </c>
      <c r="AM46" s="69">
        <f t="shared" ca="1" si="31"/>
        <v>0</v>
      </c>
      <c r="AN46" s="69">
        <f t="shared" ca="1" si="11"/>
        <v>0</v>
      </c>
      <c r="AO46" s="4">
        <f t="shared" ca="1" si="32"/>
        <v>0</v>
      </c>
      <c r="AP46" s="4">
        <f t="shared" ca="1" si="12"/>
        <v>0</v>
      </c>
      <c r="AQ46" s="4">
        <f t="shared" ca="1" si="13"/>
        <v>0</v>
      </c>
      <c r="AR46" s="4">
        <f t="shared" ca="1" si="14"/>
        <v>30</v>
      </c>
      <c r="AS46" s="4">
        <f t="shared" si="15"/>
        <v>20</v>
      </c>
      <c r="AT46" s="4">
        <f t="shared" ca="1" si="33"/>
        <v>30</v>
      </c>
      <c r="AU46" s="4"/>
      <c r="AV46" s="4"/>
      <c r="AW46" s="4"/>
      <c r="AX46" s="4"/>
      <c r="AY46" s="4"/>
      <c r="AZ46" s="4">
        <f t="shared" ca="1" si="16"/>
        <v>0</v>
      </c>
      <c r="BA46" s="4"/>
      <c r="BB46" s="4"/>
      <c r="BC46" s="4"/>
      <c r="BD46" s="4"/>
      <c r="BE46" s="10"/>
      <c r="BF46" s="19"/>
      <c r="BG46" s="19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</row>
    <row r="47" spans="1:142" s="24" customFormat="1" ht="15" customHeight="1">
      <c r="A47" s="4">
        <f t="shared" si="17"/>
        <v>23</v>
      </c>
      <c r="B47" s="268" t="str">
        <f t="shared" ca="1" si="18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9"/>
        <v xml:space="preserve"> </v>
      </c>
      <c r="I47" s="84">
        <f t="shared" ca="1" si="20"/>
        <v>0</v>
      </c>
      <c r="J47" s="84">
        <f t="shared" ca="1" si="0"/>
        <v>0</v>
      </c>
      <c r="K47" s="84">
        <v>0</v>
      </c>
      <c r="L47" s="84" t="str">
        <f t="shared" ca="1" si="21"/>
        <v xml:space="preserve"> </v>
      </c>
      <c r="M47" s="4">
        <f t="shared" si="22"/>
        <v>23</v>
      </c>
      <c r="N47" s="4">
        <f ca="1">IF(M1=1,IF(M14&gt;22,1,0),IF(M1=2,IF(M14&gt;22,1,0),0))</f>
        <v>0</v>
      </c>
      <c r="O47" s="4">
        <f t="shared" ca="1" si="1"/>
        <v>20</v>
      </c>
      <c r="P47" s="22">
        <f t="shared" ca="1" si="2"/>
        <v>0</v>
      </c>
      <c r="Q47" s="22">
        <f t="shared" ca="1" si="3"/>
        <v>0</v>
      </c>
      <c r="R47" s="22">
        <f t="shared" ca="1" si="23"/>
        <v>0</v>
      </c>
      <c r="S47" s="22" t="str">
        <f t="shared" ca="1" si="24"/>
        <v xml:space="preserve"> </v>
      </c>
      <c r="T47" s="22" t="e">
        <f t="shared" ca="1" si="25"/>
        <v>#VALUE!</v>
      </c>
      <c r="U47" s="22">
        <f ca="1">IF(N48=1,R46*D11*20/36000+R47*D11*10/36000,IF(N48=0,IF(N47=0,0,R47*D11*Q12/36000+R46*D11*20/36000+R47*D11*10/36000)))</f>
        <v>0</v>
      </c>
      <c r="V47" s="22">
        <f ca="1">IF(N48=1,R46*D11*20/36000+R47*D11*10/36000,IF(N48=0,IF(N47=0,0,R47*D11*Q12/36000+R46*D11*20/36000+R47*D11*10/36000)))</f>
        <v>0</v>
      </c>
      <c r="W47" s="22">
        <f t="shared" ca="1" si="26"/>
        <v>0</v>
      </c>
      <c r="X47" s="22">
        <f t="shared" ca="1" si="27"/>
        <v>0</v>
      </c>
      <c r="Y47" s="22">
        <f t="shared" ca="1" si="4"/>
        <v>0</v>
      </c>
      <c r="Z47" s="22">
        <f ca="1">IF(N48=1,Y46*D$11*20/36000+Y47*D$11*10/36000,IF(N48=0,IF(N47=0,0,Y47*D$11*Q$12/36000+Y46*D$11*20/36000+Y47*D$11*10/36000)))</f>
        <v>0</v>
      </c>
      <c r="AA47" s="22">
        <f t="shared" ca="1" si="5"/>
        <v>0</v>
      </c>
      <c r="AB47" s="22">
        <f ca="1">IF(R48=0,R47*Q12,(R46*20+R47*10))</f>
        <v>0</v>
      </c>
      <c r="AC47" s="22"/>
      <c r="AD47" s="22">
        <f t="shared" ca="1" si="6"/>
        <v>0</v>
      </c>
      <c r="AE47" s="22">
        <f t="shared" ca="1" si="7"/>
        <v>0</v>
      </c>
      <c r="AF47" s="22">
        <f t="shared" ca="1" si="29"/>
        <v>0</v>
      </c>
      <c r="AG47" s="22">
        <f t="shared" ca="1" si="8"/>
        <v>0</v>
      </c>
      <c r="AH47" s="22">
        <f t="shared" ca="1" si="30"/>
        <v>0</v>
      </c>
      <c r="AI47" s="22">
        <f t="shared" ca="1" si="9"/>
        <v>0</v>
      </c>
      <c r="AJ47" s="22">
        <f t="shared" ca="1" si="10"/>
        <v>0</v>
      </c>
      <c r="AK47" s="22">
        <f ca="1">IF(N48=1,AJ46*G12*20/36000+AJ47*G12*10/36000,IF(N48=0,IF(N47=0,0,AJ47*G12*Q12/36000+AJ46*G12*20/36000+AJ47*G12*10/36000)))</f>
        <v>0</v>
      </c>
      <c r="AL47" s="22">
        <f ca="1">IF(N48=1,AJ46*G12*20/36000+AJ47*G12*10/36000,IF(N48=0,IF(N47=0,0,AJ47*G12*Q12/36000+AJ46*G12*20/36000+AJ47*G12*10/36000)))</f>
        <v>0</v>
      </c>
      <c r="AM47" s="69">
        <f t="shared" ca="1" si="31"/>
        <v>0</v>
      </c>
      <c r="AN47" s="69">
        <f t="shared" ca="1" si="11"/>
        <v>0</v>
      </c>
      <c r="AO47" s="4">
        <f t="shared" ca="1" si="32"/>
        <v>0</v>
      </c>
      <c r="AP47" s="4">
        <f t="shared" ca="1" si="12"/>
        <v>0</v>
      </c>
      <c r="AQ47" s="4">
        <f t="shared" ca="1" si="13"/>
        <v>0</v>
      </c>
      <c r="AR47" s="4">
        <f t="shared" ca="1" si="14"/>
        <v>30</v>
      </c>
      <c r="AS47" s="4">
        <f t="shared" si="15"/>
        <v>20</v>
      </c>
      <c r="AT47" s="4">
        <f t="shared" ca="1" si="33"/>
        <v>30</v>
      </c>
      <c r="AU47" s="4"/>
      <c r="AV47" s="4"/>
      <c r="AW47" s="4"/>
      <c r="AX47" s="4"/>
      <c r="AY47" s="4"/>
      <c r="AZ47" s="4">
        <f t="shared" ca="1" si="16"/>
        <v>0</v>
      </c>
      <c r="BA47" s="4"/>
      <c r="BB47" s="4"/>
      <c r="BC47" s="4"/>
      <c r="BD47" s="4"/>
      <c r="BE47" s="10"/>
      <c r="BF47" s="19"/>
      <c r="BG47" s="19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</row>
    <row r="48" spans="1:142" s="24" customFormat="1" ht="15" customHeight="1">
      <c r="A48" s="4">
        <f t="shared" si="17"/>
        <v>24</v>
      </c>
      <c r="B48" s="268" t="str">
        <f t="shared" ca="1" si="18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9"/>
        <v xml:space="preserve"> </v>
      </c>
      <c r="I48" s="84">
        <f t="shared" ca="1" si="20"/>
        <v>0</v>
      </c>
      <c r="J48" s="84">
        <f t="shared" ca="1" si="0"/>
        <v>0</v>
      </c>
      <c r="K48" s="84">
        <v>0</v>
      </c>
      <c r="L48" s="84" t="str">
        <f t="shared" ca="1" si="21"/>
        <v xml:space="preserve"> </v>
      </c>
      <c r="M48" s="4">
        <f t="shared" si="22"/>
        <v>24</v>
      </c>
      <c r="N48" s="4">
        <f t="shared" ref="N48:N85" ca="1" si="34">IF(M$1=1,IF(M$14&gt;M47,1,0),IF(M$1=2,IF(M$14&gt;M47,1,0),0))</f>
        <v>0</v>
      </c>
      <c r="O48" s="4">
        <f t="shared" ca="1" si="1"/>
        <v>20</v>
      </c>
      <c r="P48" s="22">
        <f t="shared" ca="1" si="2"/>
        <v>0</v>
      </c>
      <c r="Q48" s="22">
        <f t="shared" ca="1" si="3"/>
        <v>0</v>
      </c>
      <c r="R48" s="22">
        <f t="shared" ca="1" si="23"/>
        <v>0</v>
      </c>
      <c r="S48" s="22" t="str">
        <f t="shared" ca="1" si="24"/>
        <v xml:space="preserve"> </v>
      </c>
      <c r="T48" s="22" t="e">
        <f t="shared" ca="1" si="25"/>
        <v>#VALUE!</v>
      </c>
      <c r="U48" s="22">
        <f ca="1">IF(N49=1,R47*D$11*20/36000+R48*D$11*10/36000,IF(N49=0,IF(N48=0,0,R48*D$11*Q$12/36000+R47*D$11*20/36000+R48*D$11*10/36000)))</f>
        <v>0</v>
      </c>
      <c r="V48" s="22">
        <f ca="1">IF(N49=1,R47*D$11*20/36000+R48*D$11*10/36000,IF(N49=0,IF(N48=0,0,R48*D$11*Q$12/36000+R47*D$11*20/36000+R48*D$11*10/36000)))</f>
        <v>0</v>
      </c>
      <c r="W48" s="22">
        <f t="shared" ca="1" si="26"/>
        <v>0</v>
      </c>
      <c r="X48" s="22">
        <f t="shared" ca="1" si="27"/>
        <v>0</v>
      </c>
      <c r="Y48" s="22">
        <f t="shared" ca="1" si="4"/>
        <v>0</v>
      </c>
      <c r="Z48" s="22">
        <f ca="1">IF(N49=1,Y47*D$11*20/36000+Y48*D$11*10/36000,IF(N49=0,IF(N48=0,0,Y48*D$11*Q$12/36000+Y47*D$11*20/36000+Y48*D$11*10/36000)))</f>
        <v>0</v>
      </c>
      <c r="AA48" s="22">
        <f t="shared" ca="1" si="5"/>
        <v>0</v>
      </c>
      <c r="AB48" s="22">
        <f t="shared" ref="AB48:AB84" ca="1" si="35">IF(R49=0,R48*Q$12,(R47*20+R48*10))</f>
        <v>0</v>
      </c>
      <c r="AC48" s="22"/>
      <c r="AD48" s="22">
        <f t="shared" ca="1" si="6"/>
        <v>0</v>
      </c>
      <c r="AE48" s="22">
        <f t="shared" ca="1" si="7"/>
        <v>0</v>
      </c>
      <c r="AF48" s="22">
        <f t="shared" ca="1" si="29"/>
        <v>0</v>
      </c>
      <c r="AG48" s="22">
        <f t="shared" ca="1" si="8"/>
        <v>0</v>
      </c>
      <c r="AH48" s="22">
        <f t="shared" ca="1" si="30"/>
        <v>0</v>
      </c>
      <c r="AI48" s="22">
        <f t="shared" ca="1" si="9"/>
        <v>0</v>
      </c>
      <c r="AJ48" s="22">
        <f t="shared" ca="1" si="10"/>
        <v>0</v>
      </c>
      <c r="AK48" s="22">
        <f ca="1">IF(N49=1,AJ47*G$12*20/36000+AJ48*G$12*10/36000,IF(N49=0,IF(N48=0,0,AJ48*G$12*Q$12/36000+AJ47*G$12*20/36000+AJ48*G$12*10/36000)))</f>
        <v>0</v>
      </c>
      <c r="AL48" s="22">
        <f ca="1">IF(N49=1,AJ47*G$12*20/36000+AJ48*G$12*10/36000,IF(N49=0,IF(N48=0,0,AJ48*G$12*Q$12/36000+AJ47*G$12*20/36000+AJ48*G$12*10/36000)))</f>
        <v>0</v>
      </c>
      <c r="AM48" s="69">
        <f t="shared" ca="1" si="31"/>
        <v>0</v>
      </c>
      <c r="AN48" s="69">
        <f t="shared" ca="1" si="11"/>
        <v>0</v>
      </c>
      <c r="AO48" s="4">
        <f t="shared" ca="1" si="32"/>
        <v>0</v>
      </c>
      <c r="AP48" s="4">
        <f t="shared" ca="1" si="12"/>
        <v>0</v>
      </c>
      <c r="AQ48" s="4">
        <f t="shared" ca="1" si="13"/>
        <v>0</v>
      </c>
      <c r="AR48" s="4">
        <f t="shared" ca="1" si="14"/>
        <v>30</v>
      </c>
      <c r="AS48" s="4">
        <f t="shared" si="15"/>
        <v>20</v>
      </c>
      <c r="AT48" s="4">
        <f t="shared" ca="1" si="33"/>
        <v>30</v>
      </c>
      <c r="AU48" s="4"/>
      <c r="AV48" s="4"/>
      <c r="AW48" s="4"/>
      <c r="AX48" s="4"/>
      <c r="AY48" s="4"/>
      <c r="AZ48" s="4">
        <f t="shared" ca="1" si="16"/>
        <v>0</v>
      </c>
      <c r="BA48" s="4"/>
      <c r="BB48" s="4"/>
      <c r="BC48" s="4"/>
      <c r="BD48" s="4"/>
      <c r="BE48" s="10"/>
      <c r="BF48" s="19"/>
      <c r="BG48" s="19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</row>
    <row r="49" spans="1:142" s="25" customFormat="1" ht="15" customHeight="1">
      <c r="A49" s="4">
        <v>25</v>
      </c>
      <c r="B49" s="268" t="str">
        <f t="shared" ca="1" si="18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9"/>
        <v xml:space="preserve"> </v>
      </c>
      <c r="I49" s="84">
        <f t="shared" ca="1" si="20"/>
        <v>0</v>
      </c>
      <c r="J49" s="84">
        <f t="shared" ca="1" si="0"/>
        <v>0</v>
      </c>
      <c r="K49" s="84">
        <v>0</v>
      </c>
      <c r="L49" s="84" t="str">
        <f t="shared" ca="1" si="21"/>
        <v xml:space="preserve"> </v>
      </c>
      <c r="M49" s="4">
        <v>25</v>
      </c>
      <c r="N49" s="4">
        <f t="shared" ca="1" si="34"/>
        <v>0</v>
      </c>
      <c r="O49" s="4">
        <f t="shared" ca="1" si="1"/>
        <v>20</v>
      </c>
      <c r="P49" s="22">
        <f t="shared" ca="1" si="2"/>
        <v>0</v>
      </c>
      <c r="Q49" s="22">
        <f t="shared" ca="1" si="3"/>
        <v>0</v>
      </c>
      <c r="R49" s="22">
        <f t="shared" ca="1" si="23"/>
        <v>0</v>
      </c>
      <c r="S49" s="22" t="str">
        <f t="shared" ca="1" si="24"/>
        <v xml:space="preserve"> </v>
      </c>
      <c r="T49" s="22" t="e">
        <f t="shared" ca="1" si="25"/>
        <v>#VALUE!</v>
      </c>
      <c r="U49" s="22">
        <f ca="1">IF(N50=1,R48*D$11*20/36000+R49*D$11*10/36000,IF(N50=0,IF(N49=0,0,IF(D$16&gt;20,R48*D$11*20/36000+R49*D$11*(Q$12-20)/36000,R49*D$11*Q$12/36000))))</f>
        <v>0</v>
      </c>
      <c r="V49" s="22">
        <f ca="1">IF(N50=1,R48*D$11*20/36000+R49*D$11*10/36000,IF(N50=0,IF(N49=0,0,IF(D$16&gt;20,R48*D$11*20/36000+R49*D$11*(Q$12-20)/36000,R49*D$11*Q$12/36000))))</f>
        <v>0</v>
      </c>
      <c r="W49" s="22">
        <f t="shared" ca="1" si="26"/>
        <v>0</v>
      </c>
      <c r="X49" s="22">
        <f t="shared" ca="1" si="27"/>
        <v>0</v>
      </c>
      <c r="Y49" s="22">
        <f t="shared" ca="1" si="4"/>
        <v>0</v>
      </c>
      <c r="Z49" s="22">
        <f ca="1">IF(N50=1,Y48*D$11*20/36000+Y49*D$11*10/36000,IF(N50=0,IF(N49=0,0,IF(D$16&gt;20,Y48*D$11*20/36000+Y49*D$11*(Q$12-20)/36000,Y49*D$11*Q$12/36000))))</f>
        <v>0</v>
      </c>
      <c r="AA49" s="22">
        <f t="shared" ca="1" si="5"/>
        <v>0</v>
      </c>
      <c r="AB49" s="22">
        <f t="shared" ca="1" si="35"/>
        <v>0</v>
      </c>
      <c r="AC49" s="22"/>
      <c r="AD49" s="22">
        <f t="shared" ca="1" si="6"/>
        <v>0</v>
      </c>
      <c r="AE49" s="22">
        <f t="shared" ca="1" si="7"/>
        <v>0</v>
      </c>
      <c r="AF49" s="22">
        <f t="shared" ca="1" si="29"/>
        <v>0</v>
      </c>
      <c r="AG49" s="22">
        <f t="shared" ca="1" si="8"/>
        <v>0</v>
      </c>
      <c r="AH49" s="22">
        <f t="shared" ca="1" si="30"/>
        <v>0</v>
      </c>
      <c r="AI49" s="22">
        <f t="shared" ca="1" si="9"/>
        <v>0</v>
      </c>
      <c r="AJ49" s="22">
        <f t="shared" ca="1" si="10"/>
        <v>0</v>
      </c>
      <c r="AK49" s="22">
        <f ca="1">IF(N50=1,AJ48*G$12*20/36000+AJ49*G$12*10/36000,IF(N50=0,IF(N49=0,0,AJ49*G$12*Q$12/36000)))</f>
        <v>0</v>
      </c>
      <c r="AL49" s="22">
        <f ca="1">IF(N50=1,AJ48*G$12*20/36000+AJ49*G$12*10/36000,IF(N50=0,IF(N49=0,0,AJ49*G$12*Q$12/36000)))</f>
        <v>0</v>
      </c>
      <c r="AM49" s="69">
        <f t="shared" ca="1" si="31"/>
        <v>0</v>
      </c>
      <c r="AN49" s="69">
        <f t="shared" ca="1" si="11"/>
        <v>0</v>
      </c>
      <c r="AO49" s="4">
        <f t="shared" ca="1" si="32"/>
        <v>0</v>
      </c>
      <c r="AP49" s="4">
        <f t="shared" ca="1" si="12"/>
        <v>0</v>
      </c>
      <c r="AQ49" s="4">
        <f t="shared" ca="1" si="13"/>
        <v>0</v>
      </c>
      <c r="AR49" s="4">
        <f t="shared" ca="1" si="14"/>
        <v>30</v>
      </c>
      <c r="AS49" s="4">
        <f t="shared" si="15"/>
        <v>20</v>
      </c>
      <c r="AT49" s="4">
        <f t="shared" ca="1" si="33"/>
        <v>30</v>
      </c>
      <c r="AU49" s="4"/>
      <c r="AV49" s="4"/>
      <c r="AW49" s="4"/>
      <c r="AX49" s="4"/>
      <c r="AY49" s="4"/>
      <c r="AZ49" s="4">
        <f t="shared" ca="1" si="16"/>
        <v>0</v>
      </c>
      <c r="BA49" s="4"/>
      <c r="BB49" s="4"/>
      <c r="BC49" s="4"/>
      <c r="BD49" s="4"/>
      <c r="BE49" s="10"/>
      <c r="BF49" s="4"/>
      <c r="BG49" s="4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</row>
    <row r="50" spans="1:142" s="24" customFormat="1" ht="15" customHeight="1">
      <c r="A50" s="4">
        <v>26</v>
      </c>
      <c r="B50" s="268" t="str">
        <f t="shared" ca="1" si="18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9"/>
        <v xml:space="preserve"> </v>
      </c>
      <c r="I50" s="84">
        <f t="shared" ca="1" si="20"/>
        <v>0</v>
      </c>
      <c r="J50" s="84">
        <f t="shared" ca="1" si="0"/>
        <v>0</v>
      </c>
      <c r="K50" s="84">
        <v>0</v>
      </c>
      <c r="L50" s="84" t="str">
        <f t="shared" ca="1" si="21"/>
        <v xml:space="preserve"> </v>
      </c>
      <c r="M50" s="4">
        <v>26</v>
      </c>
      <c r="N50" s="4">
        <f t="shared" ca="1" si="34"/>
        <v>0</v>
      </c>
      <c r="O50" s="4">
        <f t="shared" ca="1" si="1"/>
        <v>20</v>
      </c>
      <c r="P50" s="22">
        <f t="shared" ca="1" si="2"/>
        <v>0</v>
      </c>
      <c r="Q50" s="22">
        <f t="shared" ca="1" si="3"/>
        <v>0</v>
      </c>
      <c r="R50" s="22">
        <f t="shared" ca="1" si="23"/>
        <v>0</v>
      </c>
      <c r="S50" s="22" t="str">
        <f t="shared" ca="1" si="24"/>
        <v xml:space="preserve"> </v>
      </c>
      <c r="T50" s="22" t="e">
        <f t="shared" ca="1" si="25"/>
        <v>#VALUE!</v>
      </c>
      <c r="U50" s="22">
        <f t="shared" ref="U50:U60" ca="1" si="36">IF(N51=1,R49*D$11*20/36000+R50*D$11*10/36000,IF(N51=0,IF(N50=0,0,R50*D$11*Q$12/36000+R49*D$11*20/36000+R50*D$11*10/36000)))</f>
        <v>0</v>
      </c>
      <c r="V50" s="22">
        <f t="shared" ref="V50:V60" ca="1" si="37">IF(N51=1,R49*D$11*20/36000+R50*D$11*10/36000,IF(N51=0,IF(N50=0,0,R50*D$11*Q$12/36000+R49*D$11*20/36000+R50*D$11*10/36000)))</f>
        <v>0</v>
      </c>
      <c r="W50" s="22">
        <f t="shared" ca="1" si="26"/>
        <v>0</v>
      </c>
      <c r="X50" s="22">
        <f t="shared" ca="1" si="27"/>
        <v>0</v>
      </c>
      <c r="Y50" s="22">
        <f t="shared" ca="1" si="4"/>
        <v>0</v>
      </c>
      <c r="Z50" s="22">
        <f t="shared" ref="Z50:Z60" ca="1" si="38">IF(N51=1,Y49*D$11*20/36000+Y50*D$11*10/36000,IF(N51=0,IF(N50=0,0,Y50*D$11*Q$12/36000+Y49*D$11*20/36000+Y50*D$11*10/36000)))</f>
        <v>0</v>
      </c>
      <c r="AA50" s="22">
        <f t="shared" ca="1" si="5"/>
        <v>0</v>
      </c>
      <c r="AB50" s="22">
        <f t="shared" ca="1" si="35"/>
        <v>0</v>
      </c>
      <c r="AC50" s="22"/>
      <c r="AD50" s="22">
        <f t="shared" ca="1" si="6"/>
        <v>0</v>
      </c>
      <c r="AE50" s="22">
        <f t="shared" ca="1" si="7"/>
        <v>0</v>
      </c>
      <c r="AF50" s="22">
        <f t="shared" ca="1" si="29"/>
        <v>0</v>
      </c>
      <c r="AG50" s="22">
        <f t="shared" ca="1" si="8"/>
        <v>0</v>
      </c>
      <c r="AH50" s="22">
        <f t="shared" ca="1" si="30"/>
        <v>0</v>
      </c>
      <c r="AI50" s="22">
        <f t="shared" ca="1" si="9"/>
        <v>0</v>
      </c>
      <c r="AJ50" s="22">
        <f t="shared" ca="1" si="10"/>
        <v>0</v>
      </c>
      <c r="AK50" s="22">
        <f t="shared" ref="AK50:AK60" ca="1" si="39">IF(N51=1,AJ49*G$12*20/36000+AJ50*G$12*10/36000,IF(N51=0,IF(N50=0,0,AJ50*G$12*Q$12/36000+AJ49*G$12*20/36000+AJ50*G$12*10/36000)))</f>
        <v>0</v>
      </c>
      <c r="AL50" s="22">
        <f t="shared" ref="AL50:AL60" ca="1" si="40">IF(N51=1,AJ49*G$12*20/36000+AJ50*G$12*10/36000,IF(N51=0,IF(N50=0,0,AJ50*G$12*Q$12/36000+AJ49*G$12*20/36000+AJ50*G$12*10/36000)))</f>
        <v>0</v>
      </c>
      <c r="AM50" s="69">
        <f t="shared" ca="1" si="31"/>
        <v>0</v>
      </c>
      <c r="AN50" s="69">
        <f t="shared" ca="1" si="11"/>
        <v>0</v>
      </c>
      <c r="AO50" s="4">
        <f t="shared" ca="1" si="32"/>
        <v>0</v>
      </c>
      <c r="AP50" s="4">
        <f t="shared" ca="1" si="12"/>
        <v>0</v>
      </c>
      <c r="AQ50" s="4">
        <f t="shared" ca="1" si="13"/>
        <v>0</v>
      </c>
      <c r="AR50" s="4">
        <f t="shared" ca="1" si="14"/>
        <v>30</v>
      </c>
      <c r="AS50" s="4">
        <f t="shared" si="15"/>
        <v>20</v>
      </c>
      <c r="AT50" s="4">
        <f t="shared" ca="1" si="33"/>
        <v>30</v>
      </c>
      <c r="AU50" s="4"/>
      <c r="AV50" s="4"/>
      <c r="AW50" s="4"/>
      <c r="AX50" s="4"/>
      <c r="AY50" s="4"/>
      <c r="AZ50" s="4">
        <f t="shared" ca="1" si="16"/>
        <v>0</v>
      </c>
      <c r="BA50" s="4"/>
      <c r="BB50" s="4"/>
      <c r="BC50" s="4"/>
      <c r="BD50" s="4"/>
      <c r="BE50" s="10"/>
      <c r="BF50" s="19"/>
      <c r="BG50" s="19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</row>
    <row r="51" spans="1:142" s="24" customFormat="1" ht="15" customHeight="1">
      <c r="A51" s="4">
        <v>27</v>
      </c>
      <c r="B51" s="268" t="str">
        <f t="shared" ca="1" si="18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9"/>
        <v xml:space="preserve"> </v>
      </c>
      <c r="I51" s="84">
        <f t="shared" ca="1" si="20"/>
        <v>0</v>
      </c>
      <c r="J51" s="84">
        <f t="shared" ca="1" si="0"/>
        <v>0</v>
      </c>
      <c r="K51" s="84">
        <v>0</v>
      </c>
      <c r="L51" s="84" t="str">
        <f t="shared" ca="1" si="21"/>
        <v xml:space="preserve"> </v>
      </c>
      <c r="M51" s="4">
        <v>27</v>
      </c>
      <c r="N51" s="4">
        <f t="shared" ca="1" si="34"/>
        <v>0</v>
      </c>
      <c r="O51" s="4">
        <f t="shared" ca="1" si="1"/>
        <v>20</v>
      </c>
      <c r="P51" s="22">
        <f t="shared" ca="1" si="2"/>
        <v>0</v>
      </c>
      <c r="Q51" s="22">
        <f t="shared" ca="1" si="3"/>
        <v>0</v>
      </c>
      <c r="R51" s="22">
        <f t="shared" ca="1" si="23"/>
        <v>0</v>
      </c>
      <c r="S51" s="22" t="str">
        <f t="shared" ca="1" si="24"/>
        <v xml:space="preserve"> </v>
      </c>
      <c r="T51" s="22" t="e">
        <f t="shared" ca="1" si="25"/>
        <v>#VALUE!</v>
      </c>
      <c r="U51" s="22">
        <f t="shared" ca="1" si="36"/>
        <v>0</v>
      </c>
      <c r="V51" s="22">
        <f t="shared" ca="1" si="37"/>
        <v>0</v>
      </c>
      <c r="W51" s="22">
        <f t="shared" ca="1" si="26"/>
        <v>0</v>
      </c>
      <c r="X51" s="22">
        <f t="shared" ca="1" si="27"/>
        <v>0</v>
      </c>
      <c r="Y51" s="22">
        <f t="shared" ca="1" si="4"/>
        <v>0</v>
      </c>
      <c r="Z51" s="22">
        <f t="shared" ca="1" si="38"/>
        <v>0</v>
      </c>
      <c r="AA51" s="22">
        <f t="shared" ca="1" si="5"/>
        <v>0</v>
      </c>
      <c r="AB51" s="22">
        <f t="shared" ca="1" si="35"/>
        <v>0</v>
      </c>
      <c r="AC51" s="22"/>
      <c r="AD51" s="22">
        <f t="shared" ca="1" si="6"/>
        <v>0</v>
      </c>
      <c r="AE51" s="22">
        <f t="shared" ca="1" si="7"/>
        <v>0</v>
      </c>
      <c r="AF51" s="22">
        <f t="shared" ca="1" si="29"/>
        <v>0</v>
      </c>
      <c r="AG51" s="22">
        <f t="shared" ca="1" si="8"/>
        <v>0</v>
      </c>
      <c r="AH51" s="22">
        <f t="shared" ca="1" si="30"/>
        <v>0</v>
      </c>
      <c r="AI51" s="22">
        <f t="shared" ca="1" si="9"/>
        <v>0</v>
      </c>
      <c r="AJ51" s="22">
        <f t="shared" ca="1" si="10"/>
        <v>0</v>
      </c>
      <c r="AK51" s="22">
        <f t="shared" ca="1" si="39"/>
        <v>0</v>
      </c>
      <c r="AL51" s="22">
        <f t="shared" ca="1" si="40"/>
        <v>0</v>
      </c>
      <c r="AM51" s="69">
        <f t="shared" ca="1" si="31"/>
        <v>0</v>
      </c>
      <c r="AN51" s="69">
        <f t="shared" ca="1" si="11"/>
        <v>0</v>
      </c>
      <c r="AO51" s="4">
        <f t="shared" ca="1" si="32"/>
        <v>0</v>
      </c>
      <c r="AP51" s="4">
        <f t="shared" ca="1" si="12"/>
        <v>0</v>
      </c>
      <c r="AQ51" s="4">
        <f t="shared" ca="1" si="13"/>
        <v>0</v>
      </c>
      <c r="AR51" s="4">
        <f t="shared" ca="1" si="14"/>
        <v>30</v>
      </c>
      <c r="AS51" s="4">
        <f t="shared" si="15"/>
        <v>20</v>
      </c>
      <c r="AT51" s="4">
        <f t="shared" ca="1" si="33"/>
        <v>30</v>
      </c>
      <c r="AU51" s="4"/>
      <c r="AV51" s="4"/>
      <c r="AW51" s="4"/>
      <c r="AX51" s="4"/>
      <c r="AY51" s="4"/>
      <c r="AZ51" s="4">
        <f t="shared" ca="1" si="16"/>
        <v>0</v>
      </c>
      <c r="BA51" s="4"/>
      <c r="BB51" s="4"/>
      <c r="BC51" s="4"/>
      <c r="BD51" s="4"/>
      <c r="BE51" s="10"/>
      <c r="BF51" s="19"/>
      <c r="BG51" s="19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</row>
    <row r="52" spans="1:142" s="24" customFormat="1" ht="15" customHeight="1">
      <c r="A52" s="4">
        <v>28</v>
      </c>
      <c r="B52" s="268" t="str">
        <f t="shared" ca="1" si="18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9"/>
        <v xml:space="preserve"> </v>
      </c>
      <c r="I52" s="84">
        <f t="shared" ca="1" si="20"/>
        <v>0</v>
      </c>
      <c r="J52" s="84">
        <f t="shared" ca="1" si="0"/>
        <v>0</v>
      </c>
      <c r="K52" s="84">
        <v>0</v>
      </c>
      <c r="L52" s="84" t="str">
        <f t="shared" ca="1" si="21"/>
        <v xml:space="preserve"> </v>
      </c>
      <c r="M52" s="4">
        <v>28</v>
      </c>
      <c r="N52" s="4">
        <f t="shared" ca="1" si="34"/>
        <v>0</v>
      </c>
      <c r="O52" s="4">
        <f t="shared" ca="1" si="1"/>
        <v>20</v>
      </c>
      <c r="P52" s="22">
        <f t="shared" ca="1" si="2"/>
        <v>0</v>
      </c>
      <c r="Q52" s="22">
        <f t="shared" ca="1" si="3"/>
        <v>0</v>
      </c>
      <c r="R52" s="22">
        <f t="shared" ca="1" si="23"/>
        <v>0</v>
      </c>
      <c r="S52" s="22" t="str">
        <f t="shared" ca="1" si="24"/>
        <v xml:space="preserve"> </v>
      </c>
      <c r="T52" s="22" t="e">
        <f t="shared" ca="1" si="25"/>
        <v>#VALUE!</v>
      </c>
      <c r="U52" s="22">
        <f t="shared" ca="1" si="36"/>
        <v>0</v>
      </c>
      <c r="V52" s="22">
        <f t="shared" ca="1" si="37"/>
        <v>0</v>
      </c>
      <c r="W52" s="22">
        <f t="shared" ca="1" si="26"/>
        <v>0</v>
      </c>
      <c r="X52" s="22">
        <f t="shared" ca="1" si="27"/>
        <v>0</v>
      </c>
      <c r="Y52" s="22">
        <f t="shared" ca="1" si="4"/>
        <v>0</v>
      </c>
      <c r="Z52" s="22">
        <f t="shared" ca="1" si="38"/>
        <v>0</v>
      </c>
      <c r="AA52" s="22">
        <f t="shared" ca="1" si="5"/>
        <v>0</v>
      </c>
      <c r="AB52" s="22">
        <f t="shared" ca="1" si="35"/>
        <v>0</v>
      </c>
      <c r="AC52" s="22"/>
      <c r="AD52" s="22">
        <f t="shared" ca="1" si="6"/>
        <v>0</v>
      </c>
      <c r="AE52" s="22">
        <f t="shared" ca="1" si="7"/>
        <v>0</v>
      </c>
      <c r="AF52" s="22">
        <f t="shared" ca="1" si="29"/>
        <v>0</v>
      </c>
      <c r="AG52" s="22">
        <f t="shared" ca="1" si="8"/>
        <v>0</v>
      </c>
      <c r="AH52" s="22">
        <f t="shared" ca="1" si="30"/>
        <v>0</v>
      </c>
      <c r="AI52" s="22">
        <f t="shared" ca="1" si="9"/>
        <v>0</v>
      </c>
      <c r="AJ52" s="22">
        <f t="shared" ca="1" si="10"/>
        <v>0</v>
      </c>
      <c r="AK52" s="22">
        <f t="shared" ca="1" si="39"/>
        <v>0</v>
      </c>
      <c r="AL52" s="22">
        <f t="shared" ca="1" si="40"/>
        <v>0</v>
      </c>
      <c r="AM52" s="69">
        <f t="shared" ca="1" si="31"/>
        <v>0</v>
      </c>
      <c r="AN52" s="69">
        <f t="shared" ca="1" si="11"/>
        <v>0</v>
      </c>
      <c r="AO52" s="4">
        <f t="shared" ca="1" si="32"/>
        <v>0</v>
      </c>
      <c r="AP52" s="4">
        <f t="shared" ca="1" si="12"/>
        <v>0</v>
      </c>
      <c r="AQ52" s="4">
        <f t="shared" ca="1" si="13"/>
        <v>0</v>
      </c>
      <c r="AR52" s="4">
        <f t="shared" ca="1" si="14"/>
        <v>30</v>
      </c>
      <c r="AS52" s="4">
        <f t="shared" si="15"/>
        <v>20</v>
      </c>
      <c r="AT52" s="4">
        <f t="shared" ca="1" si="33"/>
        <v>30</v>
      </c>
      <c r="AU52" s="4"/>
      <c r="AV52" s="4"/>
      <c r="AW52" s="4"/>
      <c r="AX52" s="4"/>
      <c r="AY52" s="4"/>
      <c r="AZ52" s="4">
        <f t="shared" ca="1" si="16"/>
        <v>0</v>
      </c>
      <c r="BA52" s="4"/>
      <c r="BB52" s="4"/>
      <c r="BC52" s="4"/>
      <c r="BD52" s="4"/>
      <c r="BE52" s="10"/>
      <c r="BF52" s="19"/>
      <c r="BG52" s="19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</row>
    <row r="53" spans="1:142" s="24" customFormat="1" ht="15" customHeight="1">
      <c r="A53" s="4">
        <v>29</v>
      </c>
      <c r="B53" s="268" t="str">
        <f t="shared" ca="1" si="18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9"/>
        <v xml:space="preserve"> </v>
      </c>
      <c r="I53" s="84">
        <f t="shared" ca="1" si="20"/>
        <v>0</v>
      </c>
      <c r="J53" s="84">
        <f t="shared" ca="1" si="0"/>
        <v>0</v>
      </c>
      <c r="K53" s="84">
        <v>0</v>
      </c>
      <c r="L53" s="84" t="str">
        <f t="shared" ca="1" si="21"/>
        <v xml:space="preserve"> </v>
      </c>
      <c r="M53" s="4">
        <v>29</v>
      </c>
      <c r="N53" s="4">
        <f t="shared" ca="1" si="34"/>
        <v>0</v>
      </c>
      <c r="O53" s="4">
        <f t="shared" ca="1" si="1"/>
        <v>20</v>
      </c>
      <c r="P53" s="22">
        <f t="shared" ca="1" si="2"/>
        <v>0</v>
      </c>
      <c r="Q53" s="22">
        <f t="shared" ca="1" si="3"/>
        <v>0</v>
      </c>
      <c r="R53" s="22">
        <f t="shared" ca="1" si="23"/>
        <v>0</v>
      </c>
      <c r="S53" s="22" t="str">
        <f t="shared" ca="1" si="24"/>
        <v xml:space="preserve"> </v>
      </c>
      <c r="T53" s="22" t="e">
        <f t="shared" ca="1" si="25"/>
        <v>#VALUE!</v>
      </c>
      <c r="U53" s="22">
        <f t="shared" ca="1" si="36"/>
        <v>0</v>
      </c>
      <c r="V53" s="22">
        <f t="shared" ca="1" si="37"/>
        <v>0</v>
      </c>
      <c r="W53" s="22">
        <f t="shared" ca="1" si="26"/>
        <v>0</v>
      </c>
      <c r="X53" s="22">
        <f t="shared" ca="1" si="27"/>
        <v>0</v>
      </c>
      <c r="Y53" s="22">
        <f t="shared" ca="1" si="4"/>
        <v>0</v>
      </c>
      <c r="Z53" s="22">
        <f t="shared" ca="1" si="38"/>
        <v>0</v>
      </c>
      <c r="AA53" s="22">
        <f t="shared" ca="1" si="5"/>
        <v>0</v>
      </c>
      <c r="AB53" s="22">
        <f t="shared" ca="1" si="35"/>
        <v>0</v>
      </c>
      <c r="AC53" s="22"/>
      <c r="AD53" s="22">
        <f t="shared" ca="1" si="6"/>
        <v>0</v>
      </c>
      <c r="AE53" s="22">
        <f t="shared" ca="1" si="7"/>
        <v>0</v>
      </c>
      <c r="AF53" s="22">
        <f t="shared" ca="1" si="29"/>
        <v>0</v>
      </c>
      <c r="AG53" s="22">
        <f t="shared" ca="1" si="8"/>
        <v>0</v>
      </c>
      <c r="AH53" s="22">
        <f t="shared" ca="1" si="30"/>
        <v>0</v>
      </c>
      <c r="AI53" s="22">
        <f t="shared" ca="1" si="9"/>
        <v>0</v>
      </c>
      <c r="AJ53" s="22">
        <f t="shared" ca="1" si="10"/>
        <v>0</v>
      </c>
      <c r="AK53" s="22">
        <f t="shared" ca="1" si="39"/>
        <v>0</v>
      </c>
      <c r="AL53" s="22">
        <f t="shared" ca="1" si="40"/>
        <v>0</v>
      </c>
      <c r="AM53" s="69">
        <f t="shared" ca="1" si="31"/>
        <v>0</v>
      </c>
      <c r="AN53" s="69">
        <f t="shared" ca="1" si="11"/>
        <v>0</v>
      </c>
      <c r="AO53" s="4">
        <f t="shared" ca="1" si="32"/>
        <v>0</v>
      </c>
      <c r="AP53" s="4">
        <f t="shared" ca="1" si="12"/>
        <v>0</v>
      </c>
      <c r="AQ53" s="4">
        <f t="shared" ca="1" si="13"/>
        <v>0</v>
      </c>
      <c r="AR53" s="4">
        <f t="shared" ca="1" si="14"/>
        <v>30</v>
      </c>
      <c r="AS53" s="4">
        <f t="shared" si="15"/>
        <v>20</v>
      </c>
      <c r="AT53" s="4">
        <f t="shared" ca="1" si="33"/>
        <v>30</v>
      </c>
      <c r="AU53" s="4"/>
      <c r="AV53" s="4"/>
      <c r="AW53" s="4"/>
      <c r="AX53" s="4"/>
      <c r="AY53" s="4"/>
      <c r="AZ53" s="4">
        <f t="shared" ca="1" si="16"/>
        <v>0</v>
      </c>
      <c r="BA53" s="4"/>
      <c r="BB53" s="4"/>
      <c r="BC53" s="4"/>
      <c r="BD53" s="4"/>
      <c r="BE53" s="10"/>
      <c r="BF53" s="19"/>
      <c r="BG53" s="19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</row>
    <row r="54" spans="1:142" s="24" customFormat="1" ht="15" customHeight="1">
      <c r="A54" s="4">
        <v>30</v>
      </c>
      <c r="B54" s="268" t="str">
        <f t="shared" ca="1" si="18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9"/>
        <v xml:space="preserve"> </v>
      </c>
      <c r="I54" s="84">
        <f t="shared" ca="1" si="20"/>
        <v>0</v>
      </c>
      <c r="J54" s="84">
        <f t="shared" ca="1" si="0"/>
        <v>0</v>
      </c>
      <c r="K54" s="84">
        <v>0</v>
      </c>
      <c r="L54" s="84" t="str">
        <f t="shared" ca="1" si="21"/>
        <v xml:space="preserve"> </v>
      </c>
      <c r="M54" s="4">
        <v>30</v>
      </c>
      <c r="N54" s="4">
        <f t="shared" ca="1" si="34"/>
        <v>0</v>
      </c>
      <c r="O54" s="4">
        <f t="shared" ca="1" si="1"/>
        <v>20</v>
      </c>
      <c r="P54" s="22">
        <f t="shared" ca="1" si="2"/>
        <v>0</v>
      </c>
      <c r="Q54" s="22">
        <f t="shared" ca="1" si="3"/>
        <v>0</v>
      </c>
      <c r="R54" s="22">
        <f t="shared" ca="1" si="23"/>
        <v>0</v>
      </c>
      <c r="S54" s="22" t="str">
        <f t="shared" ca="1" si="24"/>
        <v xml:space="preserve"> </v>
      </c>
      <c r="T54" s="22" t="e">
        <f t="shared" ca="1" si="25"/>
        <v>#VALUE!</v>
      </c>
      <c r="U54" s="22">
        <f t="shared" ca="1" si="36"/>
        <v>0</v>
      </c>
      <c r="V54" s="22">
        <f t="shared" ca="1" si="37"/>
        <v>0</v>
      </c>
      <c r="W54" s="22">
        <f t="shared" ca="1" si="26"/>
        <v>0</v>
      </c>
      <c r="X54" s="22">
        <f t="shared" ca="1" si="27"/>
        <v>0</v>
      </c>
      <c r="Y54" s="22">
        <f t="shared" ca="1" si="4"/>
        <v>0</v>
      </c>
      <c r="Z54" s="22">
        <f t="shared" ca="1" si="38"/>
        <v>0</v>
      </c>
      <c r="AA54" s="22">
        <f t="shared" ca="1" si="5"/>
        <v>0</v>
      </c>
      <c r="AB54" s="22">
        <f t="shared" ca="1" si="35"/>
        <v>0</v>
      </c>
      <c r="AC54" s="22"/>
      <c r="AD54" s="22">
        <f t="shared" ca="1" si="6"/>
        <v>0</v>
      </c>
      <c r="AE54" s="22">
        <f t="shared" ca="1" si="7"/>
        <v>0</v>
      </c>
      <c r="AF54" s="22">
        <f t="shared" ca="1" si="29"/>
        <v>0</v>
      </c>
      <c r="AG54" s="22">
        <f t="shared" ca="1" si="8"/>
        <v>0</v>
      </c>
      <c r="AH54" s="22">
        <f t="shared" ca="1" si="30"/>
        <v>0</v>
      </c>
      <c r="AI54" s="22">
        <f t="shared" ca="1" si="9"/>
        <v>0</v>
      </c>
      <c r="AJ54" s="22">
        <f t="shared" ca="1" si="10"/>
        <v>0</v>
      </c>
      <c r="AK54" s="22">
        <f t="shared" ca="1" si="39"/>
        <v>0</v>
      </c>
      <c r="AL54" s="22">
        <f t="shared" ca="1" si="40"/>
        <v>0</v>
      </c>
      <c r="AM54" s="69">
        <f t="shared" ca="1" si="31"/>
        <v>0</v>
      </c>
      <c r="AN54" s="69">
        <f t="shared" ca="1" si="11"/>
        <v>0</v>
      </c>
      <c r="AO54" s="4">
        <f t="shared" ca="1" si="32"/>
        <v>0</v>
      </c>
      <c r="AP54" s="4">
        <f t="shared" ca="1" si="12"/>
        <v>0</v>
      </c>
      <c r="AQ54" s="4">
        <f t="shared" ca="1" si="13"/>
        <v>0</v>
      </c>
      <c r="AR54" s="4">
        <f t="shared" ca="1" si="14"/>
        <v>30</v>
      </c>
      <c r="AS54" s="4">
        <f t="shared" si="15"/>
        <v>20</v>
      </c>
      <c r="AT54" s="4">
        <f t="shared" ca="1" si="33"/>
        <v>30</v>
      </c>
      <c r="AU54" s="4"/>
      <c r="AV54" s="4"/>
      <c r="AW54" s="4"/>
      <c r="AX54" s="4"/>
      <c r="AY54" s="4"/>
      <c r="AZ54" s="4">
        <f t="shared" ca="1" si="16"/>
        <v>0</v>
      </c>
      <c r="BA54" s="4"/>
      <c r="BB54" s="4"/>
      <c r="BC54" s="4"/>
      <c r="BD54" s="4"/>
      <c r="BE54" s="10"/>
      <c r="BF54" s="19"/>
      <c r="BG54" s="19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</row>
    <row r="55" spans="1:142" s="24" customFormat="1" ht="15" customHeight="1">
      <c r="A55" s="4">
        <v>31</v>
      </c>
      <c r="B55" s="268" t="str">
        <f t="shared" ca="1" si="18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9"/>
        <v xml:space="preserve"> </v>
      </c>
      <c r="I55" s="84">
        <f t="shared" ca="1" si="20"/>
        <v>0</v>
      </c>
      <c r="J55" s="84">
        <f t="shared" ca="1" si="0"/>
        <v>0</v>
      </c>
      <c r="K55" s="84">
        <v>0</v>
      </c>
      <c r="L55" s="84" t="str">
        <f t="shared" ca="1" si="21"/>
        <v xml:space="preserve"> </v>
      </c>
      <c r="M55" s="4">
        <v>31</v>
      </c>
      <c r="N55" s="4">
        <f t="shared" ca="1" si="34"/>
        <v>0</v>
      </c>
      <c r="O55" s="4">
        <f t="shared" ca="1" si="1"/>
        <v>20</v>
      </c>
      <c r="P55" s="22">
        <f t="shared" ca="1" si="2"/>
        <v>0</v>
      </c>
      <c r="Q55" s="22">
        <f t="shared" ca="1" si="3"/>
        <v>0</v>
      </c>
      <c r="R55" s="22">
        <f t="shared" ca="1" si="23"/>
        <v>0</v>
      </c>
      <c r="S55" s="22" t="str">
        <f t="shared" ca="1" si="24"/>
        <v xml:space="preserve"> </v>
      </c>
      <c r="T55" s="22" t="e">
        <f t="shared" ca="1" si="25"/>
        <v>#VALUE!</v>
      </c>
      <c r="U55" s="22">
        <f t="shared" ca="1" si="36"/>
        <v>0</v>
      </c>
      <c r="V55" s="22">
        <f t="shared" ca="1" si="37"/>
        <v>0</v>
      </c>
      <c r="W55" s="22">
        <f t="shared" ca="1" si="26"/>
        <v>0</v>
      </c>
      <c r="X55" s="22">
        <f t="shared" ca="1" si="27"/>
        <v>0</v>
      </c>
      <c r="Y55" s="22">
        <f t="shared" ca="1" si="4"/>
        <v>0</v>
      </c>
      <c r="Z55" s="22">
        <f t="shared" ca="1" si="38"/>
        <v>0</v>
      </c>
      <c r="AA55" s="22">
        <f t="shared" ca="1" si="5"/>
        <v>0</v>
      </c>
      <c r="AB55" s="22">
        <f t="shared" ca="1" si="35"/>
        <v>0</v>
      </c>
      <c r="AC55" s="22"/>
      <c r="AD55" s="22">
        <f t="shared" ca="1" si="6"/>
        <v>0</v>
      </c>
      <c r="AE55" s="22">
        <f t="shared" ca="1" si="7"/>
        <v>0</v>
      </c>
      <c r="AF55" s="22">
        <f t="shared" ca="1" si="29"/>
        <v>0</v>
      </c>
      <c r="AG55" s="22">
        <f t="shared" ca="1" si="8"/>
        <v>0</v>
      </c>
      <c r="AH55" s="22">
        <f t="shared" ca="1" si="30"/>
        <v>0</v>
      </c>
      <c r="AI55" s="22">
        <f t="shared" ca="1" si="9"/>
        <v>0</v>
      </c>
      <c r="AJ55" s="22">
        <f t="shared" ca="1" si="10"/>
        <v>0</v>
      </c>
      <c r="AK55" s="22">
        <f t="shared" ca="1" si="39"/>
        <v>0</v>
      </c>
      <c r="AL55" s="22">
        <f t="shared" ca="1" si="40"/>
        <v>0</v>
      </c>
      <c r="AM55" s="69">
        <f t="shared" ca="1" si="31"/>
        <v>0</v>
      </c>
      <c r="AN55" s="69">
        <f t="shared" ca="1" si="11"/>
        <v>0</v>
      </c>
      <c r="AO55" s="4">
        <f t="shared" ca="1" si="32"/>
        <v>0</v>
      </c>
      <c r="AP55" s="4">
        <f t="shared" ca="1" si="12"/>
        <v>0</v>
      </c>
      <c r="AQ55" s="4">
        <f t="shared" ca="1" si="13"/>
        <v>0</v>
      </c>
      <c r="AR55" s="4">
        <f t="shared" ca="1" si="14"/>
        <v>30</v>
      </c>
      <c r="AS55" s="4">
        <f t="shared" si="15"/>
        <v>20</v>
      </c>
      <c r="AT55" s="4">
        <f t="shared" ca="1" si="33"/>
        <v>30</v>
      </c>
      <c r="AU55" s="4"/>
      <c r="AV55" s="4"/>
      <c r="AW55" s="4"/>
      <c r="AX55" s="4"/>
      <c r="AY55" s="4"/>
      <c r="AZ55" s="4">
        <f t="shared" ca="1" si="16"/>
        <v>0</v>
      </c>
      <c r="BA55" s="4"/>
      <c r="BB55" s="4"/>
      <c r="BC55" s="4"/>
      <c r="BD55" s="4"/>
      <c r="BE55" s="10"/>
      <c r="BF55" s="19"/>
      <c r="BG55" s="19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</row>
    <row r="56" spans="1:142" s="24" customFormat="1" ht="15" customHeight="1">
      <c r="A56" s="4">
        <v>32</v>
      </c>
      <c r="B56" s="268" t="str">
        <f t="shared" ca="1" si="18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9"/>
        <v xml:space="preserve"> </v>
      </c>
      <c r="I56" s="84">
        <f t="shared" ca="1" si="20"/>
        <v>0</v>
      </c>
      <c r="J56" s="84">
        <f t="shared" ca="1" si="0"/>
        <v>0</v>
      </c>
      <c r="K56" s="84">
        <v>0</v>
      </c>
      <c r="L56" s="84" t="str">
        <f t="shared" ca="1" si="21"/>
        <v xml:space="preserve"> </v>
      </c>
      <c r="M56" s="4">
        <v>32</v>
      </c>
      <c r="N56" s="4">
        <f t="shared" ca="1" si="34"/>
        <v>0</v>
      </c>
      <c r="O56" s="4">
        <f t="shared" ca="1" si="1"/>
        <v>20</v>
      </c>
      <c r="P56" s="22">
        <f t="shared" ca="1" si="2"/>
        <v>0</v>
      </c>
      <c r="Q56" s="22">
        <f t="shared" ca="1" si="3"/>
        <v>0</v>
      </c>
      <c r="R56" s="22">
        <f t="shared" ca="1" si="23"/>
        <v>0</v>
      </c>
      <c r="S56" s="22" t="str">
        <f t="shared" ca="1" si="24"/>
        <v xml:space="preserve"> </v>
      </c>
      <c r="T56" s="22" t="e">
        <f t="shared" ca="1" si="25"/>
        <v>#VALUE!</v>
      </c>
      <c r="U56" s="22">
        <f t="shared" ca="1" si="36"/>
        <v>0</v>
      </c>
      <c r="V56" s="22">
        <f t="shared" ca="1" si="37"/>
        <v>0</v>
      </c>
      <c r="W56" s="22">
        <f t="shared" ca="1" si="26"/>
        <v>0</v>
      </c>
      <c r="X56" s="22">
        <f t="shared" ca="1" si="27"/>
        <v>0</v>
      </c>
      <c r="Y56" s="22">
        <f t="shared" ca="1" si="4"/>
        <v>0</v>
      </c>
      <c r="Z56" s="22">
        <f t="shared" ca="1" si="38"/>
        <v>0</v>
      </c>
      <c r="AA56" s="22">
        <f t="shared" ca="1" si="5"/>
        <v>0</v>
      </c>
      <c r="AB56" s="22">
        <f t="shared" ca="1" si="35"/>
        <v>0</v>
      </c>
      <c r="AC56" s="22"/>
      <c r="AD56" s="22">
        <f t="shared" ca="1" si="6"/>
        <v>0</v>
      </c>
      <c r="AE56" s="22">
        <f t="shared" ca="1" si="7"/>
        <v>0</v>
      </c>
      <c r="AF56" s="22">
        <f t="shared" ca="1" si="29"/>
        <v>0</v>
      </c>
      <c r="AG56" s="22">
        <f t="shared" ca="1" si="8"/>
        <v>0</v>
      </c>
      <c r="AH56" s="22">
        <f t="shared" ca="1" si="30"/>
        <v>0</v>
      </c>
      <c r="AI56" s="22">
        <f t="shared" ca="1" si="9"/>
        <v>0</v>
      </c>
      <c r="AJ56" s="22">
        <f t="shared" ca="1" si="10"/>
        <v>0</v>
      </c>
      <c r="AK56" s="22">
        <f t="shared" ca="1" si="39"/>
        <v>0</v>
      </c>
      <c r="AL56" s="22">
        <f t="shared" ca="1" si="40"/>
        <v>0</v>
      </c>
      <c r="AM56" s="69">
        <f t="shared" ca="1" si="31"/>
        <v>0</v>
      </c>
      <c r="AN56" s="69">
        <f t="shared" ca="1" si="11"/>
        <v>0</v>
      </c>
      <c r="AO56" s="4">
        <f t="shared" ca="1" si="32"/>
        <v>0</v>
      </c>
      <c r="AP56" s="4">
        <f t="shared" ca="1" si="12"/>
        <v>0</v>
      </c>
      <c r="AQ56" s="4">
        <f t="shared" ca="1" si="13"/>
        <v>0</v>
      </c>
      <c r="AR56" s="4">
        <f t="shared" ca="1" si="14"/>
        <v>30</v>
      </c>
      <c r="AS56" s="4">
        <f t="shared" si="15"/>
        <v>20</v>
      </c>
      <c r="AT56" s="4">
        <f t="shared" ca="1" si="33"/>
        <v>30</v>
      </c>
      <c r="AU56" s="4"/>
      <c r="AV56" s="4"/>
      <c r="AW56" s="4"/>
      <c r="AX56" s="4"/>
      <c r="AY56" s="4"/>
      <c r="AZ56" s="4">
        <f t="shared" ca="1" si="16"/>
        <v>0</v>
      </c>
      <c r="BA56" s="4"/>
      <c r="BB56" s="4"/>
      <c r="BC56" s="4"/>
      <c r="BD56" s="4"/>
      <c r="BE56" s="10"/>
      <c r="BF56" s="19"/>
      <c r="BG56" s="19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</row>
    <row r="57" spans="1:142" s="24" customFormat="1" ht="15" customHeight="1">
      <c r="A57" s="4">
        <v>33</v>
      </c>
      <c r="B57" s="268" t="str">
        <f t="shared" ca="1" si="18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9"/>
        <v xml:space="preserve"> </v>
      </c>
      <c r="I57" s="84">
        <f t="shared" ca="1" si="20"/>
        <v>0</v>
      </c>
      <c r="J57" s="84">
        <f t="shared" ref="J57:J85" ca="1" si="41">AA57</f>
        <v>0</v>
      </c>
      <c r="K57" s="84">
        <v>0</v>
      </c>
      <c r="L57" s="84" t="str">
        <f t="shared" ca="1" si="21"/>
        <v xml:space="preserve"> </v>
      </c>
      <c r="M57" s="4">
        <v>33</v>
      </c>
      <c r="N57" s="4">
        <f t="shared" ca="1" si="34"/>
        <v>0</v>
      </c>
      <c r="O57" s="4">
        <f t="shared" ref="O57:O85" ca="1" si="42">IF(D$14+1=A$14,IF(M57=A$14,IF(DATE(YEAR(0),MONTH(0),DAY(D$16)-1)&gt;AS57,DATE(YEAR(0),MONTH(0),DAY(D$16)-1),AS57),AS57),IF(M57=A$14,IF(DATE(YEAR(0),MONTH(0),DAY(D$16)-1)&lt;AS57,DATE(YEAR(0),MONTH(0),DAY(D$16)-1),AS57),AS57))</f>
        <v>20</v>
      </c>
      <c r="P57" s="22">
        <f t="shared" ref="P57:P85" ca="1" si="43">IF(U57&lt;&gt;0,IF(VALUE(RIGHT(ROUND(U57,0)))&lt;=5,ROUND(U57,0)-VALUE(RIGHT(ROUND(U57,0))),ROUND(U57,0)+10-VALUE(RIGHT(ROUND(U57,0)))),0)</f>
        <v>0</v>
      </c>
      <c r="Q57" s="22">
        <f t="shared" ref="Q57:Q85" ca="1" si="44">IF(V57&lt;&gt;0,IF(VALUE(RIGHT(ROUND(V57,0)))&lt;=5,ROUND(V57,0)-VALUE(RIGHT(ROUND(V57,0))),ROUND(V57,0)+10-VALUE(RIGHT(ROUND(V57,0)))),0)</f>
        <v>0</v>
      </c>
      <c r="R57" s="22">
        <f t="shared" ca="1" si="23"/>
        <v>0</v>
      </c>
      <c r="S57" s="22" t="str">
        <f t="shared" ca="1" si="24"/>
        <v xml:space="preserve"> </v>
      </c>
      <c r="T57" s="22" t="e">
        <f t="shared" ca="1" si="25"/>
        <v>#VALUE!</v>
      </c>
      <c r="U57" s="22">
        <f t="shared" ca="1" si="36"/>
        <v>0</v>
      </c>
      <c r="V57" s="22">
        <f t="shared" ca="1" si="37"/>
        <v>0</v>
      </c>
      <c r="W57" s="22">
        <f t="shared" ca="1" si="26"/>
        <v>0</v>
      </c>
      <c r="X57" s="22">
        <f t="shared" ca="1" si="27"/>
        <v>0</v>
      </c>
      <c r="Y57" s="22">
        <f t="shared" ref="Y57:Y85" ca="1" si="45">IF(M57&lt;=(D$15+1),D$10,Y56-I56)</f>
        <v>0</v>
      </c>
      <c r="Z57" s="22">
        <f t="shared" ca="1" si="38"/>
        <v>0</v>
      </c>
      <c r="AA57" s="22">
        <f t="shared" ref="AA57:AA85" ca="1" si="46">IF(Z57&lt;&gt;0,IF(VALUE(RIGHT(ROUND(Z57,0)))&lt;=5,ROUND(Z57,0)-VALUE(RIGHT(ROUND(Z57,0))),ROUND(Z57,0)+10-VALUE(RIGHT(ROUND(Z57,0)))),0)</f>
        <v>0</v>
      </c>
      <c r="AB57" s="22">
        <f t="shared" ca="1" si="35"/>
        <v>0</v>
      </c>
      <c r="AC57" s="22"/>
      <c r="AD57" s="22">
        <f t="shared" ref="AD57:AD85" ca="1" si="47">IF(AK57&lt;&gt;0,IF(VALUE(RIGHT(ROUND(AK57,0)))&lt;=5,ROUND(AK57,0)-VALUE(RIGHT(ROUND(AK57,0))),ROUND(AK57,0)+10-VALUE(RIGHT(ROUND(AK57,0)))),0)</f>
        <v>0</v>
      </c>
      <c r="AE57" s="22">
        <f t="shared" ref="AE57:AE85" ca="1" si="48">IF(AL57&lt;&gt;0,IF(VALUE(RIGHT(ROUND(AL57,0)))&lt;=5,ROUND(AL57,0)-VALUE(RIGHT(ROUND(AL57,0))),ROUND(AL57,0)+10-VALUE(RIGHT(ROUND(AL57,0)))),0)</f>
        <v>0</v>
      </c>
      <c r="AF57" s="22">
        <f t="shared" ca="1" si="29"/>
        <v>0</v>
      </c>
      <c r="AG57" s="22">
        <f t="shared" ref="AG57:AG85" ca="1" si="49">IF(AF57&lt;&gt;0,IF(VALUE(RIGHT(ROUND(AF57,0)))&lt;=5,ROUND(AF57,0)-VALUE(RIGHT(ROUND(AF57,0))),ROUND(AF57,0)+10-VALUE(RIGHT(ROUND(AF57,0)))),0)</f>
        <v>0</v>
      </c>
      <c r="AH57" s="22">
        <f t="shared" ca="1" si="30"/>
        <v>0</v>
      </c>
      <c r="AI57" s="22">
        <f t="shared" ref="AI57:AI85" ca="1" si="50">IF(AH57&lt;&gt;0,IF(VALUE(RIGHT(ROUND(AH57,0)))&lt;=5,ROUND(AH57,0)-VALUE(RIGHT(ROUND(AH57,0))),ROUND(AH57,0)+10-VALUE(RIGHT(ROUND(AH57,0)))),0)</f>
        <v>0</v>
      </c>
      <c r="AJ57" s="22">
        <f t="shared" ref="AJ57:AJ85" ca="1" si="51">R57</f>
        <v>0</v>
      </c>
      <c r="AK57" s="22">
        <f t="shared" ca="1" si="39"/>
        <v>0</v>
      </c>
      <c r="AL57" s="22">
        <f t="shared" ca="1" si="40"/>
        <v>0</v>
      </c>
      <c r="AM57" s="69">
        <f t="shared" ca="1" si="31"/>
        <v>0</v>
      </c>
      <c r="AN57" s="69">
        <f t="shared" ref="AN57:AN85" ca="1" si="52">IF(AM57=13,1,AM57)</f>
        <v>0</v>
      </c>
      <c r="AO57" s="4">
        <f t="shared" ca="1" si="32"/>
        <v>0</v>
      </c>
      <c r="AP57" s="4">
        <f t="shared" ref="AP57:AP85" ca="1" si="53">IF(AN57=1,AO57+1,AO57)</f>
        <v>0</v>
      </c>
      <c r="AQ57" s="4">
        <f t="shared" ref="AQ57:AQ85" ca="1" si="54">IF((AO57/2012)=1,1,IF((AO57/2016)=1,1,IF((AO57/2020)=1,1,IF((AO57/2024)=1,1,IF((AO57/2028)=1,1,IF((AO57/2032)=1,1,0))))))</f>
        <v>0</v>
      </c>
      <c r="AR57" s="4">
        <f t="shared" ref="AR57:AR85" ca="1" si="55">IF(AN57=2,IF(AQ57=1,29,28),30)</f>
        <v>30</v>
      </c>
      <c r="AS57" s="4">
        <f t="shared" ref="AS57:AS85" si="56">IF(C$24=30,AR57,20)</f>
        <v>20</v>
      </c>
      <c r="AT57" s="4">
        <f t="shared" ca="1" si="33"/>
        <v>30</v>
      </c>
      <c r="AU57" s="4"/>
      <c r="AV57" s="4"/>
      <c r="AW57" s="4"/>
      <c r="AX57" s="4"/>
      <c r="AY57" s="4"/>
      <c r="AZ57" s="4">
        <f t="shared" ref="AZ57:AZ85" ca="1" si="57">IF(D$15=0,0,IF(N57=1,1,0))</f>
        <v>0</v>
      </c>
      <c r="BA57" s="4"/>
      <c r="BB57" s="4"/>
      <c r="BC57" s="4"/>
      <c r="BD57" s="4"/>
      <c r="BE57" s="10"/>
      <c r="BF57" s="19"/>
      <c r="BG57" s="19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</row>
    <row r="58" spans="1:142" s="24" customFormat="1" ht="15" customHeight="1">
      <c r="A58" s="4">
        <v>34</v>
      </c>
      <c r="B58" s="268" t="str">
        <f t="shared" ref="B58:B85" ca="1" si="58">IF(N58=0,IF(N57=1,"ИТОГО"," "),IF(A$14=D$14+1,IF(M58=A$14,IF(MONTH(B57)=2,IF(DAY(D$16)&gt;29,DATE(YEAR(B57),MONTH(B57),AT58),DATE(YEAR(B57),MONTH(B57),O58)),DATE(YEAR(B57),MONTH(B57),O58)),DATE(YEAR(B57),MONTH(B57)+1,O58)),DATE(YEAR(B57),MONTH(B57)+1,O58)))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9">IF(SUM(D58:G58)=0," ",SUM(D58:G58))</f>
        <v xml:space="preserve"> </v>
      </c>
      <c r="I58" s="84">
        <f t="shared" ref="I58:I85" ca="1" si="60">IF(N58=1,IF(N59=1,IF(M58&lt;=D$15,T58,AW$26),D$10-AW$26*M$16+AW$26),0)</f>
        <v>0</v>
      </c>
      <c r="J58" s="84">
        <f t="shared" ca="1" si="41"/>
        <v>0</v>
      </c>
      <c r="K58" s="84">
        <v>0</v>
      </c>
      <c r="L58" s="84" t="str">
        <f t="shared" ref="L58:L85" ca="1" si="61">IF(SUM(I58:K58)=0," ",SUM(I58:K58))</f>
        <v xml:space="preserve"> </v>
      </c>
      <c r="M58" s="4">
        <v>34</v>
      </c>
      <c r="N58" s="4">
        <f t="shared" ca="1" si="34"/>
        <v>0</v>
      </c>
      <c r="O58" s="4">
        <f t="shared" ca="1" si="42"/>
        <v>20</v>
      </c>
      <c r="P58" s="22">
        <f t="shared" ca="1" si="43"/>
        <v>0</v>
      </c>
      <c r="Q58" s="22">
        <f t="shared" ca="1" si="44"/>
        <v>0</v>
      </c>
      <c r="R58" s="22">
        <f t="shared" ref="R58:R85" ca="1" si="62">IF(N58=0,0,R57-D57)</f>
        <v>0</v>
      </c>
      <c r="S58" s="22" t="str">
        <f t="shared" ref="S58:S85" ca="1" si="63">IF(M58&lt;=D$15,D$10/(D$14-M57),D58)</f>
        <v xml:space="preserve"> </v>
      </c>
      <c r="T58" s="22" t="e">
        <f t="shared" ref="T58:T85" ca="1" si="64">IF(S58&lt;&gt;0,IF(VALUE(RIGHT(ROUND(S58,0)))&lt;=5,ROUND(S58,0)-VALUE(RIGHT(ROUND(S58,0))),ROUND(S58,0)+10-VALUE(RIGHT(ROUND(S58,0)))),0)</f>
        <v>#VALUE!</v>
      </c>
      <c r="U58" s="22">
        <f t="shared" ca="1" si="36"/>
        <v>0</v>
      </c>
      <c r="V58" s="22">
        <f t="shared" ca="1" si="37"/>
        <v>0</v>
      </c>
      <c r="W58" s="22">
        <f t="shared" ref="W58:W84" ca="1" si="65">IF(N59=1,$D$10*$D$11*20/36000+$D$10*$D$11*10/36000,IF(N59=0,IF(N58=0,0,$D$10*$D$11*$Q$12/36000+$D$10*$D$11*20/36000+$D$10*$D$11*10/36000)))</f>
        <v>0</v>
      </c>
      <c r="X58" s="22">
        <f t="shared" ref="X58:X85" ca="1" si="66">IF(W58&lt;&gt;0,IF(VALUE(RIGHT(ROUND(W58,0)))&lt;=5,ROUND(W58,0)-VALUE(RIGHT(ROUND(W58,0))),ROUND(W58,0)+10-VALUE(RIGHT(ROUND(W58,0)))),0)</f>
        <v>0</v>
      </c>
      <c r="Y58" s="22">
        <f t="shared" ca="1" si="45"/>
        <v>0</v>
      </c>
      <c r="Z58" s="22">
        <f t="shared" ca="1" si="38"/>
        <v>0</v>
      </c>
      <c r="AA58" s="22">
        <f t="shared" ca="1" si="46"/>
        <v>0</v>
      </c>
      <c r="AB58" s="22">
        <f t="shared" ca="1" si="35"/>
        <v>0</v>
      </c>
      <c r="AC58" s="22"/>
      <c r="AD58" s="22">
        <f t="shared" ca="1" si="47"/>
        <v>0</v>
      </c>
      <c r="AE58" s="22">
        <f t="shared" ca="1" si="48"/>
        <v>0</v>
      </c>
      <c r="AF58" s="22">
        <f t="shared" ref="AF58:AF84" ca="1" si="67">IF(N59=1,D$10*G$12*20/36000+D$10*G$12*10/36000,IF(N59=0,IF(N58=0,0,D$10*G$12*Q$12/36000+D$10*G$12*20/36000+D$10*G$12*10/36000)))</f>
        <v>0</v>
      </c>
      <c r="AG58" s="22">
        <f t="shared" ca="1" si="49"/>
        <v>0</v>
      </c>
      <c r="AH58" s="22">
        <f t="shared" ref="AH58:AH84" ca="1" si="68">IF(N59=1,Y57*G$12*20/36000+Y58*G$12*10/36000,IF(N59=0,IF(N58=0,0,Y58*G$12*Q$12/36000+Y57*G$12*20/36000+Y58*G$12*10/36000)))</f>
        <v>0</v>
      </c>
      <c r="AI58" s="22">
        <f t="shared" ca="1" si="50"/>
        <v>0</v>
      </c>
      <c r="AJ58" s="22">
        <f t="shared" ca="1" si="51"/>
        <v>0</v>
      </c>
      <c r="AK58" s="22">
        <f t="shared" ca="1" si="39"/>
        <v>0</v>
      </c>
      <c r="AL58" s="22">
        <f t="shared" ca="1" si="40"/>
        <v>0</v>
      </c>
      <c r="AM58" s="69">
        <f t="shared" ref="AM58:AM85" ca="1" si="69">IF(N58=0,0,MONTH(B57)+1)</f>
        <v>0</v>
      </c>
      <c r="AN58" s="69">
        <f t="shared" ca="1" si="52"/>
        <v>0</v>
      </c>
      <c r="AO58" s="4">
        <f t="shared" ref="AO58:AO85" ca="1" si="70">IF(N58=0,0,YEAR(B57))</f>
        <v>0</v>
      </c>
      <c r="AP58" s="4">
        <f t="shared" ca="1" si="53"/>
        <v>0</v>
      </c>
      <c r="AQ58" s="4">
        <f t="shared" ca="1" si="54"/>
        <v>0</v>
      </c>
      <c r="AR58" s="4">
        <f t="shared" ca="1" si="55"/>
        <v>30</v>
      </c>
      <c r="AS58" s="4">
        <f t="shared" si="56"/>
        <v>20</v>
      </c>
      <c r="AT58" s="4">
        <f t="shared" ref="AT58:AT85" ca="1" si="71">AR57</f>
        <v>30</v>
      </c>
      <c r="AU58" s="4"/>
      <c r="AV58" s="4"/>
      <c r="AW58" s="4"/>
      <c r="AX58" s="4"/>
      <c r="AY58" s="4"/>
      <c r="AZ58" s="4">
        <f t="shared" ca="1" si="57"/>
        <v>0</v>
      </c>
      <c r="BA58" s="4"/>
      <c r="BB58" s="4"/>
      <c r="BC58" s="4"/>
      <c r="BD58" s="4"/>
      <c r="BE58" s="10"/>
      <c r="BF58" s="19"/>
      <c r="BG58" s="19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</row>
    <row r="59" spans="1:142" s="24" customFormat="1" ht="15" customHeight="1">
      <c r="A59" s="4">
        <v>35</v>
      </c>
      <c r="B59" s="268" t="str">
        <f t="shared" ca="1" si="58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9"/>
        <v xml:space="preserve"> </v>
      </c>
      <c r="I59" s="84">
        <f t="shared" ca="1" si="60"/>
        <v>0</v>
      </c>
      <c r="J59" s="84">
        <f t="shared" ca="1" si="41"/>
        <v>0</v>
      </c>
      <c r="K59" s="84">
        <v>0</v>
      </c>
      <c r="L59" s="84" t="str">
        <f t="shared" ca="1" si="61"/>
        <v xml:space="preserve"> </v>
      </c>
      <c r="M59" s="4">
        <v>35</v>
      </c>
      <c r="N59" s="4">
        <f t="shared" ca="1" si="34"/>
        <v>0</v>
      </c>
      <c r="O59" s="4">
        <f t="shared" ca="1" si="42"/>
        <v>20</v>
      </c>
      <c r="P59" s="22">
        <f t="shared" ca="1" si="43"/>
        <v>0</v>
      </c>
      <c r="Q59" s="22">
        <f t="shared" ca="1" si="44"/>
        <v>0</v>
      </c>
      <c r="R59" s="22">
        <f t="shared" ca="1" si="62"/>
        <v>0</v>
      </c>
      <c r="S59" s="22" t="str">
        <f t="shared" ca="1" si="63"/>
        <v xml:space="preserve"> </v>
      </c>
      <c r="T59" s="22" t="e">
        <f t="shared" ca="1" si="64"/>
        <v>#VALUE!</v>
      </c>
      <c r="U59" s="22">
        <f t="shared" ca="1" si="36"/>
        <v>0</v>
      </c>
      <c r="V59" s="22">
        <f t="shared" ca="1" si="37"/>
        <v>0</v>
      </c>
      <c r="W59" s="22">
        <f t="shared" ca="1" si="65"/>
        <v>0</v>
      </c>
      <c r="X59" s="22">
        <f t="shared" ca="1" si="66"/>
        <v>0</v>
      </c>
      <c r="Y59" s="22">
        <f t="shared" ca="1" si="45"/>
        <v>0</v>
      </c>
      <c r="Z59" s="22">
        <f t="shared" ca="1" si="38"/>
        <v>0</v>
      </c>
      <c r="AA59" s="22">
        <f t="shared" ca="1" si="46"/>
        <v>0</v>
      </c>
      <c r="AB59" s="22">
        <f t="shared" ca="1" si="35"/>
        <v>0</v>
      </c>
      <c r="AC59" s="22"/>
      <c r="AD59" s="22">
        <f t="shared" ca="1" si="47"/>
        <v>0</v>
      </c>
      <c r="AE59" s="22">
        <f t="shared" ca="1" si="48"/>
        <v>0</v>
      </c>
      <c r="AF59" s="22">
        <f t="shared" ca="1" si="67"/>
        <v>0</v>
      </c>
      <c r="AG59" s="22">
        <f t="shared" ca="1" si="49"/>
        <v>0</v>
      </c>
      <c r="AH59" s="22">
        <f t="shared" ca="1" si="68"/>
        <v>0</v>
      </c>
      <c r="AI59" s="22">
        <f t="shared" ca="1" si="50"/>
        <v>0</v>
      </c>
      <c r="AJ59" s="22">
        <f t="shared" ca="1" si="51"/>
        <v>0</v>
      </c>
      <c r="AK59" s="22">
        <f t="shared" ca="1" si="39"/>
        <v>0</v>
      </c>
      <c r="AL59" s="22">
        <f t="shared" ca="1" si="40"/>
        <v>0</v>
      </c>
      <c r="AM59" s="69">
        <f t="shared" ca="1" si="69"/>
        <v>0</v>
      </c>
      <c r="AN59" s="69">
        <f t="shared" ca="1" si="52"/>
        <v>0</v>
      </c>
      <c r="AO59" s="4">
        <f t="shared" ca="1" si="70"/>
        <v>0</v>
      </c>
      <c r="AP59" s="4">
        <f t="shared" ca="1" si="53"/>
        <v>0</v>
      </c>
      <c r="AQ59" s="4">
        <f t="shared" ca="1" si="54"/>
        <v>0</v>
      </c>
      <c r="AR59" s="4">
        <f t="shared" ca="1" si="55"/>
        <v>30</v>
      </c>
      <c r="AS59" s="4">
        <f t="shared" si="56"/>
        <v>20</v>
      </c>
      <c r="AT59" s="4">
        <f t="shared" ca="1" si="71"/>
        <v>30</v>
      </c>
      <c r="AU59" s="4"/>
      <c r="AV59" s="4"/>
      <c r="AW59" s="4"/>
      <c r="AX59" s="4"/>
      <c r="AY59" s="4"/>
      <c r="AZ59" s="4">
        <f t="shared" ca="1" si="57"/>
        <v>0</v>
      </c>
      <c r="BA59" s="4"/>
      <c r="BB59" s="4"/>
      <c r="BC59" s="4"/>
      <c r="BD59" s="4"/>
      <c r="BE59" s="10"/>
      <c r="BF59" s="19"/>
      <c r="BG59" s="19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</row>
    <row r="60" spans="1:142" s="24" customFormat="1" ht="15" customHeight="1">
      <c r="A60" s="4">
        <v>36</v>
      </c>
      <c r="B60" s="268" t="str">
        <f t="shared" ca="1" si="58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9"/>
        <v xml:space="preserve"> </v>
      </c>
      <c r="I60" s="84">
        <f t="shared" ca="1" si="60"/>
        <v>0</v>
      </c>
      <c r="J60" s="84">
        <f t="shared" ca="1" si="41"/>
        <v>0</v>
      </c>
      <c r="K60" s="84">
        <v>0</v>
      </c>
      <c r="L60" s="84" t="str">
        <f t="shared" ca="1" si="61"/>
        <v xml:space="preserve"> </v>
      </c>
      <c r="M60" s="4">
        <v>36</v>
      </c>
      <c r="N60" s="4">
        <f t="shared" ca="1" si="34"/>
        <v>0</v>
      </c>
      <c r="O60" s="4">
        <f t="shared" ca="1" si="42"/>
        <v>20</v>
      </c>
      <c r="P60" s="22">
        <f t="shared" ca="1" si="43"/>
        <v>0</v>
      </c>
      <c r="Q60" s="22">
        <f t="shared" ca="1" si="44"/>
        <v>0</v>
      </c>
      <c r="R60" s="22">
        <f t="shared" ca="1" si="62"/>
        <v>0</v>
      </c>
      <c r="S60" s="22" t="str">
        <f t="shared" ca="1" si="63"/>
        <v xml:space="preserve"> </v>
      </c>
      <c r="T60" s="22" t="e">
        <f t="shared" ca="1" si="64"/>
        <v>#VALUE!</v>
      </c>
      <c r="U60" s="22">
        <f t="shared" ca="1" si="36"/>
        <v>0</v>
      </c>
      <c r="V60" s="22">
        <f t="shared" ca="1" si="37"/>
        <v>0</v>
      </c>
      <c r="W60" s="22">
        <f t="shared" ca="1" si="65"/>
        <v>0</v>
      </c>
      <c r="X60" s="22">
        <f t="shared" ca="1" si="66"/>
        <v>0</v>
      </c>
      <c r="Y60" s="22">
        <f t="shared" ca="1" si="45"/>
        <v>0</v>
      </c>
      <c r="Z60" s="22">
        <f t="shared" ca="1" si="38"/>
        <v>0</v>
      </c>
      <c r="AA60" s="22">
        <f t="shared" ca="1" si="46"/>
        <v>0</v>
      </c>
      <c r="AB60" s="22">
        <f t="shared" ca="1" si="35"/>
        <v>0</v>
      </c>
      <c r="AC60" s="22"/>
      <c r="AD60" s="22">
        <f t="shared" ca="1" si="47"/>
        <v>0</v>
      </c>
      <c r="AE60" s="22">
        <f t="shared" ca="1" si="48"/>
        <v>0</v>
      </c>
      <c r="AF60" s="22">
        <f t="shared" ca="1" si="67"/>
        <v>0</v>
      </c>
      <c r="AG60" s="22">
        <f t="shared" ca="1" si="49"/>
        <v>0</v>
      </c>
      <c r="AH60" s="22">
        <f t="shared" ca="1" si="68"/>
        <v>0</v>
      </c>
      <c r="AI60" s="22">
        <f t="shared" ca="1" si="50"/>
        <v>0</v>
      </c>
      <c r="AJ60" s="22">
        <f t="shared" ca="1" si="51"/>
        <v>0</v>
      </c>
      <c r="AK60" s="22">
        <f t="shared" ca="1" si="39"/>
        <v>0</v>
      </c>
      <c r="AL60" s="22">
        <f t="shared" ca="1" si="40"/>
        <v>0</v>
      </c>
      <c r="AM60" s="69">
        <f t="shared" ca="1" si="69"/>
        <v>0</v>
      </c>
      <c r="AN60" s="69">
        <f t="shared" ca="1" si="52"/>
        <v>0</v>
      </c>
      <c r="AO60" s="4">
        <f t="shared" ca="1" si="70"/>
        <v>0</v>
      </c>
      <c r="AP60" s="4">
        <f t="shared" ca="1" si="53"/>
        <v>0</v>
      </c>
      <c r="AQ60" s="4">
        <f t="shared" ca="1" si="54"/>
        <v>0</v>
      </c>
      <c r="AR60" s="4">
        <f t="shared" ca="1" si="55"/>
        <v>30</v>
      </c>
      <c r="AS60" s="4">
        <f t="shared" si="56"/>
        <v>20</v>
      </c>
      <c r="AT60" s="4">
        <f t="shared" ca="1" si="71"/>
        <v>30</v>
      </c>
      <c r="AU60" s="4"/>
      <c r="AV60" s="4"/>
      <c r="AW60" s="4"/>
      <c r="AX60" s="4"/>
      <c r="AY60" s="4"/>
      <c r="AZ60" s="4">
        <f t="shared" ca="1" si="57"/>
        <v>0</v>
      </c>
      <c r="BA60" s="4"/>
      <c r="BB60" s="4"/>
      <c r="BC60" s="4"/>
      <c r="BD60" s="4"/>
      <c r="BE60" s="10"/>
      <c r="BF60" s="19"/>
      <c r="BG60" s="19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</row>
    <row r="61" spans="1:142" s="24" customFormat="1" ht="15" customHeight="1">
      <c r="A61" s="4">
        <v>37</v>
      </c>
      <c r="B61" s="268" t="str">
        <f t="shared" ca="1" si="58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9"/>
        <v xml:space="preserve"> </v>
      </c>
      <c r="I61" s="84">
        <f t="shared" ca="1" si="60"/>
        <v>0</v>
      </c>
      <c r="J61" s="84">
        <f t="shared" ca="1" si="41"/>
        <v>0</v>
      </c>
      <c r="K61" s="84">
        <v>0</v>
      </c>
      <c r="L61" s="84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2">
        <f t="shared" ca="1" si="43"/>
        <v>0</v>
      </c>
      <c r="Q61" s="22">
        <f t="shared" ca="1" si="44"/>
        <v>0</v>
      </c>
      <c r="R61" s="22">
        <f t="shared" ca="1" si="62"/>
        <v>0</v>
      </c>
      <c r="S61" s="22" t="str">
        <f t="shared" ca="1" si="63"/>
        <v xml:space="preserve"> </v>
      </c>
      <c r="T61" s="22" t="e">
        <f t="shared" ca="1" si="64"/>
        <v>#VALUE!</v>
      </c>
      <c r="U61" s="22">
        <f ca="1">IF(N62=1,R60*D$11*20/36000+R61*D$11*10/36000,IF(N62=0,IF(N61=0,0,IF(D$16&gt;20,R60*D$11*20/36000+R61*D$11*(Q$12-20)/36000,R61*D$11*Q$12/36000))))</f>
        <v>0</v>
      </c>
      <c r="V61" s="22">
        <f ca="1">IF(N62=1,R60*D$11*20/36000+R61*D$11*10/36000,IF(N62=0,IF(N61=0,0,IF(D$16&gt;20,R60*D$11*20/36000+R61*D$11*(Q$12-20)/36000,R61*D$11*Q$12/36000))))</f>
        <v>0</v>
      </c>
      <c r="W61" s="22">
        <f t="shared" ca="1" si="65"/>
        <v>0</v>
      </c>
      <c r="X61" s="22">
        <f t="shared" ca="1" si="66"/>
        <v>0</v>
      </c>
      <c r="Y61" s="22">
        <f t="shared" ca="1" si="45"/>
        <v>0</v>
      </c>
      <c r="Z61" s="22">
        <f ca="1">IF(N62=1,Y60*D$11*20/36000+Y61*D$11*10/36000,IF(N62=0,IF(N61=0,0,IF(D$16&gt;20,Y60*D$11*20/36000+Y61*D$11*(Q$12-20)/36000,Y61*D$11*Q$12/36000))))</f>
        <v>0</v>
      </c>
      <c r="AA61" s="22">
        <f t="shared" ca="1" si="46"/>
        <v>0</v>
      </c>
      <c r="AB61" s="22">
        <f t="shared" ca="1" si="35"/>
        <v>0</v>
      </c>
      <c r="AC61" s="22"/>
      <c r="AD61" s="22">
        <f t="shared" ca="1" si="47"/>
        <v>0</v>
      </c>
      <c r="AE61" s="22">
        <f t="shared" ca="1" si="48"/>
        <v>0</v>
      </c>
      <c r="AF61" s="22">
        <f t="shared" ca="1" si="67"/>
        <v>0</v>
      </c>
      <c r="AG61" s="22">
        <f t="shared" ca="1" si="49"/>
        <v>0</v>
      </c>
      <c r="AH61" s="22">
        <f t="shared" ca="1" si="68"/>
        <v>0</v>
      </c>
      <c r="AI61" s="22">
        <f t="shared" ca="1" si="50"/>
        <v>0</v>
      </c>
      <c r="AJ61" s="22">
        <f t="shared" ca="1" si="51"/>
        <v>0</v>
      </c>
      <c r="AK61" s="22">
        <f ca="1">IF(N62=1,AJ60*G$12*20/36000+AJ61*G$12*10/36000,IF(N62=0,IF(N61=0,0,AJ61*G$12*Q$12/36000)))</f>
        <v>0</v>
      </c>
      <c r="AL61" s="22">
        <f ca="1">IF(N62=1,AJ60*G$12*20/36000+AJ61*G$12*10/36000,IF(N62=0,IF(N61=0,0,AJ61*G$12*Q$12/36000)))</f>
        <v>0</v>
      </c>
      <c r="AM61" s="69">
        <f t="shared" ca="1" si="69"/>
        <v>0</v>
      </c>
      <c r="AN61" s="69">
        <f t="shared" ca="1" si="52"/>
        <v>0</v>
      </c>
      <c r="AO61" s="4">
        <f t="shared" ca="1" si="70"/>
        <v>0</v>
      </c>
      <c r="AP61" s="4">
        <f t="shared" ca="1" si="53"/>
        <v>0</v>
      </c>
      <c r="AQ61" s="4">
        <f t="shared" ca="1" si="54"/>
        <v>0</v>
      </c>
      <c r="AR61" s="4">
        <f t="shared" ca="1" si="55"/>
        <v>30</v>
      </c>
      <c r="AS61" s="4">
        <f t="shared" si="56"/>
        <v>20</v>
      </c>
      <c r="AT61" s="4">
        <f t="shared" ca="1" si="71"/>
        <v>30</v>
      </c>
      <c r="AU61" s="4"/>
      <c r="AV61" s="4"/>
      <c r="AW61" s="4"/>
      <c r="AX61" s="4"/>
      <c r="AY61" s="4"/>
      <c r="AZ61" s="4">
        <f t="shared" ca="1" si="57"/>
        <v>0</v>
      </c>
      <c r="BA61" s="4"/>
      <c r="BB61" s="4"/>
      <c r="BC61" s="4"/>
      <c r="BD61" s="4"/>
      <c r="BE61" s="10"/>
      <c r="BF61" s="19"/>
      <c r="BG61" s="19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</row>
    <row r="62" spans="1:142" s="24" customFormat="1" ht="15" customHeight="1">
      <c r="A62" s="4">
        <v>38</v>
      </c>
      <c r="B62" s="268" t="str">
        <f t="shared" ca="1" si="58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9"/>
        <v xml:space="preserve"> </v>
      </c>
      <c r="I62" s="84">
        <f t="shared" ca="1" si="60"/>
        <v>0</v>
      </c>
      <c r="J62" s="84">
        <f t="shared" ca="1" si="41"/>
        <v>0</v>
      </c>
      <c r="K62" s="84">
        <v>0</v>
      </c>
      <c r="L62" s="84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2">
        <f t="shared" ca="1" si="43"/>
        <v>0</v>
      </c>
      <c r="Q62" s="22">
        <f t="shared" ca="1" si="44"/>
        <v>0</v>
      </c>
      <c r="R62" s="22">
        <f t="shared" ca="1" si="62"/>
        <v>0</v>
      </c>
      <c r="S62" s="22" t="str">
        <f t="shared" ca="1" si="63"/>
        <v xml:space="preserve"> </v>
      </c>
      <c r="T62" s="22" t="e">
        <f t="shared" ca="1" si="64"/>
        <v>#VALUE!</v>
      </c>
      <c r="U62" s="22">
        <f t="shared" ref="U62:U72" ca="1" si="72">IF(N63=1,R61*D$11*20/36000+R62*D$11*10/36000,IF(N63=0,IF(N62=0,0,R62*D$11*Q$12/36000+R61*D$11*20/36000+R62*D$11*10/36000)))</f>
        <v>0</v>
      </c>
      <c r="V62" s="22">
        <f t="shared" ref="V62:V72" ca="1" si="73">IF(N63=1,R61*D$11*20/36000+R62*D$11*10/36000,IF(N63=0,IF(N62=0,0,R62*D$11*Q$12/36000+R61*D$11*20/36000+R62*D$11*10/36000)))</f>
        <v>0</v>
      </c>
      <c r="W62" s="22">
        <f t="shared" ca="1" si="65"/>
        <v>0</v>
      </c>
      <c r="X62" s="22">
        <f t="shared" ca="1" si="66"/>
        <v>0</v>
      </c>
      <c r="Y62" s="22">
        <f t="shared" ca="1" si="45"/>
        <v>0</v>
      </c>
      <c r="Z62" s="22">
        <f t="shared" ref="Z62:Z72" ca="1" si="74">IF(N63=1,Y61*D$11*20/36000+Y62*D$11*10/36000,IF(N63=0,IF(N62=0,0,Y62*D$11*Q$12/36000+Y61*D$11*20/36000+Y62*D$11*10/36000)))</f>
        <v>0</v>
      </c>
      <c r="AA62" s="22">
        <f t="shared" ca="1" si="46"/>
        <v>0</v>
      </c>
      <c r="AB62" s="22">
        <f t="shared" ca="1" si="35"/>
        <v>0</v>
      </c>
      <c r="AC62" s="22"/>
      <c r="AD62" s="22">
        <f t="shared" ca="1" si="47"/>
        <v>0</v>
      </c>
      <c r="AE62" s="22">
        <f t="shared" ca="1" si="48"/>
        <v>0</v>
      </c>
      <c r="AF62" s="22">
        <f t="shared" ca="1" si="67"/>
        <v>0</v>
      </c>
      <c r="AG62" s="22">
        <f t="shared" ca="1" si="49"/>
        <v>0</v>
      </c>
      <c r="AH62" s="22">
        <f t="shared" ca="1" si="68"/>
        <v>0</v>
      </c>
      <c r="AI62" s="22">
        <f t="shared" ca="1" si="50"/>
        <v>0</v>
      </c>
      <c r="AJ62" s="22">
        <f t="shared" ca="1" si="51"/>
        <v>0</v>
      </c>
      <c r="AK62" s="22">
        <f t="shared" ref="AK62:AK72" ca="1" si="75">IF(N63=1,AJ61*G$12*20/36000+AJ62*G$12*10/36000,IF(N63=0,IF(N62=0,0,AJ62*G$12*Q$12/36000+AJ61*G$12*20/36000+AJ62*G$12*10/36000)))</f>
        <v>0</v>
      </c>
      <c r="AL62" s="22">
        <f t="shared" ref="AL62:AL72" ca="1" si="76">IF(N63=1,AJ61*G$12*20/36000+AJ62*G$12*10/36000,IF(N63=0,IF(N62=0,0,AJ62*G$12*Q$12/36000+AJ61*G$12*20/36000+AJ62*G$12*10/36000)))</f>
        <v>0</v>
      </c>
      <c r="AM62" s="69">
        <f t="shared" ca="1" si="69"/>
        <v>0</v>
      </c>
      <c r="AN62" s="69">
        <f t="shared" ca="1" si="52"/>
        <v>0</v>
      </c>
      <c r="AO62" s="4">
        <f t="shared" ca="1" si="70"/>
        <v>0</v>
      </c>
      <c r="AP62" s="4">
        <f t="shared" ca="1" si="53"/>
        <v>0</v>
      </c>
      <c r="AQ62" s="4">
        <f t="shared" ca="1" si="54"/>
        <v>0</v>
      </c>
      <c r="AR62" s="4">
        <f t="shared" ca="1" si="55"/>
        <v>30</v>
      </c>
      <c r="AS62" s="4">
        <f t="shared" si="56"/>
        <v>20</v>
      </c>
      <c r="AT62" s="4">
        <f t="shared" ca="1" si="71"/>
        <v>30</v>
      </c>
      <c r="AU62" s="4"/>
      <c r="AV62" s="4"/>
      <c r="AW62" s="4"/>
      <c r="AX62" s="4"/>
      <c r="AY62" s="4"/>
      <c r="AZ62" s="4">
        <f t="shared" ca="1" si="57"/>
        <v>0</v>
      </c>
      <c r="BA62" s="4"/>
      <c r="BB62" s="4"/>
      <c r="BC62" s="4"/>
      <c r="BD62" s="4"/>
      <c r="BE62" s="10"/>
      <c r="BF62" s="19"/>
      <c r="BG62" s="19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</row>
    <row r="63" spans="1:142" s="24" customFormat="1" ht="15" customHeight="1">
      <c r="A63" s="4">
        <v>39</v>
      </c>
      <c r="B63" s="268" t="str">
        <f t="shared" ca="1" si="58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9"/>
        <v xml:space="preserve"> </v>
      </c>
      <c r="I63" s="84">
        <f t="shared" ca="1" si="60"/>
        <v>0</v>
      </c>
      <c r="J63" s="84">
        <f t="shared" ca="1" si="41"/>
        <v>0</v>
      </c>
      <c r="K63" s="84">
        <v>0</v>
      </c>
      <c r="L63" s="84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2">
        <f t="shared" ca="1" si="43"/>
        <v>0</v>
      </c>
      <c r="Q63" s="22">
        <f t="shared" ca="1" si="44"/>
        <v>0</v>
      </c>
      <c r="R63" s="22">
        <f t="shared" ca="1" si="62"/>
        <v>0</v>
      </c>
      <c r="S63" s="22" t="str">
        <f t="shared" ca="1" si="63"/>
        <v xml:space="preserve"> </v>
      </c>
      <c r="T63" s="22" t="e">
        <f t="shared" ca="1" si="64"/>
        <v>#VALUE!</v>
      </c>
      <c r="U63" s="22">
        <f t="shared" ca="1" si="72"/>
        <v>0</v>
      </c>
      <c r="V63" s="22">
        <f t="shared" ca="1" si="73"/>
        <v>0</v>
      </c>
      <c r="W63" s="22">
        <f t="shared" ca="1" si="65"/>
        <v>0</v>
      </c>
      <c r="X63" s="22">
        <f t="shared" ca="1" si="66"/>
        <v>0</v>
      </c>
      <c r="Y63" s="22">
        <f t="shared" ca="1" si="45"/>
        <v>0</v>
      </c>
      <c r="Z63" s="22">
        <f t="shared" ca="1" si="74"/>
        <v>0</v>
      </c>
      <c r="AA63" s="22">
        <f t="shared" ca="1" si="46"/>
        <v>0</v>
      </c>
      <c r="AB63" s="22">
        <f t="shared" ca="1" si="35"/>
        <v>0</v>
      </c>
      <c r="AC63" s="22"/>
      <c r="AD63" s="22">
        <f t="shared" ca="1" si="47"/>
        <v>0</v>
      </c>
      <c r="AE63" s="22">
        <f t="shared" ca="1" si="48"/>
        <v>0</v>
      </c>
      <c r="AF63" s="22">
        <f t="shared" ca="1" si="67"/>
        <v>0</v>
      </c>
      <c r="AG63" s="22">
        <f t="shared" ca="1" si="49"/>
        <v>0</v>
      </c>
      <c r="AH63" s="22">
        <f t="shared" ca="1" si="68"/>
        <v>0</v>
      </c>
      <c r="AI63" s="22">
        <f t="shared" ca="1" si="50"/>
        <v>0</v>
      </c>
      <c r="AJ63" s="22">
        <f t="shared" ca="1" si="51"/>
        <v>0</v>
      </c>
      <c r="AK63" s="22">
        <f t="shared" ca="1" si="75"/>
        <v>0</v>
      </c>
      <c r="AL63" s="22">
        <f t="shared" ca="1" si="76"/>
        <v>0</v>
      </c>
      <c r="AM63" s="69">
        <f t="shared" ca="1" si="69"/>
        <v>0</v>
      </c>
      <c r="AN63" s="69">
        <f t="shared" ca="1" si="52"/>
        <v>0</v>
      </c>
      <c r="AO63" s="4">
        <f t="shared" ca="1" si="70"/>
        <v>0</v>
      </c>
      <c r="AP63" s="4">
        <f t="shared" ca="1" si="53"/>
        <v>0</v>
      </c>
      <c r="AQ63" s="4">
        <f t="shared" ca="1" si="54"/>
        <v>0</v>
      </c>
      <c r="AR63" s="4">
        <f t="shared" ca="1" si="55"/>
        <v>30</v>
      </c>
      <c r="AS63" s="4">
        <f t="shared" si="56"/>
        <v>20</v>
      </c>
      <c r="AT63" s="4">
        <f t="shared" ca="1" si="71"/>
        <v>30</v>
      </c>
      <c r="AU63" s="4"/>
      <c r="AV63" s="4"/>
      <c r="AW63" s="4"/>
      <c r="AX63" s="4"/>
      <c r="AY63" s="4"/>
      <c r="AZ63" s="4">
        <f t="shared" ca="1" si="57"/>
        <v>0</v>
      </c>
      <c r="BA63" s="4"/>
      <c r="BB63" s="4"/>
      <c r="BC63" s="4"/>
      <c r="BD63" s="4"/>
      <c r="BE63" s="10"/>
      <c r="BF63" s="19"/>
      <c r="BG63" s="19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</row>
    <row r="64" spans="1:142" s="24" customFormat="1" ht="15" customHeight="1">
      <c r="A64" s="4">
        <v>40</v>
      </c>
      <c r="B64" s="268" t="str">
        <f t="shared" ca="1" si="58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9"/>
        <v xml:space="preserve"> </v>
      </c>
      <c r="I64" s="84">
        <f t="shared" ca="1" si="60"/>
        <v>0</v>
      </c>
      <c r="J64" s="84">
        <f t="shared" ca="1" si="41"/>
        <v>0</v>
      </c>
      <c r="K64" s="84">
        <v>0</v>
      </c>
      <c r="L64" s="84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2">
        <f t="shared" ca="1" si="43"/>
        <v>0</v>
      </c>
      <c r="Q64" s="22">
        <f t="shared" ca="1" si="44"/>
        <v>0</v>
      </c>
      <c r="R64" s="22">
        <f t="shared" ca="1" si="62"/>
        <v>0</v>
      </c>
      <c r="S64" s="22" t="str">
        <f t="shared" ca="1" si="63"/>
        <v xml:space="preserve"> </v>
      </c>
      <c r="T64" s="22" t="e">
        <f t="shared" ca="1" si="64"/>
        <v>#VALUE!</v>
      </c>
      <c r="U64" s="22">
        <f t="shared" ca="1" si="72"/>
        <v>0</v>
      </c>
      <c r="V64" s="22">
        <f t="shared" ca="1" si="73"/>
        <v>0</v>
      </c>
      <c r="W64" s="22">
        <f t="shared" ca="1" si="65"/>
        <v>0</v>
      </c>
      <c r="X64" s="22">
        <f t="shared" ca="1" si="66"/>
        <v>0</v>
      </c>
      <c r="Y64" s="22">
        <f t="shared" ca="1" si="45"/>
        <v>0</v>
      </c>
      <c r="Z64" s="22">
        <f t="shared" ca="1" si="74"/>
        <v>0</v>
      </c>
      <c r="AA64" s="22">
        <f t="shared" ca="1" si="46"/>
        <v>0</v>
      </c>
      <c r="AB64" s="22">
        <f t="shared" ca="1" si="35"/>
        <v>0</v>
      </c>
      <c r="AC64" s="22"/>
      <c r="AD64" s="22">
        <f t="shared" ca="1" si="47"/>
        <v>0</v>
      </c>
      <c r="AE64" s="22">
        <f t="shared" ca="1" si="48"/>
        <v>0</v>
      </c>
      <c r="AF64" s="22">
        <f t="shared" ca="1" si="67"/>
        <v>0</v>
      </c>
      <c r="AG64" s="22">
        <f t="shared" ca="1" si="49"/>
        <v>0</v>
      </c>
      <c r="AH64" s="22">
        <f t="shared" ca="1" si="68"/>
        <v>0</v>
      </c>
      <c r="AI64" s="22">
        <f t="shared" ca="1" si="50"/>
        <v>0</v>
      </c>
      <c r="AJ64" s="22">
        <f t="shared" ca="1" si="51"/>
        <v>0</v>
      </c>
      <c r="AK64" s="22">
        <f t="shared" ca="1" si="75"/>
        <v>0</v>
      </c>
      <c r="AL64" s="22">
        <f t="shared" ca="1" si="76"/>
        <v>0</v>
      </c>
      <c r="AM64" s="69">
        <f t="shared" ca="1" si="69"/>
        <v>0</v>
      </c>
      <c r="AN64" s="69">
        <f t="shared" ca="1" si="52"/>
        <v>0</v>
      </c>
      <c r="AO64" s="4">
        <f t="shared" ca="1" si="70"/>
        <v>0</v>
      </c>
      <c r="AP64" s="4">
        <f t="shared" ca="1" si="53"/>
        <v>0</v>
      </c>
      <c r="AQ64" s="4">
        <f t="shared" ca="1" si="54"/>
        <v>0</v>
      </c>
      <c r="AR64" s="4">
        <f t="shared" ca="1" si="55"/>
        <v>30</v>
      </c>
      <c r="AS64" s="4">
        <f t="shared" si="56"/>
        <v>20</v>
      </c>
      <c r="AT64" s="4">
        <f t="shared" ca="1" si="71"/>
        <v>30</v>
      </c>
      <c r="AU64" s="4"/>
      <c r="AV64" s="4"/>
      <c r="AW64" s="4"/>
      <c r="AX64" s="4"/>
      <c r="AY64" s="4"/>
      <c r="AZ64" s="4">
        <f t="shared" ca="1" si="57"/>
        <v>0</v>
      </c>
      <c r="BA64" s="4"/>
      <c r="BB64" s="4"/>
      <c r="BC64" s="4"/>
      <c r="BD64" s="4"/>
      <c r="BE64" s="10"/>
      <c r="BF64" s="19"/>
      <c r="BG64" s="19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</row>
    <row r="65" spans="1:142" s="24" customFormat="1" ht="15" customHeight="1">
      <c r="A65" s="4">
        <v>41</v>
      </c>
      <c r="B65" s="268" t="str">
        <f t="shared" ca="1" si="58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9"/>
        <v xml:space="preserve"> </v>
      </c>
      <c r="I65" s="84">
        <f t="shared" ca="1" si="60"/>
        <v>0</v>
      </c>
      <c r="J65" s="84">
        <f t="shared" ca="1" si="41"/>
        <v>0</v>
      </c>
      <c r="K65" s="84">
        <v>0</v>
      </c>
      <c r="L65" s="84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2">
        <f t="shared" ca="1" si="43"/>
        <v>0</v>
      </c>
      <c r="Q65" s="22">
        <f t="shared" ca="1" si="44"/>
        <v>0</v>
      </c>
      <c r="R65" s="22">
        <f t="shared" ca="1" si="62"/>
        <v>0</v>
      </c>
      <c r="S65" s="22" t="str">
        <f t="shared" ca="1" si="63"/>
        <v xml:space="preserve"> </v>
      </c>
      <c r="T65" s="22" t="e">
        <f t="shared" ca="1" si="64"/>
        <v>#VALUE!</v>
      </c>
      <c r="U65" s="22">
        <f t="shared" ca="1" si="72"/>
        <v>0</v>
      </c>
      <c r="V65" s="22">
        <f t="shared" ca="1" si="73"/>
        <v>0</v>
      </c>
      <c r="W65" s="22">
        <f t="shared" ca="1" si="65"/>
        <v>0</v>
      </c>
      <c r="X65" s="22">
        <f t="shared" ca="1" si="66"/>
        <v>0</v>
      </c>
      <c r="Y65" s="22">
        <f t="shared" ca="1" si="45"/>
        <v>0</v>
      </c>
      <c r="Z65" s="22">
        <f t="shared" ca="1" si="74"/>
        <v>0</v>
      </c>
      <c r="AA65" s="22">
        <f t="shared" ca="1" si="46"/>
        <v>0</v>
      </c>
      <c r="AB65" s="22">
        <f t="shared" ca="1" si="35"/>
        <v>0</v>
      </c>
      <c r="AC65" s="22"/>
      <c r="AD65" s="22">
        <f t="shared" ca="1" si="47"/>
        <v>0</v>
      </c>
      <c r="AE65" s="22">
        <f t="shared" ca="1" si="48"/>
        <v>0</v>
      </c>
      <c r="AF65" s="22">
        <f t="shared" ca="1" si="67"/>
        <v>0</v>
      </c>
      <c r="AG65" s="22">
        <f t="shared" ca="1" si="49"/>
        <v>0</v>
      </c>
      <c r="AH65" s="22">
        <f t="shared" ca="1" si="68"/>
        <v>0</v>
      </c>
      <c r="AI65" s="22">
        <f t="shared" ca="1" si="50"/>
        <v>0</v>
      </c>
      <c r="AJ65" s="22">
        <f t="shared" ca="1" si="51"/>
        <v>0</v>
      </c>
      <c r="AK65" s="22">
        <f t="shared" ca="1" si="75"/>
        <v>0</v>
      </c>
      <c r="AL65" s="22">
        <f t="shared" ca="1" si="76"/>
        <v>0</v>
      </c>
      <c r="AM65" s="69">
        <f t="shared" ca="1" si="69"/>
        <v>0</v>
      </c>
      <c r="AN65" s="69">
        <f t="shared" ca="1" si="52"/>
        <v>0</v>
      </c>
      <c r="AO65" s="4">
        <f t="shared" ca="1" si="70"/>
        <v>0</v>
      </c>
      <c r="AP65" s="4">
        <f t="shared" ca="1" si="53"/>
        <v>0</v>
      </c>
      <c r="AQ65" s="4">
        <f t="shared" ca="1" si="54"/>
        <v>0</v>
      </c>
      <c r="AR65" s="4">
        <f t="shared" ca="1" si="55"/>
        <v>30</v>
      </c>
      <c r="AS65" s="4">
        <f t="shared" si="56"/>
        <v>20</v>
      </c>
      <c r="AT65" s="4">
        <f t="shared" ca="1" si="71"/>
        <v>30</v>
      </c>
      <c r="AU65" s="4"/>
      <c r="AV65" s="4"/>
      <c r="AW65" s="4"/>
      <c r="AX65" s="4"/>
      <c r="AY65" s="4"/>
      <c r="AZ65" s="4">
        <f t="shared" ca="1" si="57"/>
        <v>0</v>
      </c>
      <c r="BA65" s="4"/>
      <c r="BB65" s="4"/>
      <c r="BC65" s="4"/>
      <c r="BD65" s="4"/>
      <c r="BE65" s="10"/>
      <c r="BF65" s="19"/>
      <c r="BG65" s="19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</row>
    <row r="66" spans="1:142" s="24" customFormat="1" ht="15" customHeight="1">
      <c r="A66" s="4">
        <v>42</v>
      </c>
      <c r="B66" s="268" t="str">
        <f t="shared" ca="1" si="58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9"/>
        <v xml:space="preserve"> </v>
      </c>
      <c r="I66" s="84">
        <f t="shared" ca="1" si="60"/>
        <v>0</v>
      </c>
      <c r="J66" s="84">
        <f t="shared" ca="1" si="41"/>
        <v>0</v>
      </c>
      <c r="K66" s="84">
        <v>0</v>
      </c>
      <c r="L66" s="84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2">
        <f t="shared" ca="1" si="43"/>
        <v>0</v>
      </c>
      <c r="Q66" s="22">
        <f t="shared" ca="1" si="44"/>
        <v>0</v>
      </c>
      <c r="R66" s="22">
        <f t="shared" ca="1" si="62"/>
        <v>0</v>
      </c>
      <c r="S66" s="22" t="str">
        <f t="shared" ca="1" si="63"/>
        <v xml:space="preserve"> </v>
      </c>
      <c r="T66" s="22" t="e">
        <f t="shared" ca="1" si="64"/>
        <v>#VALUE!</v>
      </c>
      <c r="U66" s="22">
        <f t="shared" ca="1" si="72"/>
        <v>0</v>
      </c>
      <c r="V66" s="22">
        <f t="shared" ca="1" si="73"/>
        <v>0</v>
      </c>
      <c r="W66" s="22">
        <f t="shared" ca="1" si="65"/>
        <v>0</v>
      </c>
      <c r="X66" s="22">
        <f t="shared" ca="1" si="66"/>
        <v>0</v>
      </c>
      <c r="Y66" s="22">
        <f t="shared" ca="1" si="45"/>
        <v>0</v>
      </c>
      <c r="Z66" s="22">
        <f t="shared" ca="1" si="74"/>
        <v>0</v>
      </c>
      <c r="AA66" s="22">
        <f t="shared" ca="1" si="46"/>
        <v>0</v>
      </c>
      <c r="AB66" s="22">
        <f t="shared" ca="1" si="35"/>
        <v>0</v>
      </c>
      <c r="AC66" s="22"/>
      <c r="AD66" s="22">
        <f t="shared" ca="1" si="47"/>
        <v>0</v>
      </c>
      <c r="AE66" s="22">
        <f t="shared" ca="1" si="48"/>
        <v>0</v>
      </c>
      <c r="AF66" s="22">
        <f t="shared" ca="1" si="67"/>
        <v>0</v>
      </c>
      <c r="AG66" s="22">
        <f t="shared" ca="1" si="49"/>
        <v>0</v>
      </c>
      <c r="AH66" s="22">
        <f t="shared" ca="1" si="68"/>
        <v>0</v>
      </c>
      <c r="AI66" s="22">
        <f t="shared" ca="1" si="50"/>
        <v>0</v>
      </c>
      <c r="AJ66" s="22">
        <f t="shared" ca="1" si="51"/>
        <v>0</v>
      </c>
      <c r="AK66" s="22">
        <f t="shared" ca="1" si="75"/>
        <v>0</v>
      </c>
      <c r="AL66" s="22">
        <f t="shared" ca="1" si="76"/>
        <v>0</v>
      </c>
      <c r="AM66" s="69">
        <f t="shared" ca="1" si="69"/>
        <v>0</v>
      </c>
      <c r="AN66" s="69">
        <f t="shared" ca="1" si="52"/>
        <v>0</v>
      </c>
      <c r="AO66" s="4">
        <f t="shared" ca="1" si="70"/>
        <v>0</v>
      </c>
      <c r="AP66" s="4">
        <f t="shared" ca="1" si="53"/>
        <v>0</v>
      </c>
      <c r="AQ66" s="4">
        <f t="shared" ca="1" si="54"/>
        <v>0</v>
      </c>
      <c r="AR66" s="4">
        <f t="shared" ca="1" si="55"/>
        <v>30</v>
      </c>
      <c r="AS66" s="4">
        <f t="shared" si="56"/>
        <v>20</v>
      </c>
      <c r="AT66" s="4">
        <f t="shared" ca="1" si="71"/>
        <v>30</v>
      </c>
      <c r="AU66" s="4"/>
      <c r="AV66" s="4"/>
      <c r="AW66" s="4"/>
      <c r="AX66" s="4"/>
      <c r="AY66" s="4"/>
      <c r="AZ66" s="4">
        <f t="shared" ca="1" si="57"/>
        <v>0</v>
      </c>
      <c r="BA66" s="4"/>
      <c r="BB66" s="4"/>
      <c r="BC66" s="4"/>
      <c r="BD66" s="4"/>
      <c r="BE66" s="10"/>
      <c r="BF66" s="19"/>
      <c r="BG66" s="19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</row>
    <row r="67" spans="1:142" s="24" customFormat="1" ht="15" customHeight="1">
      <c r="A67" s="4">
        <v>43</v>
      </c>
      <c r="B67" s="268" t="str">
        <f t="shared" ca="1" si="58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9"/>
        <v xml:space="preserve"> </v>
      </c>
      <c r="I67" s="84">
        <f t="shared" ca="1" si="60"/>
        <v>0</v>
      </c>
      <c r="J67" s="84">
        <f t="shared" ca="1" si="41"/>
        <v>0</v>
      </c>
      <c r="K67" s="84">
        <v>0</v>
      </c>
      <c r="L67" s="84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2">
        <f t="shared" ca="1" si="43"/>
        <v>0</v>
      </c>
      <c r="Q67" s="22">
        <f t="shared" ca="1" si="44"/>
        <v>0</v>
      </c>
      <c r="R67" s="22">
        <f t="shared" ca="1" si="62"/>
        <v>0</v>
      </c>
      <c r="S67" s="22" t="str">
        <f t="shared" ca="1" si="63"/>
        <v xml:space="preserve"> </v>
      </c>
      <c r="T67" s="22" t="e">
        <f t="shared" ca="1" si="64"/>
        <v>#VALUE!</v>
      </c>
      <c r="U67" s="22">
        <f t="shared" ca="1" si="72"/>
        <v>0</v>
      </c>
      <c r="V67" s="22">
        <f t="shared" ca="1" si="73"/>
        <v>0</v>
      </c>
      <c r="W67" s="22">
        <f t="shared" ca="1" si="65"/>
        <v>0</v>
      </c>
      <c r="X67" s="22">
        <f t="shared" ca="1" si="66"/>
        <v>0</v>
      </c>
      <c r="Y67" s="22">
        <f t="shared" ca="1" si="45"/>
        <v>0</v>
      </c>
      <c r="Z67" s="22">
        <f t="shared" ca="1" si="74"/>
        <v>0</v>
      </c>
      <c r="AA67" s="22">
        <f t="shared" ca="1" si="46"/>
        <v>0</v>
      </c>
      <c r="AB67" s="22">
        <f t="shared" ca="1" si="35"/>
        <v>0</v>
      </c>
      <c r="AC67" s="22"/>
      <c r="AD67" s="22">
        <f t="shared" ca="1" si="47"/>
        <v>0</v>
      </c>
      <c r="AE67" s="22">
        <f t="shared" ca="1" si="48"/>
        <v>0</v>
      </c>
      <c r="AF67" s="22">
        <f t="shared" ca="1" si="67"/>
        <v>0</v>
      </c>
      <c r="AG67" s="22">
        <f t="shared" ca="1" si="49"/>
        <v>0</v>
      </c>
      <c r="AH67" s="22">
        <f t="shared" ca="1" si="68"/>
        <v>0</v>
      </c>
      <c r="AI67" s="22">
        <f t="shared" ca="1" si="50"/>
        <v>0</v>
      </c>
      <c r="AJ67" s="22">
        <f t="shared" ca="1" si="51"/>
        <v>0</v>
      </c>
      <c r="AK67" s="22">
        <f t="shared" ca="1" si="75"/>
        <v>0</v>
      </c>
      <c r="AL67" s="22">
        <f t="shared" ca="1" si="76"/>
        <v>0</v>
      </c>
      <c r="AM67" s="69">
        <f t="shared" ca="1" si="69"/>
        <v>0</v>
      </c>
      <c r="AN67" s="69">
        <f t="shared" ca="1" si="52"/>
        <v>0</v>
      </c>
      <c r="AO67" s="4">
        <f t="shared" ca="1" si="70"/>
        <v>0</v>
      </c>
      <c r="AP67" s="4">
        <f t="shared" ca="1" si="53"/>
        <v>0</v>
      </c>
      <c r="AQ67" s="4">
        <f t="shared" ca="1" si="54"/>
        <v>0</v>
      </c>
      <c r="AR67" s="4">
        <f t="shared" ca="1" si="55"/>
        <v>30</v>
      </c>
      <c r="AS67" s="4">
        <f t="shared" si="56"/>
        <v>20</v>
      </c>
      <c r="AT67" s="4">
        <f t="shared" ca="1" si="71"/>
        <v>30</v>
      </c>
      <c r="AU67" s="4"/>
      <c r="AV67" s="4"/>
      <c r="AW67" s="4"/>
      <c r="AX67" s="4"/>
      <c r="AY67" s="4"/>
      <c r="AZ67" s="4">
        <f t="shared" ca="1" si="57"/>
        <v>0</v>
      </c>
      <c r="BA67" s="4"/>
      <c r="BB67" s="4"/>
      <c r="BC67" s="4"/>
      <c r="BD67" s="4"/>
      <c r="BE67" s="10"/>
      <c r="BF67" s="19"/>
      <c r="BG67" s="19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</row>
    <row r="68" spans="1:142" s="24" customFormat="1" ht="15" customHeight="1">
      <c r="A68" s="4">
        <v>44</v>
      </c>
      <c r="B68" s="268" t="str">
        <f t="shared" ca="1" si="58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9"/>
        <v xml:space="preserve"> </v>
      </c>
      <c r="I68" s="84">
        <f t="shared" ca="1" si="60"/>
        <v>0</v>
      </c>
      <c r="J68" s="84">
        <f t="shared" ca="1" si="41"/>
        <v>0</v>
      </c>
      <c r="K68" s="84">
        <v>0</v>
      </c>
      <c r="L68" s="84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2">
        <f t="shared" ca="1" si="43"/>
        <v>0</v>
      </c>
      <c r="Q68" s="22">
        <f t="shared" ca="1" si="44"/>
        <v>0</v>
      </c>
      <c r="R68" s="22">
        <f t="shared" ca="1" si="62"/>
        <v>0</v>
      </c>
      <c r="S68" s="22" t="str">
        <f t="shared" ca="1" si="63"/>
        <v xml:space="preserve"> </v>
      </c>
      <c r="T68" s="22" t="e">
        <f t="shared" ca="1" si="64"/>
        <v>#VALUE!</v>
      </c>
      <c r="U68" s="22">
        <f t="shared" ca="1" si="72"/>
        <v>0</v>
      </c>
      <c r="V68" s="22">
        <f t="shared" ca="1" si="73"/>
        <v>0</v>
      </c>
      <c r="W68" s="22">
        <f t="shared" ca="1" si="65"/>
        <v>0</v>
      </c>
      <c r="X68" s="22">
        <f t="shared" ca="1" si="66"/>
        <v>0</v>
      </c>
      <c r="Y68" s="22">
        <f t="shared" ca="1" si="45"/>
        <v>0</v>
      </c>
      <c r="Z68" s="22">
        <f t="shared" ca="1" si="74"/>
        <v>0</v>
      </c>
      <c r="AA68" s="22">
        <f t="shared" ca="1" si="46"/>
        <v>0</v>
      </c>
      <c r="AB68" s="22">
        <f t="shared" ca="1" si="35"/>
        <v>0</v>
      </c>
      <c r="AC68" s="22"/>
      <c r="AD68" s="22">
        <f t="shared" ca="1" si="47"/>
        <v>0</v>
      </c>
      <c r="AE68" s="22">
        <f t="shared" ca="1" si="48"/>
        <v>0</v>
      </c>
      <c r="AF68" s="22">
        <f t="shared" ca="1" si="67"/>
        <v>0</v>
      </c>
      <c r="AG68" s="22">
        <f t="shared" ca="1" si="49"/>
        <v>0</v>
      </c>
      <c r="AH68" s="22">
        <f t="shared" ca="1" si="68"/>
        <v>0</v>
      </c>
      <c r="AI68" s="22">
        <f t="shared" ca="1" si="50"/>
        <v>0</v>
      </c>
      <c r="AJ68" s="22">
        <f t="shared" ca="1" si="51"/>
        <v>0</v>
      </c>
      <c r="AK68" s="22">
        <f t="shared" ca="1" si="75"/>
        <v>0</v>
      </c>
      <c r="AL68" s="22">
        <f t="shared" ca="1" si="76"/>
        <v>0</v>
      </c>
      <c r="AM68" s="69">
        <f t="shared" ca="1" si="69"/>
        <v>0</v>
      </c>
      <c r="AN68" s="69">
        <f t="shared" ca="1" si="52"/>
        <v>0</v>
      </c>
      <c r="AO68" s="4">
        <f t="shared" ca="1" si="70"/>
        <v>0</v>
      </c>
      <c r="AP68" s="4">
        <f t="shared" ca="1" si="53"/>
        <v>0</v>
      </c>
      <c r="AQ68" s="4">
        <f t="shared" ca="1" si="54"/>
        <v>0</v>
      </c>
      <c r="AR68" s="4">
        <f t="shared" ca="1" si="55"/>
        <v>30</v>
      </c>
      <c r="AS68" s="4">
        <f t="shared" si="56"/>
        <v>20</v>
      </c>
      <c r="AT68" s="4">
        <f t="shared" ca="1" si="71"/>
        <v>30</v>
      </c>
      <c r="AU68" s="4"/>
      <c r="AV68" s="4"/>
      <c r="AW68" s="4"/>
      <c r="AX68" s="4"/>
      <c r="AY68" s="4"/>
      <c r="AZ68" s="4">
        <f t="shared" ca="1" si="57"/>
        <v>0</v>
      </c>
      <c r="BA68" s="4"/>
      <c r="BB68" s="4"/>
      <c r="BC68" s="4"/>
      <c r="BD68" s="4"/>
      <c r="BE68" s="10"/>
      <c r="BF68" s="19"/>
      <c r="BG68" s="19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</row>
    <row r="69" spans="1:142" s="24" customFormat="1" ht="15" customHeight="1">
      <c r="A69" s="4">
        <v>45</v>
      </c>
      <c r="B69" s="268" t="str">
        <f t="shared" ca="1" si="58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9"/>
        <v xml:space="preserve"> </v>
      </c>
      <c r="I69" s="84">
        <f t="shared" ca="1" si="60"/>
        <v>0</v>
      </c>
      <c r="J69" s="84">
        <f t="shared" ca="1" si="41"/>
        <v>0</v>
      </c>
      <c r="K69" s="84">
        <v>0</v>
      </c>
      <c r="L69" s="84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2">
        <f t="shared" ca="1" si="43"/>
        <v>0</v>
      </c>
      <c r="Q69" s="22">
        <f t="shared" ca="1" si="44"/>
        <v>0</v>
      </c>
      <c r="R69" s="22">
        <f t="shared" ca="1" si="62"/>
        <v>0</v>
      </c>
      <c r="S69" s="22" t="str">
        <f t="shared" ca="1" si="63"/>
        <v xml:space="preserve"> </v>
      </c>
      <c r="T69" s="22" t="e">
        <f t="shared" ca="1" si="64"/>
        <v>#VALUE!</v>
      </c>
      <c r="U69" s="22">
        <f t="shared" ca="1" si="72"/>
        <v>0</v>
      </c>
      <c r="V69" s="22">
        <f t="shared" ca="1" si="73"/>
        <v>0</v>
      </c>
      <c r="W69" s="22">
        <f t="shared" ca="1" si="65"/>
        <v>0</v>
      </c>
      <c r="X69" s="22">
        <f t="shared" ca="1" si="66"/>
        <v>0</v>
      </c>
      <c r="Y69" s="22">
        <f t="shared" ca="1" si="45"/>
        <v>0</v>
      </c>
      <c r="Z69" s="22">
        <f t="shared" ca="1" si="74"/>
        <v>0</v>
      </c>
      <c r="AA69" s="22">
        <f t="shared" ca="1" si="46"/>
        <v>0</v>
      </c>
      <c r="AB69" s="22">
        <f t="shared" ca="1" si="35"/>
        <v>0</v>
      </c>
      <c r="AC69" s="22"/>
      <c r="AD69" s="22">
        <f t="shared" ca="1" si="47"/>
        <v>0</v>
      </c>
      <c r="AE69" s="22">
        <f t="shared" ca="1" si="48"/>
        <v>0</v>
      </c>
      <c r="AF69" s="22">
        <f t="shared" ca="1" si="67"/>
        <v>0</v>
      </c>
      <c r="AG69" s="22">
        <f t="shared" ca="1" si="49"/>
        <v>0</v>
      </c>
      <c r="AH69" s="22">
        <f t="shared" ca="1" si="68"/>
        <v>0</v>
      </c>
      <c r="AI69" s="22">
        <f t="shared" ca="1" si="50"/>
        <v>0</v>
      </c>
      <c r="AJ69" s="22">
        <f t="shared" ca="1" si="51"/>
        <v>0</v>
      </c>
      <c r="AK69" s="22">
        <f t="shared" ca="1" si="75"/>
        <v>0</v>
      </c>
      <c r="AL69" s="22">
        <f t="shared" ca="1" si="76"/>
        <v>0</v>
      </c>
      <c r="AM69" s="69">
        <f t="shared" ca="1" si="69"/>
        <v>0</v>
      </c>
      <c r="AN69" s="69">
        <f t="shared" ca="1" si="52"/>
        <v>0</v>
      </c>
      <c r="AO69" s="4">
        <f t="shared" ca="1" si="70"/>
        <v>0</v>
      </c>
      <c r="AP69" s="4">
        <f t="shared" ca="1" si="53"/>
        <v>0</v>
      </c>
      <c r="AQ69" s="4">
        <f t="shared" ca="1" si="54"/>
        <v>0</v>
      </c>
      <c r="AR69" s="4">
        <f t="shared" ca="1" si="55"/>
        <v>30</v>
      </c>
      <c r="AS69" s="4">
        <f t="shared" si="56"/>
        <v>20</v>
      </c>
      <c r="AT69" s="4">
        <f t="shared" ca="1" si="71"/>
        <v>30</v>
      </c>
      <c r="AU69" s="4"/>
      <c r="AV69" s="4"/>
      <c r="AW69" s="4"/>
      <c r="AX69" s="4"/>
      <c r="AY69" s="4"/>
      <c r="AZ69" s="4">
        <f t="shared" ca="1" si="57"/>
        <v>0</v>
      </c>
      <c r="BA69" s="4"/>
      <c r="BB69" s="4"/>
      <c r="BC69" s="4"/>
      <c r="BD69" s="4"/>
      <c r="BE69" s="10"/>
      <c r="BF69" s="19"/>
      <c r="BG69" s="19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</row>
    <row r="70" spans="1:142" s="24" customFormat="1" ht="15" customHeight="1">
      <c r="A70" s="4">
        <v>46</v>
      </c>
      <c r="B70" s="268" t="str">
        <f t="shared" ca="1" si="58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9"/>
        <v xml:space="preserve"> </v>
      </c>
      <c r="I70" s="84">
        <f t="shared" ca="1" si="60"/>
        <v>0</v>
      </c>
      <c r="J70" s="84">
        <f t="shared" ca="1" si="41"/>
        <v>0</v>
      </c>
      <c r="K70" s="84">
        <v>0</v>
      </c>
      <c r="L70" s="84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2">
        <f t="shared" ca="1" si="43"/>
        <v>0</v>
      </c>
      <c r="Q70" s="22">
        <f t="shared" ca="1" si="44"/>
        <v>0</v>
      </c>
      <c r="R70" s="22">
        <f t="shared" ca="1" si="62"/>
        <v>0</v>
      </c>
      <c r="S70" s="22" t="str">
        <f t="shared" ca="1" si="63"/>
        <v xml:space="preserve"> </v>
      </c>
      <c r="T70" s="22" t="e">
        <f t="shared" ca="1" si="64"/>
        <v>#VALUE!</v>
      </c>
      <c r="U70" s="22">
        <f t="shared" ca="1" si="72"/>
        <v>0</v>
      </c>
      <c r="V70" s="22">
        <f t="shared" ca="1" si="73"/>
        <v>0</v>
      </c>
      <c r="W70" s="22">
        <f t="shared" ca="1" si="65"/>
        <v>0</v>
      </c>
      <c r="X70" s="22">
        <f t="shared" ca="1" si="66"/>
        <v>0</v>
      </c>
      <c r="Y70" s="22">
        <f t="shared" ca="1" si="45"/>
        <v>0</v>
      </c>
      <c r="Z70" s="22">
        <f t="shared" ca="1" si="74"/>
        <v>0</v>
      </c>
      <c r="AA70" s="22">
        <f t="shared" ca="1" si="46"/>
        <v>0</v>
      </c>
      <c r="AB70" s="22">
        <f t="shared" ca="1" si="35"/>
        <v>0</v>
      </c>
      <c r="AC70" s="22"/>
      <c r="AD70" s="22">
        <f t="shared" ca="1" si="47"/>
        <v>0</v>
      </c>
      <c r="AE70" s="22">
        <f t="shared" ca="1" si="48"/>
        <v>0</v>
      </c>
      <c r="AF70" s="22">
        <f t="shared" ca="1" si="67"/>
        <v>0</v>
      </c>
      <c r="AG70" s="22">
        <f t="shared" ca="1" si="49"/>
        <v>0</v>
      </c>
      <c r="AH70" s="22">
        <f t="shared" ca="1" si="68"/>
        <v>0</v>
      </c>
      <c r="AI70" s="22">
        <f t="shared" ca="1" si="50"/>
        <v>0</v>
      </c>
      <c r="AJ70" s="22">
        <f t="shared" ca="1" si="51"/>
        <v>0</v>
      </c>
      <c r="AK70" s="22">
        <f t="shared" ca="1" si="75"/>
        <v>0</v>
      </c>
      <c r="AL70" s="22">
        <f t="shared" ca="1" si="76"/>
        <v>0</v>
      </c>
      <c r="AM70" s="69">
        <f t="shared" ca="1" si="69"/>
        <v>0</v>
      </c>
      <c r="AN70" s="69">
        <f t="shared" ca="1" si="52"/>
        <v>0</v>
      </c>
      <c r="AO70" s="4">
        <f t="shared" ca="1" si="70"/>
        <v>0</v>
      </c>
      <c r="AP70" s="4">
        <f t="shared" ca="1" si="53"/>
        <v>0</v>
      </c>
      <c r="AQ70" s="4">
        <f t="shared" ca="1" si="54"/>
        <v>0</v>
      </c>
      <c r="AR70" s="4">
        <f t="shared" ca="1" si="55"/>
        <v>30</v>
      </c>
      <c r="AS70" s="4">
        <f t="shared" si="56"/>
        <v>20</v>
      </c>
      <c r="AT70" s="4">
        <f t="shared" ca="1" si="71"/>
        <v>30</v>
      </c>
      <c r="AU70" s="4"/>
      <c r="AV70" s="4"/>
      <c r="AW70" s="4"/>
      <c r="AX70" s="4"/>
      <c r="AY70" s="4"/>
      <c r="AZ70" s="4">
        <f t="shared" ca="1" si="57"/>
        <v>0</v>
      </c>
      <c r="BA70" s="4"/>
      <c r="BB70" s="4"/>
      <c r="BC70" s="4"/>
      <c r="BD70" s="4"/>
      <c r="BE70" s="10"/>
      <c r="BF70" s="19"/>
      <c r="BG70" s="19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</row>
    <row r="71" spans="1:142" s="24" customFormat="1" ht="15" customHeight="1">
      <c r="A71" s="4">
        <v>47</v>
      </c>
      <c r="B71" s="268" t="str">
        <f t="shared" ca="1" si="58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9"/>
        <v xml:space="preserve"> </v>
      </c>
      <c r="I71" s="84">
        <f t="shared" ca="1" si="60"/>
        <v>0</v>
      </c>
      <c r="J71" s="84">
        <f t="shared" ca="1" si="41"/>
        <v>0</v>
      </c>
      <c r="K71" s="84">
        <v>0</v>
      </c>
      <c r="L71" s="84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2">
        <f t="shared" ca="1" si="43"/>
        <v>0</v>
      </c>
      <c r="Q71" s="22">
        <f t="shared" ca="1" si="44"/>
        <v>0</v>
      </c>
      <c r="R71" s="22">
        <f t="shared" ca="1" si="62"/>
        <v>0</v>
      </c>
      <c r="S71" s="22" t="str">
        <f t="shared" ca="1" si="63"/>
        <v xml:space="preserve"> </v>
      </c>
      <c r="T71" s="22" t="e">
        <f t="shared" ca="1" si="64"/>
        <v>#VALUE!</v>
      </c>
      <c r="U71" s="22">
        <f t="shared" ca="1" si="72"/>
        <v>0</v>
      </c>
      <c r="V71" s="22">
        <f t="shared" ca="1" si="73"/>
        <v>0</v>
      </c>
      <c r="W71" s="22">
        <f t="shared" ca="1" si="65"/>
        <v>0</v>
      </c>
      <c r="X71" s="22">
        <f t="shared" ca="1" si="66"/>
        <v>0</v>
      </c>
      <c r="Y71" s="22">
        <f t="shared" ca="1" si="45"/>
        <v>0</v>
      </c>
      <c r="Z71" s="22">
        <f t="shared" ca="1" si="74"/>
        <v>0</v>
      </c>
      <c r="AA71" s="22">
        <f t="shared" ca="1" si="46"/>
        <v>0</v>
      </c>
      <c r="AB71" s="22">
        <f t="shared" ca="1" si="35"/>
        <v>0</v>
      </c>
      <c r="AC71" s="22"/>
      <c r="AD71" s="22">
        <f t="shared" ca="1" si="47"/>
        <v>0</v>
      </c>
      <c r="AE71" s="22">
        <f t="shared" ca="1" si="48"/>
        <v>0</v>
      </c>
      <c r="AF71" s="22">
        <f t="shared" ca="1" si="67"/>
        <v>0</v>
      </c>
      <c r="AG71" s="22">
        <f t="shared" ca="1" si="49"/>
        <v>0</v>
      </c>
      <c r="AH71" s="22">
        <f t="shared" ca="1" si="68"/>
        <v>0</v>
      </c>
      <c r="AI71" s="22">
        <f t="shared" ca="1" si="50"/>
        <v>0</v>
      </c>
      <c r="AJ71" s="22">
        <f t="shared" ca="1" si="51"/>
        <v>0</v>
      </c>
      <c r="AK71" s="22">
        <f t="shared" ca="1" si="75"/>
        <v>0</v>
      </c>
      <c r="AL71" s="22">
        <f t="shared" ca="1" si="76"/>
        <v>0</v>
      </c>
      <c r="AM71" s="69">
        <f t="shared" ca="1" si="69"/>
        <v>0</v>
      </c>
      <c r="AN71" s="69">
        <f t="shared" ca="1" si="52"/>
        <v>0</v>
      </c>
      <c r="AO71" s="4">
        <f t="shared" ca="1" si="70"/>
        <v>0</v>
      </c>
      <c r="AP71" s="4">
        <f t="shared" ca="1" si="53"/>
        <v>0</v>
      </c>
      <c r="AQ71" s="4">
        <f t="shared" ca="1" si="54"/>
        <v>0</v>
      </c>
      <c r="AR71" s="4">
        <f t="shared" ca="1" si="55"/>
        <v>30</v>
      </c>
      <c r="AS71" s="4">
        <f t="shared" si="56"/>
        <v>20</v>
      </c>
      <c r="AT71" s="4">
        <f t="shared" ca="1" si="71"/>
        <v>30</v>
      </c>
      <c r="AU71" s="4"/>
      <c r="AV71" s="4"/>
      <c r="AW71" s="4"/>
      <c r="AX71" s="4"/>
      <c r="AY71" s="4"/>
      <c r="AZ71" s="4">
        <f t="shared" ca="1" si="57"/>
        <v>0</v>
      </c>
      <c r="BA71" s="4"/>
      <c r="BB71" s="4"/>
      <c r="BC71" s="4"/>
      <c r="BD71" s="4"/>
      <c r="BE71" s="10"/>
      <c r="BF71" s="19"/>
      <c r="BG71" s="19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</row>
    <row r="72" spans="1:142" s="24" customFormat="1" ht="15" customHeight="1">
      <c r="A72" s="4">
        <v>48</v>
      </c>
      <c r="B72" s="268" t="str">
        <f t="shared" ca="1" si="58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9"/>
        <v xml:space="preserve"> </v>
      </c>
      <c r="I72" s="84">
        <f t="shared" ca="1" si="60"/>
        <v>0</v>
      </c>
      <c r="J72" s="84">
        <f t="shared" ca="1" si="41"/>
        <v>0</v>
      </c>
      <c r="K72" s="84">
        <v>0</v>
      </c>
      <c r="L72" s="84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2">
        <f t="shared" ca="1" si="43"/>
        <v>0</v>
      </c>
      <c r="Q72" s="22">
        <f t="shared" ca="1" si="44"/>
        <v>0</v>
      </c>
      <c r="R72" s="22">
        <f t="shared" ca="1" si="62"/>
        <v>0</v>
      </c>
      <c r="S72" s="22" t="str">
        <f t="shared" ca="1" si="63"/>
        <v xml:space="preserve"> </v>
      </c>
      <c r="T72" s="22" t="e">
        <f t="shared" ca="1" si="64"/>
        <v>#VALUE!</v>
      </c>
      <c r="U72" s="22">
        <f t="shared" ca="1" si="72"/>
        <v>0</v>
      </c>
      <c r="V72" s="22">
        <f t="shared" ca="1" si="73"/>
        <v>0</v>
      </c>
      <c r="W72" s="22">
        <f t="shared" ca="1" si="65"/>
        <v>0</v>
      </c>
      <c r="X72" s="22">
        <f t="shared" ca="1" si="66"/>
        <v>0</v>
      </c>
      <c r="Y72" s="22">
        <f t="shared" ca="1" si="45"/>
        <v>0</v>
      </c>
      <c r="Z72" s="22">
        <f t="shared" ca="1" si="74"/>
        <v>0</v>
      </c>
      <c r="AA72" s="22">
        <f t="shared" ca="1" si="46"/>
        <v>0</v>
      </c>
      <c r="AB72" s="22">
        <f t="shared" ca="1" si="35"/>
        <v>0</v>
      </c>
      <c r="AC72" s="22"/>
      <c r="AD72" s="22">
        <f t="shared" ca="1" si="47"/>
        <v>0</v>
      </c>
      <c r="AE72" s="22">
        <f t="shared" ca="1" si="48"/>
        <v>0</v>
      </c>
      <c r="AF72" s="22">
        <f t="shared" ca="1" si="67"/>
        <v>0</v>
      </c>
      <c r="AG72" s="22">
        <f t="shared" ca="1" si="49"/>
        <v>0</v>
      </c>
      <c r="AH72" s="22">
        <f t="shared" ca="1" si="68"/>
        <v>0</v>
      </c>
      <c r="AI72" s="22">
        <f t="shared" ca="1" si="50"/>
        <v>0</v>
      </c>
      <c r="AJ72" s="22">
        <f t="shared" ca="1" si="51"/>
        <v>0</v>
      </c>
      <c r="AK72" s="22">
        <f t="shared" ca="1" si="75"/>
        <v>0</v>
      </c>
      <c r="AL72" s="22">
        <f t="shared" ca="1" si="76"/>
        <v>0</v>
      </c>
      <c r="AM72" s="69">
        <f t="shared" ca="1" si="69"/>
        <v>0</v>
      </c>
      <c r="AN72" s="69">
        <f t="shared" ca="1" si="52"/>
        <v>0</v>
      </c>
      <c r="AO72" s="4">
        <f t="shared" ca="1" si="70"/>
        <v>0</v>
      </c>
      <c r="AP72" s="4">
        <f t="shared" ca="1" si="53"/>
        <v>0</v>
      </c>
      <c r="AQ72" s="4">
        <f t="shared" ca="1" si="54"/>
        <v>0</v>
      </c>
      <c r="AR72" s="4">
        <f t="shared" ca="1" si="55"/>
        <v>30</v>
      </c>
      <c r="AS72" s="4">
        <f t="shared" si="56"/>
        <v>20</v>
      </c>
      <c r="AT72" s="4">
        <f t="shared" ca="1" si="71"/>
        <v>30</v>
      </c>
      <c r="AU72" s="4"/>
      <c r="AV72" s="4"/>
      <c r="AW72" s="4"/>
      <c r="AX72" s="4"/>
      <c r="AY72" s="4"/>
      <c r="AZ72" s="4">
        <f t="shared" ca="1" si="57"/>
        <v>0</v>
      </c>
      <c r="BA72" s="4"/>
      <c r="BB72" s="4"/>
      <c r="BC72" s="4"/>
      <c r="BD72" s="4"/>
      <c r="BE72" s="10"/>
      <c r="BF72" s="19"/>
      <c r="BG72" s="19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</row>
    <row r="73" spans="1:142" s="24" customFormat="1" ht="15" customHeight="1">
      <c r="A73" s="4">
        <v>49</v>
      </c>
      <c r="B73" s="268" t="str">
        <f t="shared" ca="1" si="58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9"/>
        <v xml:space="preserve"> </v>
      </c>
      <c r="I73" s="84">
        <f t="shared" ca="1" si="60"/>
        <v>0</v>
      </c>
      <c r="J73" s="84">
        <f t="shared" ca="1" si="41"/>
        <v>0</v>
      </c>
      <c r="K73" s="84">
        <v>0</v>
      </c>
      <c r="L73" s="84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2">
        <f t="shared" ca="1" si="43"/>
        <v>0</v>
      </c>
      <c r="Q73" s="22">
        <f t="shared" ca="1" si="44"/>
        <v>0</v>
      </c>
      <c r="R73" s="22">
        <f t="shared" ca="1" si="62"/>
        <v>0</v>
      </c>
      <c r="S73" s="22" t="str">
        <f t="shared" ca="1" si="63"/>
        <v xml:space="preserve"> </v>
      </c>
      <c r="T73" s="22" t="e">
        <f t="shared" ca="1" si="64"/>
        <v>#VALUE!</v>
      </c>
      <c r="U73" s="22">
        <f ca="1">IF(N74=1,R72*D$11*20/36000+R73*D$11*10/36000,IF(N74=0,IF(N73=0,0,IF(D$16&gt;20,R72*D$11*20/36000+R73*D$11*(Q$12-20)/36000,R73*D$11*Q$12/36000))))</f>
        <v>0</v>
      </c>
      <c r="V73" s="22">
        <f ca="1">IF(N74=1,R72*D$11*20/36000+R73*D$11*10/36000,IF(N74=0,IF(N73=0,0,IF(D$16&gt;20,R72*D$11*20/36000+R73*D$11*(Q$12-20)/36000,R73*D$11*Q$12/36000))))</f>
        <v>0</v>
      </c>
      <c r="W73" s="22">
        <f t="shared" ca="1" si="65"/>
        <v>0</v>
      </c>
      <c r="X73" s="22">
        <f t="shared" ca="1" si="66"/>
        <v>0</v>
      </c>
      <c r="Y73" s="22">
        <f t="shared" ca="1" si="45"/>
        <v>0</v>
      </c>
      <c r="Z73" s="22">
        <f ca="1">IF(N74=1,Y72*D$11*20/36000+Y73*D$11*10/36000,IF(N74=0,IF(N73=0,0,IF(D$16&gt;20,Y72*D$11*20/36000+Y73*D$11*(Q$12-20)/36000,Y73*D$11*Q$12/36000))))</f>
        <v>0</v>
      </c>
      <c r="AA73" s="22">
        <f t="shared" ca="1" si="46"/>
        <v>0</v>
      </c>
      <c r="AB73" s="22">
        <f t="shared" ca="1" si="35"/>
        <v>0</v>
      </c>
      <c r="AC73" s="22"/>
      <c r="AD73" s="22">
        <f t="shared" ca="1" si="47"/>
        <v>0</v>
      </c>
      <c r="AE73" s="22">
        <f t="shared" ca="1" si="48"/>
        <v>0</v>
      </c>
      <c r="AF73" s="22">
        <f t="shared" ca="1" si="67"/>
        <v>0</v>
      </c>
      <c r="AG73" s="22">
        <f t="shared" ca="1" si="49"/>
        <v>0</v>
      </c>
      <c r="AH73" s="22">
        <f t="shared" ca="1" si="68"/>
        <v>0</v>
      </c>
      <c r="AI73" s="22">
        <f t="shared" ca="1" si="50"/>
        <v>0</v>
      </c>
      <c r="AJ73" s="22">
        <f t="shared" ca="1" si="51"/>
        <v>0</v>
      </c>
      <c r="AK73" s="22">
        <f ca="1">IF(N74=1,AJ72*G$12*20/36000+AJ73*G$12*10/36000,IF(N74=0,IF(N73=0,0,AJ73*G$12*Q$12/36000)))</f>
        <v>0</v>
      </c>
      <c r="AL73" s="22">
        <f ca="1">IF(N74=1,AJ72*G$12*20/36000+AJ73*G$12*10/36000,IF(N74=0,IF(N73=0,0,AJ73*G$12*Q$12/36000)))</f>
        <v>0</v>
      </c>
      <c r="AM73" s="69">
        <f t="shared" ca="1" si="69"/>
        <v>0</v>
      </c>
      <c r="AN73" s="69">
        <f t="shared" ca="1" si="52"/>
        <v>0</v>
      </c>
      <c r="AO73" s="4">
        <f t="shared" ca="1" si="70"/>
        <v>0</v>
      </c>
      <c r="AP73" s="4">
        <f t="shared" ca="1" si="53"/>
        <v>0</v>
      </c>
      <c r="AQ73" s="4">
        <f t="shared" ca="1" si="54"/>
        <v>0</v>
      </c>
      <c r="AR73" s="4">
        <f t="shared" ca="1" si="55"/>
        <v>30</v>
      </c>
      <c r="AS73" s="4">
        <f t="shared" si="56"/>
        <v>20</v>
      </c>
      <c r="AT73" s="4">
        <f t="shared" ca="1" si="71"/>
        <v>30</v>
      </c>
      <c r="AU73" s="4"/>
      <c r="AV73" s="4"/>
      <c r="AW73" s="4"/>
      <c r="AX73" s="4"/>
      <c r="AY73" s="4"/>
      <c r="AZ73" s="4">
        <f t="shared" ca="1" si="57"/>
        <v>0</v>
      </c>
      <c r="BA73" s="4"/>
      <c r="BB73" s="4"/>
      <c r="BC73" s="4"/>
      <c r="BD73" s="4"/>
      <c r="BE73" s="10"/>
      <c r="BF73" s="19"/>
      <c r="BG73" s="19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</row>
    <row r="74" spans="1:142" s="24" customFormat="1" ht="15" customHeight="1">
      <c r="A74" s="4"/>
      <c r="B74" s="268" t="str">
        <f t="shared" ca="1" si="58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9"/>
        <v xml:space="preserve"> </v>
      </c>
      <c r="I74" s="84">
        <f t="shared" ca="1" si="60"/>
        <v>0</v>
      </c>
      <c r="J74" s="84">
        <f t="shared" ca="1" si="41"/>
        <v>0</v>
      </c>
      <c r="K74" s="84">
        <v>0</v>
      </c>
      <c r="L74" s="84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2">
        <f t="shared" ca="1" si="43"/>
        <v>0</v>
      </c>
      <c r="Q74" s="22">
        <f t="shared" ca="1" si="44"/>
        <v>0</v>
      </c>
      <c r="R74" s="22">
        <f t="shared" ca="1" si="62"/>
        <v>0</v>
      </c>
      <c r="S74" s="22" t="str">
        <f t="shared" ca="1" si="63"/>
        <v xml:space="preserve"> </v>
      </c>
      <c r="T74" s="22" t="e">
        <f t="shared" ca="1" si="64"/>
        <v>#VALUE!</v>
      </c>
      <c r="U74" s="22">
        <f t="shared" ref="U74:U84" ca="1" si="77">IF(N75=1,R73*D$11*20/36000+R74*D$11*10/36000,IF(N75=0,IF(N74=0,0,R74*D$11*Q$12/36000+R73*D$11*20/36000+R74*D$11*10/36000)))</f>
        <v>0</v>
      </c>
      <c r="V74" s="22">
        <f t="shared" ref="V74:V84" ca="1" si="78">IF(N75=1,R73*D$11*20/36000+R74*D$11*10/36000,IF(N75=0,IF(N74=0,0,R74*D$11*Q$12/36000+R73*D$11*20/36000+R74*D$11*10/36000)))</f>
        <v>0</v>
      </c>
      <c r="W74" s="22">
        <f t="shared" ca="1" si="65"/>
        <v>0</v>
      </c>
      <c r="X74" s="22">
        <f t="shared" ca="1" si="66"/>
        <v>0</v>
      </c>
      <c r="Y74" s="22">
        <f t="shared" ca="1" si="45"/>
        <v>0</v>
      </c>
      <c r="Z74" s="22">
        <f t="shared" ref="Z74:Z84" ca="1" si="79">IF(N75=1,Y73*D$11*20/36000+Y74*D$11*10/36000,IF(N75=0,IF(N74=0,0,Y74*D$11*Q$12/36000+Y73*D$11*20/36000+Y74*D$11*10/36000)))</f>
        <v>0</v>
      </c>
      <c r="AA74" s="22">
        <f t="shared" ca="1" si="46"/>
        <v>0</v>
      </c>
      <c r="AB74" s="22">
        <f t="shared" ca="1" si="35"/>
        <v>0</v>
      </c>
      <c r="AC74" s="22"/>
      <c r="AD74" s="22">
        <f t="shared" ca="1" si="47"/>
        <v>0</v>
      </c>
      <c r="AE74" s="22">
        <f t="shared" ca="1" si="48"/>
        <v>0</v>
      </c>
      <c r="AF74" s="22">
        <f t="shared" ca="1" si="67"/>
        <v>0</v>
      </c>
      <c r="AG74" s="22">
        <f t="shared" ca="1" si="49"/>
        <v>0</v>
      </c>
      <c r="AH74" s="22">
        <f t="shared" ca="1" si="68"/>
        <v>0</v>
      </c>
      <c r="AI74" s="22">
        <f t="shared" ca="1" si="50"/>
        <v>0</v>
      </c>
      <c r="AJ74" s="22">
        <f t="shared" ca="1" si="51"/>
        <v>0</v>
      </c>
      <c r="AK74" s="22">
        <f t="shared" ref="AK74:AK84" ca="1" si="80">IF(N75=1,AJ73*G$12*20/36000+AJ74*G$12*10/36000,IF(N75=0,IF(N74=0,0,AJ74*G$12*Q$12/36000+AJ73*G$12*20/36000+AJ74*G$12*10/36000)))</f>
        <v>0</v>
      </c>
      <c r="AL74" s="22">
        <f t="shared" ref="AL74:AL84" ca="1" si="81">IF(N75=1,AJ73*G$12*20/36000+AJ74*G$12*10/36000,IF(N75=0,IF(N74=0,0,AJ74*G$12*Q$12/36000+AJ73*G$12*20/36000+AJ74*G$12*10/36000)))</f>
        <v>0</v>
      </c>
      <c r="AM74" s="69">
        <f t="shared" ca="1" si="69"/>
        <v>0</v>
      </c>
      <c r="AN74" s="69">
        <f t="shared" ca="1" si="52"/>
        <v>0</v>
      </c>
      <c r="AO74" s="4">
        <f t="shared" ca="1" si="70"/>
        <v>0</v>
      </c>
      <c r="AP74" s="4">
        <f t="shared" ca="1" si="53"/>
        <v>0</v>
      </c>
      <c r="AQ74" s="4">
        <f t="shared" ca="1" si="54"/>
        <v>0</v>
      </c>
      <c r="AR74" s="4">
        <f t="shared" ca="1" si="55"/>
        <v>30</v>
      </c>
      <c r="AS74" s="4">
        <f t="shared" si="56"/>
        <v>20</v>
      </c>
      <c r="AT74" s="4">
        <f t="shared" ca="1" si="71"/>
        <v>30</v>
      </c>
      <c r="AU74" s="4"/>
      <c r="AV74" s="4"/>
      <c r="AW74" s="4"/>
      <c r="AX74" s="4"/>
      <c r="AY74" s="4"/>
      <c r="AZ74" s="4">
        <f t="shared" ca="1" si="57"/>
        <v>0</v>
      </c>
      <c r="BA74" s="4"/>
      <c r="BB74" s="4"/>
      <c r="BC74" s="4"/>
      <c r="BD74" s="4"/>
      <c r="BE74" s="10"/>
      <c r="BF74" s="19"/>
      <c r="BG74" s="19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</row>
    <row r="75" spans="1:142" s="24" customFormat="1" ht="15" customHeight="1">
      <c r="A75" s="4"/>
      <c r="B75" s="268" t="str">
        <f t="shared" ca="1" si="58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9"/>
        <v xml:space="preserve"> </v>
      </c>
      <c r="I75" s="84">
        <f t="shared" ca="1" si="60"/>
        <v>0</v>
      </c>
      <c r="J75" s="84">
        <f t="shared" ca="1" si="41"/>
        <v>0</v>
      </c>
      <c r="K75" s="84">
        <v>0</v>
      </c>
      <c r="L75" s="84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2">
        <f t="shared" ca="1" si="43"/>
        <v>0</v>
      </c>
      <c r="Q75" s="22">
        <f t="shared" ca="1" si="44"/>
        <v>0</v>
      </c>
      <c r="R75" s="22">
        <f t="shared" ca="1" si="62"/>
        <v>0</v>
      </c>
      <c r="S75" s="22" t="str">
        <f t="shared" ca="1" si="63"/>
        <v xml:space="preserve"> </v>
      </c>
      <c r="T75" s="22" t="e">
        <f t="shared" ca="1" si="64"/>
        <v>#VALUE!</v>
      </c>
      <c r="U75" s="22">
        <f t="shared" ca="1" si="77"/>
        <v>0</v>
      </c>
      <c r="V75" s="22">
        <f t="shared" ca="1" si="78"/>
        <v>0</v>
      </c>
      <c r="W75" s="22">
        <f t="shared" ca="1" si="65"/>
        <v>0</v>
      </c>
      <c r="X75" s="22">
        <f t="shared" ca="1" si="66"/>
        <v>0</v>
      </c>
      <c r="Y75" s="22">
        <f t="shared" ca="1" si="45"/>
        <v>0</v>
      </c>
      <c r="Z75" s="22">
        <f t="shared" ca="1" si="79"/>
        <v>0</v>
      </c>
      <c r="AA75" s="22">
        <f t="shared" ca="1" si="46"/>
        <v>0</v>
      </c>
      <c r="AB75" s="22">
        <f t="shared" ca="1" si="35"/>
        <v>0</v>
      </c>
      <c r="AC75" s="22"/>
      <c r="AD75" s="22">
        <f t="shared" ca="1" si="47"/>
        <v>0</v>
      </c>
      <c r="AE75" s="22">
        <f t="shared" ca="1" si="48"/>
        <v>0</v>
      </c>
      <c r="AF75" s="22">
        <f t="shared" ca="1" si="67"/>
        <v>0</v>
      </c>
      <c r="AG75" s="22">
        <f t="shared" ca="1" si="49"/>
        <v>0</v>
      </c>
      <c r="AH75" s="22">
        <f t="shared" ca="1" si="68"/>
        <v>0</v>
      </c>
      <c r="AI75" s="22">
        <f t="shared" ca="1" si="50"/>
        <v>0</v>
      </c>
      <c r="AJ75" s="22">
        <f t="shared" ca="1" si="51"/>
        <v>0</v>
      </c>
      <c r="AK75" s="22">
        <f t="shared" ca="1" si="80"/>
        <v>0</v>
      </c>
      <c r="AL75" s="22">
        <f t="shared" ca="1" si="81"/>
        <v>0</v>
      </c>
      <c r="AM75" s="69">
        <f t="shared" ca="1" si="69"/>
        <v>0</v>
      </c>
      <c r="AN75" s="69">
        <f t="shared" ca="1" si="52"/>
        <v>0</v>
      </c>
      <c r="AO75" s="4">
        <f t="shared" ca="1" si="70"/>
        <v>0</v>
      </c>
      <c r="AP75" s="4">
        <f t="shared" ca="1" si="53"/>
        <v>0</v>
      </c>
      <c r="AQ75" s="4">
        <f t="shared" ca="1" si="54"/>
        <v>0</v>
      </c>
      <c r="AR75" s="4">
        <f t="shared" ca="1" si="55"/>
        <v>30</v>
      </c>
      <c r="AS75" s="4">
        <f t="shared" si="56"/>
        <v>20</v>
      </c>
      <c r="AT75" s="4">
        <f t="shared" ca="1" si="71"/>
        <v>30</v>
      </c>
      <c r="AU75" s="4"/>
      <c r="AV75" s="4"/>
      <c r="AW75" s="4"/>
      <c r="AX75" s="4"/>
      <c r="AY75" s="4"/>
      <c r="AZ75" s="4">
        <f t="shared" ca="1" si="57"/>
        <v>0</v>
      </c>
      <c r="BA75" s="4"/>
      <c r="BB75" s="4"/>
      <c r="BC75" s="4"/>
      <c r="BD75" s="4"/>
      <c r="BE75" s="10"/>
      <c r="BF75" s="19"/>
      <c r="BG75" s="19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</row>
    <row r="76" spans="1:142" s="24" customFormat="1" ht="15" customHeight="1">
      <c r="A76" s="4"/>
      <c r="B76" s="268" t="str">
        <f t="shared" ca="1" si="58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9"/>
        <v xml:space="preserve"> </v>
      </c>
      <c r="I76" s="84">
        <f t="shared" ca="1" si="60"/>
        <v>0</v>
      </c>
      <c r="J76" s="84">
        <f t="shared" ca="1" si="41"/>
        <v>0</v>
      </c>
      <c r="K76" s="84">
        <v>0</v>
      </c>
      <c r="L76" s="84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2">
        <f t="shared" ca="1" si="43"/>
        <v>0</v>
      </c>
      <c r="Q76" s="22">
        <f t="shared" ca="1" si="44"/>
        <v>0</v>
      </c>
      <c r="R76" s="22">
        <f t="shared" ca="1" si="62"/>
        <v>0</v>
      </c>
      <c r="S76" s="22" t="str">
        <f t="shared" ca="1" si="63"/>
        <v xml:space="preserve"> </v>
      </c>
      <c r="T76" s="22" t="e">
        <f t="shared" ca="1" si="64"/>
        <v>#VALUE!</v>
      </c>
      <c r="U76" s="22">
        <f t="shared" ca="1" si="77"/>
        <v>0</v>
      </c>
      <c r="V76" s="22">
        <f t="shared" ca="1" si="78"/>
        <v>0</v>
      </c>
      <c r="W76" s="22">
        <f t="shared" ca="1" si="65"/>
        <v>0</v>
      </c>
      <c r="X76" s="22">
        <f t="shared" ca="1" si="66"/>
        <v>0</v>
      </c>
      <c r="Y76" s="22">
        <f t="shared" ca="1" si="45"/>
        <v>0</v>
      </c>
      <c r="Z76" s="22">
        <f t="shared" ca="1" si="79"/>
        <v>0</v>
      </c>
      <c r="AA76" s="22">
        <f t="shared" ca="1" si="46"/>
        <v>0</v>
      </c>
      <c r="AB76" s="22">
        <f t="shared" ca="1" si="35"/>
        <v>0</v>
      </c>
      <c r="AC76" s="22"/>
      <c r="AD76" s="22">
        <f t="shared" ca="1" si="47"/>
        <v>0</v>
      </c>
      <c r="AE76" s="22">
        <f t="shared" ca="1" si="48"/>
        <v>0</v>
      </c>
      <c r="AF76" s="22">
        <f t="shared" ca="1" si="67"/>
        <v>0</v>
      </c>
      <c r="AG76" s="22">
        <f t="shared" ca="1" si="49"/>
        <v>0</v>
      </c>
      <c r="AH76" s="22">
        <f t="shared" ca="1" si="68"/>
        <v>0</v>
      </c>
      <c r="AI76" s="22">
        <f t="shared" ca="1" si="50"/>
        <v>0</v>
      </c>
      <c r="AJ76" s="22">
        <f t="shared" ca="1" si="51"/>
        <v>0</v>
      </c>
      <c r="AK76" s="22">
        <f t="shared" ca="1" si="80"/>
        <v>0</v>
      </c>
      <c r="AL76" s="22">
        <f t="shared" ca="1" si="81"/>
        <v>0</v>
      </c>
      <c r="AM76" s="69">
        <f t="shared" ca="1" si="69"/>
        <v>0</v>
      </c>
      <c r="AN76" s="69">
        <f t="shared" ca="1" si="52"/>
        <v>0</v>
      </c>
      <c r="AO76" s="4">
        <f t="shared" ca="1" si="70"/>
        <v>0</v>
      </c>
      <c r="AP76" s="4">
        <f t="shared" ca="1" si="53"/>
        <v>0</v>
      </c>
      <c r="AQ76" s="4">
        <f t="shared" ca="1" si="54"/>
        <v>0</v>
      </c>
      <c r="AR76" s="4">
        <f t="shared" ca="1" si="55"/>
        <v>30</v>
      </c>
      <c r="AS76" s="4">
        <f t="shared" si="56"/>
        <v>20</v>
      </c>
      <c r="AT76" s="4">
        <f t="shared" ca="1" si="71"/>
        <v>30</v>
      </c>
      <c r="AU76" s="4"/>
      <c r="AV76" s="4"/>
      <c r="AW76" s="4"/>
      <c r="AX76" s="4"/>
      <c r="AY76" s="4"/>
      <c r="AZ76" s="4">
        <f t="shared" ca="1" si="57"/>
        <v>0</v>
      </c>
      <c r="BA76" s="4"/>
      <c r="BB76" s="4"/>
      <c r="BC76" s="4"/>
      <c r="BD76" s="4"/>
      <c r="BE76" s="10"/>
      <c r="BF76" s="19"/>
      <c r="BG76" s="19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</row>
    <row r="77" spans="1:142" s="24" customFormat="1" ht="15" customHeight="1">
      <c r="A77" s="4"/>
      <c r="B77" s="268" t="str">
        <f t="shared" ca="1" si="58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9"/>
        <v xml:space="preserve"> </v>
      </c>
      <c r="I77" s="84">
        <f t="shared" ca="1" si="60"/>
        <v>0</v>
      </c>
      <c r="J77" s="84">
        <f t="shared" ca="1" si="41"/>
        <v>0</v>
      </c>
      <c r="K77" s="84">
        <v>0</v>
      </c>
      <c r="L77" s="84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2">
        <f t="shared" ca="1" si="43"/>
        <v>0</v>
      </c>
      <c r="Q77" s="22">
        <f t="shared" ca="1" si="44"/>
        <v>0</v>
      </c>
      <c r="R77" s="22">
        <f t="shared" ca="1" si="62"/>
        <v>0</v>
      </c>
      <c r="S77" s="22" t="str">
        <f t="shared" ca="1" si="63"/>
        <v xml:space="preserve"> </v>
      </c>
      <c r="T77" s="22" t="e">
        <f t="shared" ca="1" si="64"/>
        <v>#VALUE!</v>
      </c>
      <c r="U77" s="22">
        <f t="shared" ca="1" si="77"/>
        <v>0</v>
      </c>
      <c r="V77" s="22">
        <f t="shared" ca="1" si="78"/>
        <v>0</v>
      </c>
      <c r="W77" s="22">
        <f t="shared" ca="1" si="65"/>
        <v>0</v>
      </c>
      <c r="X77" s="22">
        <f t="shared" ca="1" si="66"/>
        <v>0</v>
      </c>
      <c r="Y77" s="22">
        <f t="shared" ca="1" si="45"/>
        <v>0</v>
      </c>
      <c r="Z77" s="22">
        <f t="shared" ca="1" si="79"/>
        <v>0</v>
      </c>
      <c r="AA77" s="22">
        <f t="shared" ca="1" si="46"/>
        <v>0</v>
      </c>
      <c r="AB77" s="22">
        <f t="shared" ca="1" si="35"/>
        <v>0</v>
      </c>
      <c r="AC77" s="22"/>
      <c r="AD77" s="22">
        <f t="shared" ca="1" si="47"/>
        <v>0</v>
      </c>
      <c r="AE77" s="22">
        <f t="shared" ca="1" si="48"/>
        <v>0</v>
      </c>
      <c r="AF77" s="22">
        <f t="shared" ca="1" si="67"/>
        <v>0</v>
      </c>
      <c r="AG77" s="22">
        <f t="shared" ca="1" si="49"/>
        <v>0</v>
      </c>
      <c r="AH77" s="22">
        <f t="shared" ca="1" si="68"/>
        <v>0</v>
      </c>
      <c r="AI77" s="22">
        <f t="shared" ca="1" si="50"/>
        <v>0</v>
      </c>
      <c r="AJ77" s="22">
        <f t="shared" ca="1" si="51"/>
        <v>0</v>
      </c>
      <c r="AK77" s="22">
        <f t="shared" ca="1" si="80"/>
        <v>0</v>
      </c>
      <c r="AL77" s="22">
        <f t="shared" ca="1" si="81"/>
        <v>0</v>
      </c>
      <c r="AM77" s="69">
        <f t="shared" ca="1" si="69"/>
        <v>0</v>
      </c>
      <c r="AN77" s="69">
        <f t="shared" ca="1" si="52"/>
        <v>0</v>
      </c>
      <c r="AO77" s="4">
        <f t="shared" ca="1" si="70"/>
        <v>0</v>
      </c>
      <c r="AP77" s="4">
        <f t="shared" ca="1" si="53"/>
        <v>0</v>
      </c>
      <c r="AQ77" s="4">
        <f t="shared" ca="1" si="54"/>
        <v>0</v>
      </c>
      <c r="AR77" s="4">
        <f t="shared" ca="1" si="55"/>
        <v>30</v>
      </c>
      <c r="AS77" s="4">
        <f t="shared" si="56"/>
        <v>20</v>
      </c>
      <c r="AT77" s="4">
        <f t="shared" ca="1" si="71"/>
        <v>30</v>
      </c>
      <c r="AU77" s="4"/>
      <c r="AV77" s="4"/>
      <c r="AW77" s="4"/>
      <c r="AX77" s="4"/>
      <c r="AY77" s="4"/>
      <c r="AZ77" s="4">
        <f t="shared" ca="1" si="57"/>
        <v>0</v>
      </c>
      <c r="BA77" s="4"/>
      <c r="BB77" s="4"/>
      <c r="BC77" s="4"/>
      <c r="BD77" s="4"/>
      <c r="BE77" s="10"/>
      <c r="BF77" s="19"/>
      <c r="BG77" s="19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</row>
    <row r="78" spans="1:142" s="24" customFormat="1" ht="15" customHeight="1">
      <c r="A78" s="4"/>
      <c r="B78" s="268" t="str">
        <f t="shared" ca="1" si="58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9"/>
        <v xml:space="preserve"> </v>
      </c>
      <c r="I78" s="84">
        <f t="shared" ca="1" si="60"/>
        <v>0</v>
      </c>
      <c r="J78" s="84">
        <f t="shared" ca="1" si="41"/>
        <v>0</v>
      </c>
      <c r="K78" s="84">
        <v>0</v>
      </c>
      <c r="L78" s="84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2">
        <f t="shared" ca="1" si="43"/>
        <v>0</v>
      </c>
      <c r="Q78" s="22">
        <f t="shared" ca="1" si="44"/>
        <v>0</v>
      </c>
      <c r="R78" s="22">
        <f t="shared" ca="1" si="62"/>
        <v>0</v>
      </c>
      <c r="S78" s="22" t="str">
        <f t="shared" ca="1" si="63"/>
        <v xml:space="preserve"> </v>
      </c>
      <c r="T78" s="22" t="e">
        <f t="shared" ca="1" si="64"/>
        <v>#VALUE!</v>
      </c>
      <c r="U78" s="22">
        <f t="shared" ca="1" si="77"/>
        <v>0</v>
      </c>
      <c r="V78" s="22">
        <f t="shared" ca="1" si="78"/>
        <v>0</v>
      </c>
      <c r="W78" s="22">
        <f t="shared" ca="1" si="65"/>
        <v>0</v>
      </c>
      <c r="X78" s="22">
        <f t="shared" ca="1" si="66"/>
        <v>0</v>
      </c>
      <c r="Y78" s="22">
        <f t="shared" ca="1" si="45"/>
        <v>0</v>
      </c>
      <c r="Z78" s="22">
        <f t="shared" ca="1" si="79"/>
        <v>0</v>
      </c>
      <c r="AA78" s="22">
        <f t="shared" ca="1" si="46"/>
        <v>0</v>
      </c>
      <c r="AB78" s="22">
        <f t="shared" ca="1" si="35"/>
        <v>0</v>
      </c>
      <c r="AC78" s="22"/>
      <c r="AD78" s="22">
        <f t="shared" ca="1" si="47"/>
        <v>0</v>
      </c>
      <c r="AE78" s="22">
        <f t="shared" ca="1" si="48"/>
        <v>0</v>
      </c>
      <c r="AF78" s="22">
        <f t="shared" ca="1" si="67"/>
        <v>0</v>
      </c>
      <c r="AG78" s="22">
        <f t="shared" ca="1" si="49"/>
        <v>0</v>
      </c>
      <c r="AH78" s="22">
        <f t="shared" ca="1" si="68"/>
        <v>0</v>
      </c>
      <c r="AI78" s="22">
        <f t="shared" ca="1" si="50"/>
        <v>0</v>
      </c>
      <c r="AJ78" s="22">
        <f t="shared" ca="1" si="51"/>
        <v>0</v>
      </c>
      <c r="AK78" s="22">
        <f t="shared" ca="1" si="80"/>
        <v>0</v>
      </c>
      <c r="AL78" s="22">
        <f t="shared" ca="1" si="81"/>
        <v>0</v>
      </c>
      <c r="AM78" s="69">
        <f t="shared" ca="1" si="69"/>
        <v>0</v>
      </c>
      <c r="AN78" s="69">
        <f t="shared" ca="1" si="52"/>
        <v>0</v>
      </c>
      <c r="AO78" s="4">
        <f t="shared" ca="1" si="70"/>
        <v>0</v>
      </c>
      <c r="AP78" s="4">
        <f t="shared" ca="1" si="53"/>
        <v>0</v>
      </c>
      <c r="AQ78" s="4">
        <f t="shared" ca="1" si="54"/>
        <v>0</v>
      </c>
      <c r="AR78" s="4">
        <f t="shared" ca="1" si="55"/>
        <v>30</v>
      </c>
      <c r="AS78" s="4">
        <f t="shared" si="56"/>
        <v>20</v>
      </c>
      <c r="AT78" s="4">
        <f t="shared" ca="1" si="71"/>
        <v>30</v>
      </c>
      <c r="AU78" s="4"/>
      <c r="AV78" s="4"/>
      <c r="AW78" s="4"/>
      <c r="AX78" s="4"/>
      <c r="AY78" s="4"/>
      <c r="AZ78" s="4">
        <f t="shared" ca="1" si="57"/>
        <v>0</v>
      </c>
      <c r="BA78" s="4"/>
      <c r="BB78" s="4"/>
      <c r="BC78" s="4"/>
      <c r="BD78" s="4"/>
      <c r="BE78" s="10"/>
      <c r="BF78" s="19"/>
      <c r="BG78" s="19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</row>
    <row r="79" spans="1:142" s="24" customFormat="1" ht="15" customHeight="1">
      <c r="A79" s="4"/>
      <c r="B79" s="268" t="str">
        <f t="shared" ca="1" si="58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9"/>
        <v xml:space="preserve"> </v>
      </c>
      <c r="I79" s="84">
        <f t="shared" ca="1" si="60"/>
        <v>0</v>
      </c>
      <c r="J79" s="84">
        <f t="shared" ca="1" si="41"/>
        <v>0</v>
      </c>
      <c r="K79" s="84">
        <v>0</v>
      </c>
      <c r="L79" s="84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2">
        <f t="shared" ca="1" si="43"/>
        <v>0</v>
      </c>
      <c r="Q79" s="22">
        <f t="shared" ca="1" si="44"/>
        <v>0</v>
      </c>
      <c r="R79" s="22">
        <f t="shared" ca="1" si="62"/>
        <v>0</v>
      </c>
      <c r="S79" s="22" t="str">
        <f t="shared" ca="1" si="63"/>
        <v xml:space="preserve"> </v>
      </c>
      <c r="T79" s="22" t="e">
        <f t="shared" ca="1" si="64"/>
        <v>#VALUE!</v>
      </c>
      <c r="U79" s="22">
        <f t="shared" ca="1" si="77"/>
        <v>0</v>
      </c>
      <c r="V79" s="22">
        <f t="shared" ca="1" si="78"/>
        <v>0</v>
      </c>
      <c r="W79" s="22">
        <f t="shared" ca="1" si="65"/>
        <v>0</v>
      </c>
      <c r="X79" s="22">
        <f t="shared" ca="1" si="66"/>
        <v>0</v>
      </c>
      <c r="Y79" s="22">
        <f t="shared" ca="1" si="45"/>
        <v>0</v>
      </c>
      <c r="Z79" s="22">
        <f t="shared" ca="1" si="79"/>
        <v>0</v>
      </c>
      <c r="AA79" s="22">
        <f t="shared" ca="1" si="46"/>
        <v>0</v>
      </c>
      <c r="AB79" s="22">
        <f t="shared" ca="1" si="35"/>
        <v>0</v>
      </c>
      <c r="AC79" s="22"/>
      <c r="AD79" s="22">
        <f t="shared" ca="1" si="47"/>
        <v>0</v>
      </c>
      <c r="AE79" s="22">
        <f t="shared" ca="1" si="48"/>
        <v>0</v>
      </c>
      <c r="AF79" s="22">
        <f t="shared" ca="1" si="67"/>
        <v>0</v>
      </c>
      <c r="AG79" s="22">
        <f t="shared" ca="1" si="49"/>
        <v>0</v>
      </c>
      <c r="AH79" s="22">
        <f t="shared" ca="1" si="68"/>
        <v>0</v>
      </c>
      <c r="AI79" s="22">
        <f t="shared" ca="1" si="50"/>
        <v>0</v>
      </c>
      <c r="AJ79" s="22">
        <f t="shared" ca="1" si="51"/>
        <v>0</v>
      </c>
      <c r="AK79" s="22">
        <f t="shared" ca="1" si="80"/>
        <v>0</v>
      </c>
      <c r="AL79" s="22">
        <f t="shared" ca="1" si="81"/>
        <v>0</v>
      </c>
      <c r="AM79" s="69">
        <f t="shared" ca="1" si="69"/>
        <v>0</v>
      </c>
      <c r="AN79" s="69">
        <f t="shared" ca="1" si="52"/>
        <v>0</v>
      </c>
      <c r="AO79" s="4">
        <f t="shared" ca="1" si="70"/>
        <v>0</v>
      </c>
      <c r="AP79" s="4">
        <f t="shared" ca="1" si="53"/>
        <v>0</v>
      </c>
      <c r="AQ79" s="4">
        <f t="shared" ca="1" si="54"/>
        <v>0</v>
      </c>
      <c r="AR79" s="4">
        <f t="shared" ca="1" si="55"/>
        <v>30</v>
      </c>
      <c r="AS79" s="4">
        <f t="shared" si="56"/>
        <v>20</v>
      </c>
      <c r="AT79" s="4">
        <f t="shared" ca="1" si="71"/>
        <v>30</v>
      </c>
      <c r="AU79" s="4"/>
      <c r="AV79" s="4"/>
      <c r="AW79" s="4"/>
      <c r="AX79" s="4"/>
      <c r="AY79" s="4"/>
      <c r="AZ79" s="4">
        <f t="shared" ca="1" si="57"/>
        <v>0</v>
      </c>
      <c r="BA79" s="4"/>
      <c r="BB79" s="4"/>
      <c r="BC79" s="4"/>
      <c r="BD79" s="4"/>
      <c r="BE79" s="10"/>
      <c r="BF79" s="19"/>
      <c r="BG79" s="19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</row>
    <row r="80" spans="1:142" s="24" customFormat="1" ht="15" customHeight="1">
      <c r="A80" s="4"/>
      <c r="B80" s="268" t="str">
        <f t="shared" ca="1" si="58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9"/>
        <v xml:space="preserve"> </v>
      </c>
      <c r="I80" s="84">
        <f t="shared" ca="1" si="60"/>
        <v>0</v>
      </c>
      <c r="J80" s="84">
        <f t="shared" ca="1" si="41"/>
        <v>0</v>
      </c>
      <c r="K80" s="84">
        <v>0</v>
      </c>
      <c r="L80" s="84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2">
        <f t="shared" ca="1" si="43"/>
        <v>0</v>
      </c>
      <c r="Q80" s="22">
        <f t="shared" ca="1" si="44"/>
        <v>0</v>
      </c>
      <c r="R80" s="22">
        <f t="shared" ca="1" si="62"/>
        <v>0</v>
      </c>
      <c r="S80" s="22" t="str">
        <f t="shared" ca="1" si="63"/>
        <v xml:space="preserve"> </v>
      </c>
      <c r="T80" s="22" t="e">
        <f t="shared" ca="1" si="64"/>
        <v>#VALUE!</v>
      </c>
      <c r="U80" s="22">
        <f t="shared" ca="1" si="77"/>
        <v>0</v>
      </c>
      <c r="V80" s="22">
        <f t="shared" ca="1" si="78"/>
        <v>0</v>
      </c>
      <c r="W80" s="22">
        <f t="shared" ca="1" si="65"/>
        <v>0</v>
      </c>
      <c r="X80" s="22">
        <f t="shared" ca="1" si="66"/>
        <v>0</v>
      </c>
      <c r="Y80" s="22">
        <f t="shared" ca="1" si="45"/>
        <v>0</v>
      </c>
      <c r="Z80" s="22">
        <f t="shared" ca="1" si="79"/>
        <v>0</v>
      </c>
      <c r="AA80" s="22">
        <f t="shared" ca="1" si="46"/>
        <v>0</v>
      </c>
      <c r="AB80" s="22">
        <f t="shared" ca="1" si="35"/>
        <v>0</v>
      </c>
      <c r="AC80" s="22"/>
      <c r="AD80" s="22">
        <f t="shared" ca="1" si="47"/>
        <v>0</v>
      </c>
      <c r="AE80" s="22">
        <f t="shared" ca="1" si="48"/>
        <v>0</v>
      </c>
      <c r="AF80" s="22">
        <f t="shared" ca="1" si="67"/>
        <v>0</v>
      </c>
      <c r="AG80" s="22">
        <f t="shared" ca="1" si="49"/>
        <v>0</v>
      </c>
      <c r="AH80" s="22">
        <f t="shared" ca="1" si="68"/>
        <v>0</v>
      </c>
      <c r="AI80" s="22">
        <f t="shared" ca="1" si="50"/>
        <v>0</v>
      </c>
      <c r="AJ80" s="22">
        <f t="shared" ca="1" si="51"/>
        <v>0</v>
      </c>
      <c r="AK80" s="22">
        <f t="shared" ca="1" si="80"/>
        <v>0</v>
      </c>
      <c r="AL80" s="22">
        <f t="shared" ca="1" si="81"/>
        <v>0</v>
      </c>
      <c r="AM80" s="69">
        <f t="shared" ca="1" si="69"/>
        <v>0</v>
      </c>
      <c r="AN80" s="69">
        <f t="shared" ca="1" si="52"/>
        <v>0</v>
      </c>
      <c r="AO80" s="4">
        <f t="shared" ca="1" si="70"/>
        <v>0</v>
      </c>
      <c r="AP80" s="4">
        <f t="shared" ca="1" si="53"/>
        <v>0</v>
      </c>
      <c r="AQ80" s="4">
        <f t="shared" ca="1" si="54"/>
        <v>0</v>
      </c>
      <c r="AR80" s="4">
        <f t="shared" ca="1" si="55"/>
        <v>30</v>
      </c>
      <c r="AS80" s="4">
        <f t="shared" si="56"/>
        <v>20</v>
      </c>
      <c r="AT80" s="4">
        <f t="shared" ca="1" si="71"/>
        <v>30</v>
      </c>
      <c r="AU80" s="4"/>
      <c r="AV80" s="4"/>
      <c r="AW80" s="4"/>
      <c r="AX80" s="4"/>
      <c r="AY80" s="4"/>
      <c r="AZ80" s="4">
        <f t="shared" ca="1" si="57"/>
        <v>0</v>
      </c>
      <c r="BA80" s="4"/>
      <c r="BB80" s="4"/>
      <c r="BC80" s="4"/>
      <c r="BD80" s="4"/>
      <c r="BE80" s="10"/>
      <c r="BF80" s="19"/>
      <c r="BG80" s="19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</row>
    <row r="81" spans="1:142" s="24" customFormat="1" ht="15" customHeight="1">
      <c r="A81" s="4"/>
      <c r="B81" s="268" t="str">
        <f t="shared" ca="1" si="58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9"/>
        <v xml:space="preserve"> </v>
      </c>
      <c r="I81" s="84">
        <f t="shared" ca="1" si="60"/>
        <v>0</v>
      </c>
      <c r="J81" s="84">
        <f t="shared" ca="1" si="41"/>
        <v>0</v>
      </c>
      <c r="K81" s="84">
        <v>0</v>
      </c>
      <c r="L81" s="84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2">
        <f t="shared" ca="1" si="43"/>
        <v>0</v>
      </c>
      <c r="Q81" s="22">
        <f t="shared" ca="1" si="44"/>
        <v>0</v>
      </c>
      <c r="R81" s="22">
        <f t="shared" ca="1" si="62"/>
        <v>0</v>
      </c>
      <c r="S81" s="22" t="str">
        <f t="shared" ca="1" si="63"/>
        <v xml:space="preserve"> </v>
      </c>
      <c r="T81" s="22" t="e">
        <f t="shared" ca="1" si="64"/>
        <v>#VALUE!</v>
      </c>
      <c r="U81" s="22">
        <f t="shared" ca="1" si="77"/>
        <v>0</v>
      </c>
      <c r="V81" s="22">
        <f t="shared" ca="1" si="78"/>
        <v>0</v>
      </c>
      <c r="W81" s="22">
        <f t="shared" ca="1" si="65"/>
        <v>0</v>
      </c>
      <c r="X81" s="22">
        <f t="shared" ca="1" si="66"/>
        <v>0</v>
      </c>
      <c r="Y81" s="22">
        <f t="shared" ca="1" si="45"/>
        <v>0</v>
      </c>
      <c r="Z81" s="22">
        <f t="shared" ca="1" si="79"/>
        <v>0</v>
      </c>
      <c r="AA81" s="22">
        <f t="shared" ca="1" si="46"/>
        <v>0</v>
      </c>
      <c r="AB81" s="22">
        <f t="shared" ca="1" si="35"/>
        <v>0</v>
      </c>
      <c r="AC81" s="22"/>
      <c r="AD81" s="22">
        <f t="shared" ca="1" si="47"/>
        <v>0</v>
      </c>
      <c r="AE81" s="22">
        <f t="shared" ca="1" si="48"/>
        <v>0</v>
      </c>
      <c r="AF81" s="22">
        <f t="shared" ca="1" si="67"/>
        <v>0</v>
      </c>
      <c r="AG81" s="22">
        <f t="shared" ca="1" si="49"/>
        <v>0</v>
      </c>
      <c r="AH81" s="22">
        <f t="shared" ca="1" si="68"/>
        <v>0</v>
      </c>
      <c r="AI81" s="22">
        <f t="shared" ca="1" si="50"/>
        <v>0</v>
      </c>
      <c r="AJ81" s="22">
        <f t="shared" ca="1" si="51"/>
        <v>0</v>
      </c>
      <c r="AK81" s="22">
        <f t="shared" ca="1" si="80"/>
        <v>0</v>
      </c>
      <c r="AL81" s="22">
        <f t="shared" ca="1" si="81"/>
        <v>0</v>
      </c>
      <c r="AM81" s="69">
        <f t="shared" ca="1" si="69"/>
        <v>0</v>
      </c>
      <c r="AN81" s="69">
        <f t="shared" ca="1" si="52"/>
        <v>0</v>
      </c>
      <c r="AO81" s="4">
        <f t="shared" ca="1" si="70"/>
        <v>0</v>
      </c>
      <c r="AP81" s="4">
        <f t="shared" ca="1" si="53"/>
        <v>0</v>
      </c>
      <c r="AQ81" s="4">
        <f t="shared" ca="1" si="54"/>
        <v>0</v>
      </c>
      <c r="AR81" s="4">
        <f t="shared" ca="1" si="55"/>
        <v>30</v>
      </c>
      <c r="AS81" s="4">
        <f t="shared" si="56"/>
        <v>20</v>
      </c>
      <c r="AT81" s="4">
        <f t="shared" ca="1" si="71"/>
        <v>30</v>
      </c>
      <c r="AU81" s="4"/>
      <c r="AV81" s="4"/>
      <c r="AW81" s="4"/>
      <c r="AX81" s="4"/>
      <c r="AY81" s="4"/>
      <c r="AZ81" s="4">
        <f t="shared" ca="1" si="57"/>
        <v>0</v>
      </c>
      <c r="BA81" s="4"/>
      <c r="BB81" s="4"/>
      <c r="BC81" s="4"/>
      <c r="BD81" s="4"/>
      <c r="BE81" s="10"/>
      <c r="BF81" s="19"/>
      <c r="BG81" s="19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</row>
    <row r="82" spans="1:142" s="24" customFormat="1" ht="15" customHeight="1">
      <c r="A82" s="4"/>
      <c r="B82" s="268" t="str">
        <f t="shared" ca="1" si="58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9"/>
        <v xml:space="preserve"> </v>
      </c>
      <c r="I82" s="84">
        <f t="shared" ca="1" si="60"/>
        <v>0</v>
      </c>
      <c r="J82" s="84">
        <f t="shared" ca="1" si="41"/>
        <v>0</v>
      </c>
      <c r="K82" s="84">
        <v>0</v>
      </c>
      <c r="L82" s="84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2">
        <f t="shared" ca="1" si="43"/>
        <v>0</v>
      </c>
      <c r="Q82" s="22">
        <f t="shared" ca="1" si="44"/>
        <v>0</v>
      </c>
      <c r="R82" s="22">
        <f t="shared" ca="1" si="62"/>
        <v>0</v>
      </c>
      <c r="S82" s="22" t="str">
        <f t="shared" ca="1" si="63"/>
        <v xml:space="preserve"> </v>
      </c>
      <c r="T82" s="22" t="e">
        <f t="shared" ca="1" si="64"/>
        <v>#VALUE!</v>
      </c>
      <c r="U82" s="22">
        <f t="shared" ca="1" si="77"/>
        <v>0</v>
      </c>
      <c r="V82" s="22">
        <f t="shared" ca="1" si="78"/>
        <v>0</v>
      </c>
      <c r="W82" s="22">
        <f t="shared" ca="1" si="65"/>
        <v>0</v>
      </c>
      <c r="X82" s="22">
        <f t="shared" ca="1" si="66"/>
        <v>0</v>
      </c>
      <c r="Y82" s="22">
        <f t="shared" ca="1" si="45"/>
        <v>0</v>
      </c>
      <c r="Z82" s="22">
        <f t="shared" ca="1" si="79"/>
        <v>0</v>
      </c>
      <c r="AA82" s="22">
        <f t="shared" ca="1" si="46"/>
        <v>0</v>
      </c>
      <c r="AB82" s="22">
        <f t="shared" ca="1" si="35"/>
        <v>0</v>
      </c>
      <c r="AC82" s="22"/>
      <c r="AD82" s="22">
        <f t="shared" ca="1" si="47"/>
        <v>0</v>
      </c>
      <c r="AE82" s="22">
        <f t="shared" ca="1" si="48"/>
        <v>0</v>
      </c>
      <c r="AF82" s="22">
        <f t="shared" ca="1" si="67"/>
        <v>0</v>
      </c>
      <c r="AG82" s="22">
        <f t="shared" ca="1" si="49"/>
        <v>0</v>
      </c>
      <c r="AH82" s="22">
        <f t="shared" ca="1" si="68"/>
        <v>0</v>
      </c>
      <c r="AI82" s="22">
        <f t="shared" ca="1" si="50"/>
        <v>0</v>
      </c>
      <c r="AJ82" s="22">
        <f t="shared" ca="1" si="51"/>
        <v>0</v>
      </c>
      <c r="AK82" s="22">
        <f t="shared" ca="1" si="80"/>
        <v>0</v>
      </c>
      <c r="AL82" s="22">
        <f t="shared" ca="1" si="81"/>
        <v>0</v>
      </c>
      <c r="AM82" s="69">
        <f t="shared" ca="1" si="69"/>
        <v>0</v>
      </c>
      <c r="AN82" s="69">
        <f t="shared" ca="1" si="52"/>
        <v>0</v>
      </c>
      <c r="AO82" s="4">
        <f t="shared" ca="1" si="70"/>
        <v>0</v>
      </c>
      <c r="AP82" s="4">
        <f t="shared" ca="1" si="53"/>
        <v>0</v>
      </c>
      <c r="AQ82" s="4">
        <f t="shared" ca="1" si="54"/>
        <v>0</v>
      </c>
      <c r="AR82" s="4">
        <f t="shared" ca="1" si="55"/>
        <v>30</v>
      </c>
      <c r="AS82" s="4">
        <f t="shared" si="56"/>
        <v>20</v>
      </c>
      <c r="AT82" s="4">
        <f t="shared" ca="1" si="71"/>
        <v>30</v>
      </c>
      <c r="AU82" s="4"/>
      <c r="AV82" s="4"/>
      <c r="AW82" s="4"/>
      <c r="AX82" s="4"/>
      <c r="AY82" s="4"/>
      <c r="AZ82" s="4">
        <f t="shared" ca="1" si="57"/>
        <v>0</v>
      </c>
      <c r="BA82" s="4"/>
      <c r="BB82" s="4"/>
      <c r="BC82" s="4"/>
      <c r="BD82" s="4"/>
      <c r="BE82" s="10"/>
      <c r="BF82" s="19"/>
      <c r="BG82" s="19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</row>
    <row r="83" spans="1:142" s="24" customFormat="1" ht="15" customHeight="1">
      <c r="A83" s="4"/>
      <c r="B83" s="268" t="str">
        <f t="shared" ca="1" si="58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9"/>
        <v xml:space="preserve"> </v>
      </c>
      <c r="I83" s="84">
        <f t="shared" ca="1" si="60"/>
        <v>0</v>
      </c>
      <c r="J83" s="84">
        <f t="shared" ca="1" si="41"/>
        <v>0</v>
      </c>
      <c r="K83" s="84">
        <v>0</v>
      </c>
      <c r="L83" s="84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2">
        <f t="shared" ca="1" si="43"/>
        <v>0</v>
      </c>
      <c r="Q83" s="22">
        <f t="shared" ca="1" si="44"/>
        <v>0</v>
      </c>
      <c r="R83" s="22">
        <f t="shared" ca="1" si="62"/>
        <v>0</v>
      </c>
      <c r="S83" s="22" t="str">
        <f t="shared" ca="1" si="63"/>
        <v xml:space="preserve"> </v>
      </c>
      <c r="T83" s="22" t="e">
        <f t="shared" ca="1" si="64"/>
        <v>#VALUE!</v>
      </c>
      <c r="U83" s="22">
        <f t="shared" ca="1" si="77"/>
        <v>0</v>
      </c>
      <c r="V83" s="22">
        <f t="shared" ca="1" si="78"/>
        <v>0</v>
      </c>
      <c r="W83" s="22">
        <f t="shared" ca="1" si="65"/>
        <v>0</v>
      </c>
      <c r="X83" s="22">
        <f t="shared" ca="1" si="66"/>
        <v>0</v>
      </c>
      <c r="Y83" s="22">
        <f t="shared" ca="1" si="45"/>
        <v>0</v>
      </c>
      <c r="Z83" s="22">
        <f t="shared" ca="1" si="79"/>
        <v>0</v>
      </c>
      <c r="AA83" s="22">
        <f t="shared" ca="1" si="46"/>
        <v>0</v>
      </c>
      <c r="AB83" s="22">
        <f t="shared" ca="1" si="35"/>
        <v>0</v>
      </c>
      <c r="AC83" s="22"/>
      <c r="AD83" s="22">
        <f t="shared" ca="1" si="47"/>
        <v>0</v>
      </c>
      <c r="AE83" s="22">
        <f t="shared" ca="1" si="48"/>
        <v>0</v>
      </c>
      <c r="AF83" s="22">
        <f t="shared" ca="1" si="67"/>
        <v>0</v>
      </c>
      <c r="AG83" s="22">
        <f t="shared" ca="1" si="49"/>
        <v>0</v>
      </c>
      <c r="AH83" s="22">
        <f t="shared" ca="1" si="68"/>
        <v>0</v>
      </c>
      <c r="AI83" s="22">
        <f t="shared" ca="1" si="50"/>
        <v>0</v>
      </c>
      <c r="AJ83" s="22">
        <f t="shared" ca="1" si="51"/>
        <v>0</v>
      </c>
      <c r="AK83" s="22">
        <f t="shared" ca="1" si="80"/>
        <v>0</v>
      </c>
      <c r="AL83" s="22">
        <f t="shared" ca="1" si="81"/>
        <v>0</v>
      </c>
      <c r="AM83" s="69">
        <f t="shared" ca="1" si="69"/>
        <v>0</v>
      </c>
      <c r="AN83" s="69">
        <f t="shared" ca="1" si="52"/>
        <v>0</v>
      </c>
      <c r="AO83" s="4">
        <f t="shared" ca="1" si="70"/>
        <v>0</v>
      </c>
      <c r="AP83" s="4">
        <f t="shared" ca="1" si="53"/>
        <v>0</v>
      </c>
      <c r="AQ83" s="4">
        <f t="shared" ca="1" si="54"/>
        <v>0</v>
      </c>
      <c r="AR83" s="4">
        <f t="shared" ca="1" si="55"/>
        <v>30</v>
      </c>
      <c r="AS83" s="4">
        <f t="shared" si="56"/>
        <v>20</v>
      </c>
      <c r="AT83" s="4">
        <f t="shared" ca="1" si="71"/>
        <v>30</v>
      </c>
      <c r="AU83" s="4"/>
      <c r="AV83" s="4"/>
      <c r="AW83" s="4"/>
      <c r="AX83" s="4"/>
      <c r="AY83" s="4"/>
      <c r="AZ83" s="4">
        <f t="shared" ca="1" si="57"/>
        <v>0</v>
      </c>
      <c r="BA83" s="4"/>
      <c r="BB83" s="4"/>
      <c r="BC83" s="4"/>
      <c r="BD83" s="4"/>
      <c r="BE83" s="10"/>
      <c r="BF83" s="19"/>
      <c r="BG83" s="19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</row>
    <row r="84" spans="1:142" s="24" customFormat="1" ht="15" customHeight="1">
      <c r="A84" s="4"/>
      <c r="B84" s="268" t="str">
        <f t="shared" ca="1" si="58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9"/>
        <v xml:space="preserve"> </v>
      </c>
      <c r="I84" s="84">
        <f t="shared" ca="1" si="60"/>
        <v>0</v>
      </c>
      <c r="J84" s="84">
        <f t="shared" ca="1" si="41"/>
        <v>0</v>
      </c>
      <c r="K84" s="84">
        <v>0</v>
      </c>
      <c r="L84" s="84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2">
        <f t="shared" ca="1" si="43"/>
        <v>0</v>
      </c>
      <c r="Q84" s="22">
        <f t="shared" ca="1" si="44"/>
        <v>0</v>
      </c>
      <c r="R84" s="22">
        <f t="shared" ca="1" si="62"/>
        <v>0</v>
      </c>
      <c r="S84" s="22" t="str">
        <f t="shared" ca="1" si="63"/>
        <v xml:space="preserve"> </v>
      </c>
      <c r="T84" s="22" t="e">
        <f t="shared" ca="1" si="64"/>
        <v>#VALUE!</v>
      </c>
      <c r="U84" s="22">
        <f t="shared" ca="1" si="77"/>
        <v>0</v>
      </c>
      <c r="V84" s="22">
        <f t="shared" ca="1" si="78"/>
        <v>0</v>
      </c>
      <c r="W84" s="22">
        <f t="shared" ca="1" si="65"/>
        <v>0</v>
      </c>
      <c r="X84" s="22">
        <f t="shared" ca="1" si="66"/>
        <v>0</v>
      </c>
      <c r="Y84" s="22">
        <f t="shared" ca="1" si="45"/>
        <v>0</v>
      </c>
      <c r="Z84" s="22">
        <f t="shared" ca="1" si="79"/>
        <v>0</v>
      </c>
      <c r="AA84" s="22">
        <f t="shared" ca="1" si="46"/>
        <v>0</v>
      </c>
      <c r="AB84" s="22">
        <f t="shared" ca="1" si="35"/>
        <v>0</v>
      </c>
      <c r="AC84" s="22"/>
      <c r="AD84" s="22">
        <f t="shared" ca="1" si="47"/>
        <v>0</v>
      </c>
      <c r="AE84" s="22">
        <f t="shared" ca="1" si="48"/>
        <v>0</v>
      </c>
      <c r="AF84" s="22">
        <f t="shared" ca="1" si="67"/>
        <v>0</v>
      </c>
      <c r="AG84" s="22">
        <f t="shared" ca="1" si="49"/>
        <v>0</v>
      </c>
      <c r="AH84" s="22">
        <f t="shared" ca="1" si="68"/>
        <v>0</v>
      </c>
      <c r="AI84" s="22">
        <f t="shared" ca="1" si="50"/>
        <v>0</v>
      </c>
      <c r="AJ84" s="22">
        <f t="shared" ca="1" si="51"/>
        <v>0</v>
      </c>
      <c r="AK84" s="22">
        <f t="shared" ca="1" si="80"/>
        <v>0</v>
      </c>
      <c r="AL84" s="22">
        <f t="shared" ca="1" si="81"/>
        <v>0</v>
      </c>
      <c r="AM84" s="69">
        <f t="shared" ca="1" si="69"/>
        <v>0</v>
      </c>
      <c r="AN84" s="69">
        <f t="shared" ca="1" si="52"/>
        <v>0</v>
      </c>
      <c r="AO84" s="4">
        <f t="shared" ca="1" si="70"/>
        <v>0</v>
      </c>
      <c r="AP84" s="4">
        <f t="shared" ca="1" si="53"/>
        <v>0</v>
      </c>
      <c r="AQ84" s="4">
        <f t="shared" ca="1" si="54"/>
        <v>0</v>
      </c>
      <c r="AR84" s="4">
        <f t="shared" ca="1" si="55"/>
        <v>30</v>
      </c>
      <c r="AS84" s="4">
        <f t="shared" si="56"/>
        <v>20</v>
      </c>
      <c r="AT84" s="4">
        <f t="shared" ca="1" si="71"/>
        <v>30</v>
      </c>
      <c r="AU84" s="4"/>
      <c r="AV84" s="4"/>
      <c r="AW84" s="4"/>
      <c r="AX84" s="4"/>
      <c r="AY84" s="4"/>
      <c r="AZ84" s="4">
        <f t="shared" ca="1" si="57"/>
        <v>0</v>
      </c>
      <c r="BA84" s="4"/>
      <c r="BB84" s="4"/>
      <c r="BC84" s="4"/>
      <c r="BD84" s="4"/>
      <c r="BE84" s="10"/>
      <c r="BF84" s="19"/>
      <c r="BG84" s="19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</row>
    <row r="85" spans="1:142" s="24" customFormat="1" ht="15" customHeight="1">
      <c r="A85" s="4"/>
      <c r="B85" s="268" t="str">
        <f t="shared" ca="1" si="58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9"/>
        <v xml:space="preserve"> 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 t="str">
        <f t="shared" ca="1" si="63"/>
        <v xml:space="preserve"> </v>
      </c>
      <c r="T85" s="22" t="e">
        <f t="shared" ca="1" si="64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/>
      <c r="AD85" s="22">
        <f t="shared" ca="1" si="47"/>
        <v>0</v>
      </c>
      <c r="AE85" s="22">
        <f t="shared" ca="1" si="48"/>
        <v>0</v>
      </c>
      <c r="AF85" s="22">
        <f ca="1">IF(N86=1,D10*G$12*20/36000+D10*G$12*10/36000,IF(N86=0,IF(N85=0,0,D10*G$12*Q$12/36000)))</f>
        <v>0</v>
      </c>
      <c r="AG85" s="22">
        <f t="shared" ca="1" si="49"/>
        <v>0</v>
      </c>
      <c r="AH85" s="22">
        <f ca="1">IF(N86=1,Y84*G$12*20/36000+Y85*G$12*10/36000,IF(N86=0,IF(N85=0,0,Y85*G$12*Q$12/36000)))</f>
        <v>0</v>
      </c>
      <c r="AI85" s="22">
        <f t="shared" ca="1" si="50"/>
        <v>0</v>
      </c>
      <c r="AJ85" s="22">
        <f t="shared" ca="1" si="51"/>
        <v>0</v>
      </c>
      <c r="AK85" s="22">
        <f ca="1">IF(N86=1,AJ84*G$12*20/36000+AJ85*G$12*10/36000,IF(N86=0,IF(N85=0,0,AJ85*G$12*Q$12/36000)))</f>
        <v>0</v>
      </c>
      <c r="AL85" s="22">
        <f ca="1">IF(N86=1,AJ84*G$12*20/36000+AJ85*G$12*10/36000,IF(N86=0,IF(N85=0,0,AJ85*G$12*Q$12/36000)))</f>
        <v>0</v>
      </c>
      <c r="AM85" s="69">
        <f t="shared" ca="1" si="69"/>
        <v>0</v>
      </c>
      <c r="AN85" s="69">
        <f t="shared" ca="1" si="52"/>
        <v>0</v>
      </c>
      <c r="AO85" s="4">
        <f t="shared" ca="1" si="70"/>
        <v>0</v>
      </c>
      <c r="AP85" s="4">
        <f t="shared" ca="1" si="53"/>
        <v>0</v>
      </c>
      <c r="AQ85" s="4">
        <f t="shared" ca="1" si="54"/>
        <v>0</v>
      </c>
      <c r="AR85" s="4">
        <f t="shared" ca="1" si="55"/>
        <v>30</v>
      </c>
      <c r="AS85" s="4">
        <f t="shared" si="56"/>
        <v>20</v>
      </c>
      <c r="AT85" s="4">
        <f t="shared" ca="1" si="71"/>
        <v>30</v>
      </c>
      <c r="AU85" s="4"/>
      <c r="AV85" s="4"/>
      <c r="AW85" s="4"/>
      <c r="AX85" s="4"/>
      <c r="AY85" s="4"/>
      <c r="AZ85" s="4">
        <f t="shared" ca="1" si="57"/>
        <v>0</v>
      </c>
      <c r="BA85" s="4"/>
      <c r="BB85" s="4"/>
      <c r="BC85" s="4"/>
      <c r="BD85" s="4"/>
      <c r="BE85" s="10"/>
      <c r="BF85" s="19"/>
      <c r="BG85" s="19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</row>
    <row r="86" spans="1:142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1804820</v>
      </c>
      <c r="Q86" s="71">
        <f ca="1">SUM(Q25:Q85)</f>
        <v>1804820</v>
      </c>
      <c r="R86" s="71">
        <f ca="1">SUM(R25:R85)</f>
        <v>45499950</v>
      </c>
      <c r="S86" s="71"/>
      <c r="T86" s="71"/>
      <c r="U86" s="71">
        <f ca="1">SUM(U25:U85)</f>
        <v>1804831.9333333333</v>
      </c>
      <c r="V86" s="71">
        <f ca="1">SUM(V25:V85)</f>
        <v>1804831.9333333333</v>
      </c>
      <c r="W86" s="71">
        <f ca="1">SUM(W25:W85)</f>
        <v>2714833.333333333</v>
      </c>
      <c r="X86" s="71">
        <f ca="1">SUM(X25:X85)</f>
        <v>2714830</v>
      </c>
      <c r="Y86" s="71"/>
      <c r="Z86" s="71"/>
      <c r="AA86" s="71"/>
      <c r="AB86" s="71">
        <f ca="1">SUM(AB25:AB85)</f>
        <v>1438665900</v>
      </c>
      <c r="AC86" s="71"/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>
        <f ca="1">SUM(AG25:AG85)</f>
        <v>0</v>
      </c>
      <c r="AH86" s="71"/>
      <c r="AI86" s="71"/>
      <c r="AJ86" s="71">
        <f ca="1">SUM(AJ25:AJ85)</f>
        <v>45499950</v>
      </c>
      <c r="AK86" s="71">
        <f ca="1">SUM(AK25:AK85)</f>
        <v>0</v>
      </c>
      <c r="AL86" s="71">
        <f ca="1">SUM(AL25:AL85)</f>
        <v>0</v>
      </c>
      <c r="AM86" s="71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111"/>
    </row>
    <row r="87" spans="1:142" ht="66.75" hidden="1" customHeight="1">
      <c r="A87" s="28"/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28"/>
      <c r="N87" s="28" t="s">
        <v>145</v>
      </c>
      <c r="O87" s="28" t="s">
        <v>145</v>
      </c>
      <c r="P87" s="28"/>
      <c r="Q87" s="28"/>
    </row>
    <row r="88" spans="1:142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2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2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2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2" s="19" customFormat="1" ht="19.5" hidden="1" customHeight="1">
      <c r="A92" s="4"/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10"/>
    </row>
    <row r="93" spans="1:142" s="19" customFormat="1" ht="30" hidden="1" customHeight="1">
      <c r="A93" s="31"/>
      <c r="B93" s="305" t="s">
        <v>152</v>
      </c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10"/>
    </row>
    <row r="94" spans="1:142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10"/>
    </row>
    <row r="95" spans="1:142" s="19" customFormat="1" ht="12.75" hidden="1" customHeight="1">
      <c r="A95" s="31"/>
      <c r="B95" s="302" t="s">
        <v>190</v>
      </c>
      <c r="C95" s="302"/>
      <c r="D95" s="302"/>
      <c r="E95" s="302"/>
      <c r="F95" s="302"/>
      <c r="G95" s="302"/>
      <c r="H95" s="302"/>
      <c r="I95" s="302"/>
      <c r="J95" s="302"/>
      <c r="K95" s="104"/>
      <c r="L95" s="10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10"/>
    </row>
    <row r="96" spans="1:142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112"/>
    </row>
    <row r="97" spans="1:57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112"/>
    </row>
    <row r="98" spans="1:57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112"/>
    </row>
    <row r="99" spans="1:57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98</v>
      </c>
      <c r="V99" s="37" t="s">
        <v>98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112"/>
    </row>
    <row r="100" spans="1:57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112"/>
    </row>
    <row r="101" spans="1:57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112"/>
    </row>
    <row r="102" spans="1:57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112"/>
    </row>
    <row r="103" spans="1:57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112"/>
    </row>
    <row r="104" spans="1:57" s="34" customFormat="1" ht="25.5" hidden="1" customHeight="1">
      <c r="A104" s="32"/>
      <c r="B104" s="299" t="str">
        <f t="shared" ref="B104:B120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112"/>
    </row>
    <row r="105" spans="1:57" s="34" customFormat="1" ht="25.5" hidden="1" customHeight="1">
      <c r="A105" s="32">
        <f t="shared" ref="A105:A120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112"/>
    </row>
    <row r="106" spans="1:57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112"/>
    </row>
    <row r="107" spans="1:57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112"/>
    </row>
    <row r="108" spans="1:57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98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112"/>
    </row>
    <row r="109" spans="1:57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112"/>
    </row>
    <row r="110" spans="1:57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98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112"/>
    </row>
    <row r="111" spans="1:57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112"/>
    </row>
    <row r="112" spans="1:57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112"/>
    </row>
    <row r="113" spans="1:57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112"/>
    </row>
    <row r="114" spans="1:57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112"/>
    </row>
    <row r="115" spans="1:57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112"/>
    </row>
    <row r="116" spans="1:57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30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65"/>
      <c r="N116" s="37" t="s">
        <v>98</v>
      </c>
      <c r="O116" s="37" t="s">
        <v>98</v>
      </c>
      <c r="P116" s="37" t="s">
        <v>98</v>
      </c>
      <c r="Q116" s="37" t="s">
        <v>98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112"/>
    </row>
    <row r="117" spans="1:57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112"/>
    </row>
    <row r="118" spans="1:57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112"/>
    </row>
    <row r="119" spans="1:57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65"/>
      <c r="N119" s="37" t="s">
        <v>105</v>
      </c>
      <c r="O119" s="37" t="s">
        <v>146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112"/>
    </row>
    <row r="120" spans="1:57" s="34" customFormat="1" ht="25.5" hidden="1" customHeight="1">
      <c r="A120" s="32">
        <f t="shared" si="84"/>
        <v>1</v>
      </c>
      <c r="B120" s="299" t="str">
        <f t="shared" si="83"/>
        <v>III. Кредитополучателю предоставляется право на досрочное погашение задолженности по кредиту без взимания штрафов и дополнительных комиссий.</v>
      </c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65"/>
      <c r="N120" s="33" t="s">
        <v>61</v>
      </c>
      <c r="O120" s="33" t="s">
        <v>61</v>
      </c>
      <c r="P120" s="33" t="s">
        <v>36</v>
      </c>
      <c r="Q120" s="33" t="s">
        <v>36</v>
      </c>
      <c r="R120" s="33" t="s">
        <v>36</v>
      </c>
      <c r="S120" s="33"/>
      <c r="T120" s="33"/>
      <c r="U120" s="33" t="s">
        <v>36</v>
      </c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112"/>
    </row>
    <row r="121" spans="1:57" s="34" customFormat="1" ht="36.75" customHeight="1">
      <c r="A121" s="32"/>
      <c r="B121" s="385" t="s">
        <v>154</v>
      </c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65"/>
      <c r="N121" s="33"/>
      <c r="O121" s="33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112"/>
    </row>
    <row r="122" spans="1:57" s="34" customFormat="1" ht="21.75" customHeight="1">
      <c r="A122" s="32"/>
      <c r="B122" s="385" t="s">
        <v>155</v>
      </c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65"/>
      <c r="N122" s="33"/>
      <c r="O122" s="33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112"/>
    </row>
    <row r="123" spans="1:57" s="34" customFormat="1" ht="36.75" customHeight="1">
      <c r="A123" s="32"/>
      <c r="B123" s="385" t="s">
        <v>153</v>
      </c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65"/>
      <c r="N123" s="33"/>
      <c r="O123" s="33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112"/>
    </row>
    <row r="124" spans="1:57" s="34" customFormat="1" ht="52.5" customHeight="1">
      <c r="A124" s="32"/>
      <c r="B124" s="385" t="s">
        <v>193</v>
      </c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65"/>
      <c r="N124" s="33"/>
      <c r="O124" s="33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112"/>
    </row>
    <row r="125" spans="1:57" s="34" customFormat="1" ht="27" customHeight="1">
      <c r="A125" s="32"/>
      <c r="B125" s="394" t="s">
        <v>187</v>
      </c>
      <c r="C125" s="394"/>
      <c r="D125" s="394"/>
      <c r="E125" s="394"/>
      <c r="F125" s="394"/>
      <c r="G125" s="394"/>
      <c r="H125" s="394"/>
      <c r="I125" s="394"/>
      <c r="J125" s="394"/>
      <c r="K125" s="394"/>
      <c r="L125" s="394"/>
      <c r="M125" s="65"/>
      <c r="N125" s="33"/>
      <c r="O125" s="33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112"/>
    </row>
    <row r="126" spans="1:57" s="34" customFormat="1" ht="44.25" customHeight="1">
      <c r="A126" s="32"/>
      <c r="B126" s="385" t="s">
        <v>196</v>
      </c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65"/>
      <c r="N126" s="33"/>
      <c r="O126" s="33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112"/>
    </row>
    <row r="127" spans="1:57" s="34" customFormat="1" ht="51.75" customHeight="1">
      <c r="A127" s="32"/>
      <c r="B127" s="385" t="s">
        <v>157</v>
      </c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65"/>
      <c r="N127" s="33"/>
      <c r="O127" s="33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112"/>
    </row>
    <row r="128" spans="1:57" s="34" customFormat="1" ht="37.5" customHeight="1">
      <c r="A128" s="32"/>
      <c r="B128" s="385" t="s">
        <v>158</v>
      </c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65"/>
      <c r="N128" s="33"/>
      <c r="O128" s="33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112"/>
    </row>
    <row r="129" spans="1:57" s="34" customFormat="1" ht="38.25" customHeight="1">
      <c r="A129" s="32"/>
      <c r="B129" s="385" t="s">
        <v>159</v>
      </c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65"/>
      <c r="N129" s="33"/>
      <c r="O129" s="33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112"/>
    </row>
    <row r="130" spans="1:57" s="34" customFormat="1" ht="23.25" customHeight="1">
      <c r="A130" s="32"/>
      <c r="B130" s="394" t="s">
        <v>188</v>
      </c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65"/>
      <c r="N130" s="33"/>
      <c r="O130" s="33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112"/>
    </row>
    <row r="131" spans="1:57" s="34" customFormat="1" ht="38.25" customHeight="1">
      <c r="A131" s="32"/>
      <c r="B131" s="385" t="s">
        <v>192</v>
      </c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65"/>
      <c r="N131" s="33"/>
      <c r="O131" s="33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112"/>
    </row>
    <row r="132" spans="1:57" s="34" customFormat="1" ht="38.25" customHeight="1">
      <c r="A132" s="32"/>
      <c r="B132" s="394" t="s">
        <v>160</v>
      </c>
      <c r="C132" s="394"/>
      <c r="D132" s="394"/>
      <c r="E132" s="394"/>
      <c r="F132" s="394"/>
      <c r="G132" s="394"/>
      <c r="H132" s="394"/>
      <c r="I132" s="394"/>
      <c r="J132" s="394"/>
      <c r="K132" s="394"/>
      <c r="L132" s="394"/>
      <c r="M132" s="65"/>
      <c r="N132" s="33"/>
      <c r="O132" s="33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112"/>
    </row>
    <row r="133" spans="1:57" s="34" customFormat="1" ht="23.25" customHeight="1">
      <c r="A133" s="32"/>
      <c r="B133" s="393" t="s">
        <v>191</v>
      </c>
      <c r="C133" s="393"/>
      <c r="D133" s="393"/>
      <c r="E133" s="393"/>
      <c r="F133" s="393"/>
      <c r="G133" s="393"/>
      <c r="H133" s="393"/>
      <c r="I133" s="393"/>
      <c r="J133" s="393"/>
      <c r="K133" s="393"/>
      <c r="L133" s="393"/>
      <c r="M133" s="65"/>
      <c r="N133" s="33"/>
      <c r="O133" s="33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112"/>
    </row>
    <row r="134" spans="1:57" s="34" customFormat="1" ht="18" customHeight="1">
      <c r="A134" s="32"/>
      <c r="B134" s="393" t="s">
        <v>161</v>
      </c>
      <c r="C134" s="393"/>
      <c r="D134" s="393"/>
      <c r="E134" s="393"/>
      <c r="F134" s="393"/>
      <c r="G134" s="393"/>
      <c r="H134" s="393"/>
      <c r="I134" s="393"/>
      <c r="J134" s="393"/>
      <c r="K134" s="393"/>
      <c r="L134" s="393"/>
      <c r="M134" s="65"/>
      <c r="N134" s="33"/>
      <c r="O134" s="33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112"/>
    </row>
    <row r="135" spans="1:57" s="34" customFormat="1" ht="17.25" customHeight="1">
      <c r="A135" s="32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65"/>
      <c r="N135" s="33"/>
      <c r="O135" s="33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112"/>
    </row>
    <row r="136" spans="1:57" s="34" customFormat="1" ht="32.25" customHeight="1">
      <c r="A136" s="32"/>
      <c r="B136" s="387" t="s">
        <v>162</v>
      </c>
      <c r="C136" s="388"/>
      <c r="D136" s="388"/>
      <c r="E136" s="388"/>
      <c r="F136" s="388"/>
      <c r="G136" s="388"/>
      <c r="H136" s="389"/>
      <c r="I136" s="390" t="s">
        <v>163</v>
      </c>
      <c r="J136" s="391"/>
      <c r="K136" s="391"/>
      <c r="L136" s="392"/>
      <c r="M136" s="65"/>
      <c r="N136" s="33"/>
      <c r="O136" s="33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112"/>
    </row>
    <row r="137" spans="1:57" s="34" customFormat="1" ht="33.75" customHeight="1">
      <c r="A137" s="32"/>
      <c r="B137" s="387" t="s">
        <v>164</v>
      </c>
      <c r="C137" s="388"/>
      <c r="D137" s="388"/>
      <c r="E137" s="388"/>
      <c r="F137" s="388"/>
      <c r="G137" s="388"/>
      <c r="H137" s="389"/>
      <c r="I137" s="390" t="s">
        <v>165</v>
      </c>
      <c r="J137" s="391"/>
      <c r="K137" s="391"/>
      <c r="L137" s="392"/>
      <c r="M137" s="65"/>
      <c r="N137" s="33"/>
      <c r="O137" s="33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112"/>
    </row>
    <row r="138" spans="1:57" s="34" customFormat="1" ht="51" customHeight="1">
      <c r="A138" s="32"/>
      <c r="B138" s="387" t="s">
        <v>166</v>
      </c>
      <c r="C138" s="388"/>
      <c r="D138" s="388"/>
      <c r="E138" s="388"/>
      <c r="F138" s="388"/>
      <c r="G138" s="388"/>
      <c r="H138" s="389"/>
      <c r="I138" s="390" t="s">
        <v>165</v>
      </c>
      <c r="J138" s="391"/>
      <c r="K138" s="391"/>
      <c r="L138" s="392"/>
      <c r="M138" s="65"/>
      <c r="N138" s="33"/>
      <c r="O138" s="33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112"/>
    </row>
    <row r="139" spans="1:57" s="34" customFormat="1" ht="47.25" customHeight="1">
      <c r="A139" s="32"/>
      <c r="B139" s="387" t="s">
        <v>167</v>
      </c>
      <c r="C139" s="388"/>
      <c r="D139" s="388"/>
      <c r="E139" s="388"/>
      <c r="F139" s="388"/>
      <c r="G139" s="388"/>
      <c r="H139" s="389"/>
      <c r="I139" s="390" t="s">
        <v>168</v>
      </c>
      <c r="J139" s="391"/>
      <c r="K139" s="391"/>
      <c r="L139" s="392"/>
      <c r="M139" s="65"/>
      <c r="N139" s="33"/>
      <c r="O139" s="33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112"/>
    </row>
    <row r="140" spans="1:57" s="34" customFormat="1" ht="13.5" customHeight="1">
      <c r="A140" s="32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65"/>
      <c r="N140" s="33"/>
      <c r="O140" s="33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112"/>
    </row>
    <row r="141" spans="1:57" s="34" customFormat="1" ht="23.25" customHeight="1">
      <c r="A141" s="32"/>
      <c r="B141" s="393" t="s">
        <v>169</v>
      </c>
      <c r="C141" s="393"/>
      <c r="D141" s="393"/>
      <c r="E141" s="393"/>
      <c r="F141" s="393"/>
      <c r="G141" s="393"/>
      <c r="H141" s="393"/>
      <c r="I141" s="393"/>
      <c r="J141" s="393"/>
      <c r="K141" s="393"/>
      <c r="L141" s="393"/>
      <c r="M141" s="65"/>
      <c r="N141" s="33"/>
      <c r="O141" s="33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112"/>
    </row>
    <row r="142" spans="1:57" s="34" customFormat="1" ht="12.75" customHeight="1">
      <c r="A142" s="32"/>
      <c r="B142" s="384"/>
      <c r="C142" s="384"/>
      <c r="D142" s="384"/>
      <c r="E142" s="384"/>
      <c r="F142" s="384"/>
      <c r="G142" s="384"/>
      <c r="H142" s="384"/>
      <c r="I142" s="384"/>
      <c r="J142" s="384"/>
      <c r="K142" s="384"/>
      <c r="L142" s="384"/>
      <c r="M142" s="65"/>
      <c r="N142" s="33"/>
      <c r="O142" s="33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112"/>
    </row>
    <row r="143" spans="1:57" s="34" customFormat="1" ht="32.25" customHeight="1">
      <c r="A143" s="32"/>
      <c r="B143" s="390" t="s">
        <v>170</v>
      </c>
      <c r="C143" s="391"/>
      <c r="D143" s="391"/>
      <c r="E143" s="391"/>
      <c r="F143" s="391"/>
      <c r="G143" s="391"/>
      <c r="H143" s="392"/>
      <c r="I143" s="390" t="s">
        <v>174</v>
      </c>
      <c r="J143" s="391"/>
      <c r="K143" s="391"/>
      <c r="L143" s="392"/>
      <c r="M143" s="65"/>
      <c r="N143" s="33"/>
      <c r="O143" s="33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112"/>
    </row>
    <row r="144" spans="1:57" s="34" customFormat="1" ht="35.25" customHeight="1">
      <c r="A144" s="32"/>
      <c r="B144" s="390" t="s">
        <v>171</v>
      </c>
      <c r="C144" s="391"/>
      <c r="D144" s="391"/>
      <c r="E144" s="391"/>
      <c r="F144" s="391"/>
      <c r="G144" s="391"/>
      <c r="H144" s="392"/>
      <c r="I144" s="390" t="s">
        <v>175</v>
      </c>
      <c r="J144" s="391"/>
      <c r="K144" s="391"/>
      <c r="L144" s="392"/>
      <c r="M144" s="65"/>
      <c r="N144" s="33"/>
      <c r="O144" s="33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112"/>
    </row>
    <row r="145" spans="1:57" s="34" customFormat="1" ht="31.5" customHeight="1">
      <c r="A145" s="32"/>
      <c r="B145" s="387" t="s">
        <v>184</v>
      </c>
      <c r="C145" s="388"/>
      <c r="D145" s="388"/>
      <c r="E145" s="388"/>
      <c r="F145" s="388"/>
      <c r="G145" s="388"/>
      <c r="H145" s="389"/>
      <c r="I145" s="390" t="s">
        <v>176</v>
      </c>
      <c r="J145" s="391"/>
      <c r="K145" s="391"/>
      <c r="L145" s="392"/>
      <c r="M145" s="65"/>
      <c r="N145" s="33"/>
      <c r="O145" s="33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112"/>
    </row>
    <row r="146" spans="1:57" s="34" customFormat="1" ht="51.75" customHeight="1">
      <c r="A146" s="32"/>
      <c r="B146" s="390" t="s">
        <v>172</v>
      </c>
      <c r="C146" s="391"/>
      <c r="D146" s="391"/>
      <c r="E146" s="391"/>
      <c r="F146" s="391"/>
      <c r="G146" s="391"/>
      <c r="H146" s="392"/>
      <c r="I146" s="390" t="s">
        <v>177</v>
      </c>
      <c r="J146" s="391"/>
      <c r="K146" s="391"/>
      <c r="L146" s="392"/>
      <c r="M146" s="65"/>
      <c r="N146" s="33"/>
      <c r="O146" s="33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112"/>
    </row>
    <row r="147" spans="1:57" s="34" customFormat="1" ht="32.25" customHeight="1">
      <c r="A147" s="32"/>
      <c r="B147" s="390" t="s">
        <v>173</v>
      </c>
      <c r="C147" s="391"/>
      <c r="D147" s="391"/>
      <c r="E147" s="391"/>
      <c r="F147" s="391"/>
      <c r="G147" s="391"/>
      <c r="H147" s="392"/>
      <c r="I147" s="390" t="s">
        <v>178</v>
      </c>
      <c r="J147" s="391"/>
      <c r="K147" s="391"/>
      <c r="L147" s="392"/>
      <c r="M147" s="65"/>
      <c r="N147" s="33"/>
      <c r="O147" s="33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112"/>
    </row>
    <row r="148" spans="1:57" s="34" customFormat="1" ht="79.5" customHeight="1">
      <c r="A148" s="32"/>
      <c r="B148" s="400" t="s">
        <v>179</v>
      </c>
      <c r="C148" s="400"/>
      <c r="D148" s="400"/>
      <c r="E148" s="400"/>
      <c r="F148" s="400"/>
      <c r="G148" s="400"/>
      <c r="H148" s="400"/>
      <c r="I148" s="400"/>
      <c r="J148" s="400"/>
      <c r="K148" s="400"/>
      <c r="L148" s="400"/>
      <c r="M148" s="65"/>
      <c r="N148" s="33"/>
      <c r="O148" s="33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112"/>
    </row>
    <row r="149" spans="1:57" s="34" customFormat="1" ht="40.5" customHeight="1">
      <c r="A149" s="32"/>
      <c r="B149" s="385" t="s">
        <v>180</v>
      </c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65"/>
      <c r="N149" s="33"/>
      <c r="O149" s="33"/>
      <c r="P149" s="33"/>
      <c r="Q149" s="33"/>
      <c r="R149" s="33"/>
      <c r="S149" s="33"/>
      <c r="T149" s="33"/>
      <c r="U149" s="33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112"/>
    </row>
    <row r="150" spans="1:57" ht="19.5" customHeight="1">
      <c r="A150" s="2"/>
      <c r="B150" s="399"/>
      <c r="C150" s="399"/>
      <c r="D150" s="399"/>
      <c r="E150" s="399"/>
      <c r="F150" s="399"/>
      <c r="G150" s="399"/>
      <c r="H150" s="399"/>
      <c r="I150" s="399"/>
      <c r="J150" s="399"/>
      <c r="K150" s="399"/>
      <c r="L150" s="399"/>
    </row>
    <row r="151" spans="1:57" ht="16.5" thickBot="1">
      <c r="A151" s="2"/>
      <c r="B151" s="396">
        <f ca="1">IF(A151=0,TODAY(),A151)</f>
        <v>45294</v>
      </c>
      <c r="C151" s="396"/>
      <c r="D151" s="398"/>
      <c r="E151" s="398"/>
      <c r="F151" s="398"/>
      <c r="G151" s="385" t="str">
        <f>D7</f>
        <v>Иванов И.И.</v>
      </c>
      <c r="H151" s="385"/>
      <c r="I151" s="124"/>
      <c r="J151" s="124"/>
      <c r="K151" s="124"/>
      <c r="L151" s="124"/>
    </row>
    <row r="152" spans="1: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7">
      <c r="A158" s="2"/>
      <c r="B158" s="2"/>
      <c r="C158" s="2"/>
      <c r="D158" s="2"/>
      <c r="E158" s="2"/>
      <c r="F158" s="2"/>
      <c r="G158" s="2"/>
      <c r="H158" s="442"/>
      <c r="I158" s="442"/>
      <c r="J158" s="442"/>
      <c r="K158" s="442"/>
      <c r="L158" s="442"/>
      <c r="M158" s="442"/>
      <c r="N158" s="442"/>
      <c r="O158" s="442"/>
      <c r="P158" s="442"/>
      <c r="Q158" s="442"/>
      <c r="R158" s="442"/>
    </row>
    <row r="159" spans="1: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</sheetData>
  <sheetProtection password="DF29" sheet="1" objects="1" scenarios="1"/>
  <mergeCells count="234">
    <mergeCell ref="I23:L23"/>
    <mergeCell ref="D22:E22"/>
    <mergeCell ref="D19:F19"/>
    <mergeCell ref="D23:H23"/>
    <mergeCell ref="D24:E24"/>
    <mergeCell ref="B13:C13"/>
    <mergeCell ref="B23:C24"/>
    <mergeCell ref="B15:C15"/>
    <mergeCell ref="B16:C16"/>
    <mergeCell ref="B14:C14"/>
    <mergeCell ref="B18:C18"/>
    <mergeCell ref="D15:E15"/>
    <mergeCell ref="D13:F13"/>
    <mergeCell ref="D17:F17"/>
    <mergeCell ref="M12:P12"/>
    <mergeCell ref="D12:E12"/>
    <mergeCell ref="M11:P11"/>
    <mergeCell ref="D14:E14"/>
    <mergeCell ref="N1:Q1"/>
    <mergeCell ref="B7:C7"/>
    <mergeCell ref="D7:F7"/>
    <mergeCell ref="B5:I5"/>
    <mergeCell ref="F1:H4"/>
    <mergeCell ref="B8:C8"/>
    <mergeCell ref="B32:C32"/>
    <mergeCell ref="D8:F8"/>
    <mergeCell ref="B12:C12"/>
    <mergeCell ref="B10:C10"/>
    <mergeCell ref="D10:E10"/>
    <mergeCell ref="B11:C11"/>
    <mergeCell ref="D11:E11"/>
    <mergeCell ref="B28:C28"/>
    <mergeCell ref="D28:E28"/>
    <mergeCell ref="B25:C25"/>
    <mergeCell ref="D25:E25"/>
    <mergeCell ref="B26:C26"/>
    <mergeCell ref="D26:E26"/>
    <mergeCell ref="B27:C27"/>
    <mergeCell ref="D27:E27"/>
    <mergeCell ref="D18:F18"/>
    <mergeCell ref="D16:E16"/>
    <mergeCell ref="D20:F20"/>
    <mergeCell ref="D21:F21"/>
    <mergeCell ref="B40:C40"/>
    <mergeCell ref="D40:E40"/>
    <mergeCell ref="D36:E36"/>
    <mergeCell ref="B37:C37"/>
    <mergeCell ref="B36:C36"/>
    <mergeCell ref="D37:E37"/>
    <mergeCell ref="B39:C39"/>
    <mergeCell ref="D39:E39"/>
    <mergeCell ref="B17:C17"/>
    <mergeCell ref="B38:C38"/>
    <mergeCell ref="D38:E38"/>
    <mergeCell ref="D29:E29"/>
    <mergeCell ref="B31:C31"/>
    <mergeCell ref="B29:C29"/>
    <mergeCell ref="B34:C34"/>
    <mergeCell ref="D34:E34"/>
    <mergeCell ref="B35:C35"/>
    <mergeCell ref="D35:E35"/>
    <mergeCell ref="B33:C33"/>
    <mergeCell ref="D33:E33"/>
    <mergeCell ref="D32:E32"/>
    <mergeCell ref="B30:C30"/>
    <mergeCell ref="D30:E30"/>
    <mergeCell ref="D31:E31"/>
    <mergeCell ref="B41:C41"/>
    <mergeCell ref="D41:E41"/>
    <mergeCell ref="B46:C46"/>
    <mergeCell ref="D46:E46"/>
    <mergeCell ref="B45:C45"/>
    <mergeCell ref="D45:E45"/>
    <mergeCell ref="B42:C42"/>
    <mergeCell ref="D42:E42"/>
    <mergeCell ref="B43:C43"/>
    <mergeCell ref="D43:E43"/>
    <mergeCell ref="B44:C44"/>
    <mergeCell ref="D44:E44"/>
    <mergeCell ref="B52:C52"/>
    <mergeCell ref="D52:E52"/>
    <mergeCell ref="B60:C60"/>
    <mergeCell ref="D60:E60"/>
    <mergeCell ref="B50:C50"/>
    <mergeCell ref="D50:E50"/>
    <mergeCell ref="D47:E47"/>
    <mergeCell ref="B49:C49"/>
    <mergeCell ref="D49:E49"/>
    <mergeCell ref="B48:C48"/>
    <mergeCell ref="D48:E48"/>
    <mergeCell ref="B47:C47"/>
    <mergeCell ref="B51:C51"/>
    <mergeCell ref="D51:E51"/>
    <mergeCell ref="B61:C61"/>
    <mergeCell ref="D61:E61"/>
    <mergeCell ref="B62:C62"/>
    <mergeCell ref="B58:C58"/>
    <mergeCell ref="D58:E58"/>
    <mergeCell ref="B53:C53"/>
    <mergeCell ref="D53:E53"/>
    <mergeCell ref="B54:C54"/>
    <mergeCell ref="D54:E54"/>
    <mergeCell ref="B55:C55"/>
    <mergeCell ref="D55:E55"/>
    <mergeCell ref="B59:C59"/>
    <mergeCell ref="D59:E59"/>
    <mergeCell ref="B56:C56"/>
    <mergeCell ref="D56:E56"/>
    <mergeCell ref="B57:C57"/>
    <mergeCell ref="D57:E57"/>
    <mergeCell ref="D70:E70"/>
    <mergeCell ref="B68:C68"/>
    <mergeCell ref="B69:C69"/>
    <mergeCell ref="D73:E73"/>
    <mergeCell ref="D64:E64"/>
    <mergeCell ref="D68:E68"/>
    <mergeCell ref="D66:E66"/>
    <mergeCell ref="B66:C66"/>
    <mergeCell ref="B67:C67"/>
    <mergeCell ref="B78:C78"/>
    <mergeCell ref="D78:E78"/>
    <mergeCell ref="B73:C73"/>
    <mergeCell ref="B77:C77"/>
    <mergeCell ref="D77:E77"/>
    <mergeCell ref="B74:C74"/>
    <mergeCell ref="D74:E74"/>
    <mergeCell ref="B75:C75"/>
    <mergeCell ref="D62:E62"/>
    <mergeCell ref="B63:C63"/>
    <mergeCell ref="D71:E71"/>
    <mergeCell ref="B64:C64"/>
    <mergeCell ref="D63:E63"/>
    <mergeCell ref="B71:C71"/>
    <mergeCell ref="B65:C65"/>
    <mergeCell ref="D65:E65"/>
    <mergeCell ref="B70:C70"/>
    <mergeCell ref="D69:E69"/>
    <mergeCell ref="D67:E67"/>
    <mergeCell ref="B76:C76"/>
    <mergeCell ref="D76:E76"/>
    <mergeCell ref="D75:E75"/>
    <mergeCell ref="B72:C72"/>
    <mergeCell ref="D72:E72"/>
    <mergeCell ref="B79:C79"/>
    <mergeCell ref="D79:E79"/>
    <mergeCell ref="B99:L99"/>
    <mergeCell ref="B83:C83"/>
    <mergeCell ref="B80:C80"/>
    <mergeCell ref="D80:E80"/>
    <mergeCell ref="D83:E83"/>
    <mergeCell ref="B93:L93"/>
    <mergeCell ref="D81:E81"/>
    <mergeCell ref="B86:C86"/>
    <mergeCell ref="B87:L87"/>
    <mergeCell ref="B89:H89"/>
    <mergeCell ref="N94:O94"/>
    <mergeCell ref="B98:L98"/>
    <mergeCell ref="B95:J95"/>
    <mergeCell ref="B97:L97"/>
    <mergeCell ref="B92:L92"/>
    <mergeCell ref="B81:C81"/>
    <mergeCell ref="D85:E85"/>
    <mergeCell ref="B82:C82"/>
    <mergeCell ref="D82:E82"/>
    <mergeCell ref="D86:E86"/>
    <mergeCell ref="B84:C84"/>
    <mergeCell ref="D84:E84"/>
    <mergeCell ref="B85:C85"/>
    <mergeCell ref="B127:L127"/>
    <mergeCell ref="B124:L124"/>
    <mergeCell ref="H158:R158"/>
    <mergeCell ref="B150:L150"/>
    <mergeCell ref="B148:L148"/>
    <mergeCell ref="I147:L147"/>
    <mergeCell ref="B147:H147"/>
    <mergeCell ref="B140:L140"/>
    <mergeCell ref="B141:L141"/>
    <mergeCell ref="I145:L145"/>
    <mergeCell ref="I144:L144"/>
    <mergeCell ref="B151:C151"/>
    <mergeCell ref="D151:F151"/>
    <mergeCell ref="G151:H151"/>
    <mergeCell ref="I146:L146"/>
    <mergeCell ref="B149:L149"/>
    <mergeCell ref="B146:H146"/>
    <mergeCell ref="B126:L126"/>
    <mergeCell ref="B122:L122"/>
    <mergeCell ref="P94:Q94"/>
    <mergeCell ref="B96:H96"/>
    <mergeCell ref="B131:L131"/>
    <mergeCell ref="B125:L125"/>
    <mergeCell ref="B113:L113"/>
    <mergeCell ref="B108:L108"/>
    <mergeCell ref="B102:L102"/>
    <mergeCell ref="B118:L118"/>
    <mergeCell ref="B119:L119"/>
    <mergeCell ref="B129:L129"/>
    <mergeCell ref="B107:L107"/>
    <mergeCell ref="B100:L100"/>
    <mergeCell ref="B101:L101"/>
    <mergeCell ref="B103:L103"/>
    <mergeCell ref="B114:L114"/>
    <mergeCell ref="B110:L110"/>
    <mergeCell ref="B111:L111"/>
    <mergeCell ref="B112:L112"/>
    <mergeCell ref="B104:L104"/>
    <mergeCell ref="B105:L105"/>
    <mergeCell ref="B109:L109"/>
    <mergeCell ref="B115:L115"/>
    <mergeCell ref="B128:L128"/>
    <mergeCell ref="B117:L117"/>
    <mergeCell ref="B116:L116"/>
    <mergeCell ref="B134:L134"/>
    <mergeCell ref="B142:L142"/>
    <mergeCell ref="B143:H143"/>
    <mergeCell ref="B130:L130"/>
    <mergeCell ref="B106:L106"/>
    <mergeCell ref="B145:H145"/>
    <mergeCell ref="B136:H136"/>
    <mergeCell ref="B133:L133"/>
    <mergeCell ref="B132:L132"/>
    <mergeCell ref="I143:L143"/>
    <mergeCell ref="B120:L120"/>
    <mergeCell ref="B123:L123"/>
    <mergeCell ref="B144:H144"/>
    <mergeCell ref="B135:L135"/>
    <mergeCell ref="I136:L136"/>
    <mergeCell ref="I137:L137"/>
    <mergeCell ref="B139:H139"/>
    <mergeCell ref="I139:L139"/>
    <mergeCell ref="B138:H138"/>
    <mergeCell ref="I138:L138"/>
    <mergeCell ref="B137:H137"/>
    <mergeCell ref="B121:L121"/>
  </mergeCells>
  <phoneticPr fontId="22" type="noConversion"/>
  <conditionalFormatting sqref="B26:C85 D48:F85 H48:H85">
    <cfRule type="expression" dxfId="550" priority="1" stopIfTrue="1">
      <formula>$N26</formula>
    </cfRule>
  </conditionalFormatting>
  <conditionalFormatting sqref="B18:F18">
    <cfRule type="expression" dxfId="549" priority="26" stopIfTrue="1">
      <formula>$M$8</formula>
    </cfRule>
  </conditionalFormatting>
  <conditionalFormatting sqref="B25:H25">
    <cfRule type="expression" dxfId="548" priority="7" stopIfTrue="1">
      <formula>$N$25</formula>
    </cfRule>
  </conditionalFormatting>
  <conditionalFormatting sqref="B96:I120">
    <cfRule type="expression" dxfId="547" priority="5" stopIfTrue="1">
      <formula>A96</formula>
    </cfRule>
  </conditionalFormatting>
  <conditionalFormatting sqref="D12">
    <cfRule type="expression" dxfId="546" priority="33" stopIfTrue="1">
      <formula>$A$24</formula>
    </cfRule>
  </conditionalFormatting>
  <conditionalFormatting sqref="D15:E15">
    <cfRule type="cellIs" dxfId="545" priority="38" stopIfTrue="1" operator="greaterThan">
      <formula>$D$14</formula>
    </cfRule>
  </conditionalFormatting>
  <conditionalFormatting sqref="D45:F45 H45">
    <cfRule type="expression" dxfId="544" priority="30" stopIfTrue="1">
      <formula>$N$45</formula>
    </cfRule>
  </conditionalFormatting>
  <conditionalFormatting sqref="D46:F46 H46">
    <cfRule type="expression" dxfId="543" priority="31" stopIfTrue="1">
      <formula>$N$46</formula>
    </cfRule>
  </conditionalFormatting>
  <conditionalFormatting sqref="D47:F47 H47">
    <cfRule type="expression" dxfId="542" priority="32" stopIfTrue="1">
      <formula>$N$47</formula>
    </cfRule>
  </conditionalFormatting>
  <conditionalFormatting sqref="D26:H26">
    <cfRule type="expression" dxfId="541" priority="8" stopIfTrue="1">
      <formula>$N$26</formula>
    </cfRule>
  </conditionalFormatting>
  <conditionalFormatting sqref="D27:H27">
    <cfRule type="expression" dxfId="540" priority="9" stopIfTrue="1">
      <formula>$N$27</formula>
    </cfRule>
  </conditionalFormatting>
  <conditionalFormatting sqref="D28:H28">
    <cfRule type="expression" dxfId="539" priority="10" stopIfTrue="1">
      <formula>$N$28</formula>
    </cfRule>
  </conditionalFormatting>
  <conditionalFormatting sqref="D29:H29">
    <cfRule type="expression" dxfId="538" priority="11" stopIfTrue="1">
      <formula>$N$29</formula>
    </cfRule>
  </conditionalFormatting>
  <conditionalFormatting sqref="D30:H30">
    <cfRule type="expression" dxfId="537" priority="12" stopIfTrue="1">
      <formula>$N$30</formula>
    </cfRule>
  </conditionalFormatting>
  <conditionalFormatting sqref="D31:H31">
    <cfRule type="expression" dxfId="536" priority="13" stopIfTrue="1">
      <formula>$N$31</formula>
    </cfRule>
  </conditionalFormatting>
  <conditionalFormatting sqref="D32:H32">
    <cfRule type="expression" dxfId="535" priority="14" stopIfTrue="1">
      <formula>$N$32</formula>
    </cfRule>
  </conditionalFormatting>
  <conditionalFormatting sqref="D33:H33">
    <cfRule type="expression" dxfId="534" priority="15" stopIfTrue="1">
      <formula>$N$33</formula>
    </cfRule>
  </conditionalFormatting>
  <conditionalFormatting sqref="D34:H34">
    <cfRule type="expression" dxfId="533" priority="16" stopIfTrue="1">
      <formula>$N$34</formula>
    </cfRule>
  </conditionalFormatting>
  <conditionalFormatting sqref="D35:H35">
    <cfRule type="expression" dxfId="532" priority="17" stopIfTrue="1">
      <formula>$N$35</formula>
    </cfRule>
  </conditionalFormatting>
  <conditionalFormatting sqref="D36:H36">
    <cfRule type="expression" dxfId="531" priority="18" stopIfTrue="1">
      <formula>$N$36</formula>
    </cfRule>
  </conditionalFormatting>
  <conditionalFormatting sqref="D37:H37">
    <cfRule type="expression" dxfId="530" priority="19" stopIfTrue="1">
      <formula>$N$37</formula>
    </cfRule>
  </conditionalFormatting>
  <conditionalFormatting sqref="D38:H38">
    <cfRule type="expression" dxfId="529" priority="20" stopIfTrue="1">
      <formula>$N$38</formula>
    </cfRule>
  </conditionalFormatting>
  <conditionalFormatting sqref="D39:H39">
    <cfRule type="expression" dxfId="528" priority="21" stopIfTrue="1">
      <formula>$N$39</formula>
    </cfRule>
  </conditionalFormatting>
  <conditionalFormatting sqref="D40:H40">
    <cfRule type="expression" dxfId="527" priority="22" stopIfTrue="1">
      <formula>$N$40</formula>
    </cfRule>
  </conditionalFormatting>
  <conditionalFormatting sqref="D41:H41">
    <cfRule type="expression" dxfId="526" priority="23" stopIfTrue="1">
      <formula>$N$41</formula>
    </cfRule>
  </conditionalFormatting>
  <conditionalFormatting sqref="D42:H42">
    <cfRule type="expression" dxfId="525" priority="24" stopIfTrue="1">
      <formula>$N$42</formula>
    </cfRule>
  </conditionalFormatting>
  <conditionalFormatting sqref="D43:H43">
    <cfRule type="expression" dxfId="524" priority="28" stopIfTrue="1">
      <formula>$N$43</formula>
    </cfRule>
  </conditionalFormatting>
  <conditionalFormatting sqref="D44:H44 G45:G85">
    <cfRule type="expression" dxfId="523" priority="29" stopIfTrue="1">
      <formula>$N$44</formula>
    </cfRule>
  </conditionalFormatting>
  <conditionalFormatting sqref="F10 D11:E11">
    <cfRule type="expression" dxfId="522" priority="25" stopIfTrue="1">
      <formula>$M$5</formula>
    </cfRule>
  </conditionalFormatting>
  <conditionalFormatting sqref="G10:L10">
    <cfRule type="expression" dxfId="521" priority="27" stopIfTrue="1">
      <formula>$A$1</formula>
    </cfRule>
  </conditionalFormatting>
  <conditionalFormatting sqref="I24:K24">
    <cfRule type="expression" dxfId="520" priority="36" stopIfTrue="1">
      <formula>$D$15</formula>
    </cfRule>
  </conditionalFormatting>
  <conditionalFormatting sqref="I23:L23 L24">
    <cfRule type="expression" dxfId="519" priority="37" stopIfTrue="1">
      <formula>$D$15</formula>
    </cfRule>
  </conditionalFormatting>
  <conditionalFormatting sqref="I25:L85">
    <cfRule type="expression" dxfId="518" priority="2" stopIfTrue="1">
      <formula>$AZ25</formula>
    </cfRule>
  </conditionalFormatting>
  <conditionalFormatting sqref="J96:J120">
    <cfRule type="expression" dxfId="517" priority="6" stopIfTrue="1">
      <formula>H96</formula>
    </cfRule>
  </conditionalFormatting>
  <conditionalFormatting sqref="K96:K120">
    <cfRule type="expression" dxfId="516" priority="4" stopIfTrue="1">
      <formula>H96</formula>
    </cfRule>
  </conditionalFormatting>
  <conditionalFormatting sqref="L96:L120">
    <cfRule type="expression" dxfId="515" priority="3" stopIfTrue="1">
      <formula>H96</formula>
    </cfRule>
  </conditionalFormatting>
  <dataValidations count="2">
    <dataValidation type="list" allowBlank="1" showInputMessage="1" showErrorMessage="1" sqref="D14:E14" xr:uid="{00000000-0002-0000-0600-000000000000}">
      <formula1>$AD$10:$AD$16</formula1>
    </dataValidation>
    <dataValidation type="list" allowBlank="1" showInputMessage="1" showErrorMessage="1" sqref="D15:E15" xr:uid="{00000000-0002-0000-0600-000001000000}">
      <formula1>$AE$9:$AE$13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7.42578125" style="21" customWidth="1"/>
    <col min="5" max="5" width="10" style="21" customWidth="1"/>
    <col min="6" max="6" width="16.5703125" style="21" customWidth="1"/>
    <col min="7" max="7" width="16.5703125" style="21" hidden="1" customWidth="1"/>
    <col min="8" max="8" width="19.85546875" style="21" customWidth="1"/>
    <col min="9" max="10" width="16.5703125" style="21" customWidth="1"/>
    <col min="11" max="11" width="16.5703125" style="21" hidden="1" customWidth="1"/>
    <col min="12" max="12" width="22.28515625" style="21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19" hidden="1" customWidth="1"/>
    <col min="47" max="47" width="7.7109375" style="19" bestFit="1" customWidth="1"/>
    <col min="48" max="48" width="11" style="19" bestFit="1" customWidth="1"/>
    <col min="49" max="49" width="2.140625" style="19" bestFit="1" customWidth="1"/>
    <col min="50" max="50" width="3.28515625" style="19" bestFit="1" customWidth="1"/>
    <col min="51" max="51" width="2.140625" style="4" bestFit="1" customWidth="1"/>
    <col min="52" max="63" width="9.140625" style="19"/>
    <col min="64" max="141" width="9.140625" style="20"/>
    <col min="142" max="16384" width="9.140625" style="21"/>
  </cols>
  <sheetData>
    <row r="1" spans="1:63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63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7"/>
      <c r="AU2" s="47"/>
      <c r="AV2" s="47"/>
      <c r="AW2" s="47"/>
      <c r="AX2" s="47"/>
      <c r="AY2" s="46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</row>
    <row r="3" spans="1:63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3"/>
    </row>
    <row r="4" spans="1:63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7"/>
      <c r="AU4" s="47"/>
      <c r="AV4" s="47"/>
      <c r="AW4" s="47"/>
      <c r="AX4" s="47"/>
      <c r="AY4" s="46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2"/>
      <c r="K5" s="78"/>
      <c r="L5" s="78"/>
      <c r="M5" s="46">
        <f>IF(M1=0,1,0)</f>
        <v>0</v>
      </c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7"/>
      <c r="AU5" s="47"/>
      <c r="AV5" s="47"/>
      <c r="AW5" s="47"/>
      <c r="AX5" s="47"/>
      <c r="AY5" s="46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7"/>
      <c r="AU6" s="47"/>
      <c r="AV6" s="47"/>
      <c r="AW6" s="47"/>
      <c r="AX6" s="47"/>
      <c r="AY6" s="46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 ht="15" customHeight="1">
      <c r="A7" s="7"/>
      <c r="B7" s="424" t="s">
        <v>2</v>
      </c>
      <c r="C7" s="425"/>
      <c r="D7" s="451" t="s">
        <v>3</v>
      </c>
      <c r="E7" s="451"/>
      <c r="F7" s="452"/>
      <c r="G7" s="4"/>
      <c r="H7" s="4" t="s">
        <v>4</v>
      </c>
      <c r="I7" s="4"/>
      <c r="J7" s="4"/>
      <c r="K7" s="4"/>
      <c r="L7" s="4"/>
      <c r="M7" s="46" t="s">
        <v>5</v>
      </c>
      <c r="N7" s="46" t="s">
        <v>6</v>
      </c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7"/>
      <c r="AU7" s="47"/>
      <c r="AV7" s="47"/>
      <c r="AW7" s="47"/>
      <c r="AX7" s="47"/>
      <c r="AY7" s="46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6">
        <v>1</v>
      </c>
      <c r="N8" s="46">
        <v>0</v>
      </c>
      <c r="O8" s="46">
        <v>0</v>
      </c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7"/>
      <c r="AU8" s="47"/>
      <c r="AV8" s="47"/>
      <c r="AW8" s="47"/>
      <c r="AX8" s="47"/>
      <c r="AY8" s="46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M9" s="46"/>
      <c r="N9" s="46"/>
      <c r="O9" s="54"/>
    </row>
    <row r="10" spans="1:63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20000000</v>
      </c>
      <c r="E10" s="450"/>
      <c r="F10" s="11" t="s">
        <v>189</v>
      </c>
      <c r="G10" s="12" t="s">
        <v>7</v>
      </c>
      <c r="H10" s="13">
        <f ca="1">F22+G22+A92+D10</f>
        <v>29940260</v>
      </c>
      <c r="I10" s="40"/>
      <c r="J10" s="40"/>
      <c r="K10" s="40"/>
      <c r="L10" s="40"/>
    </row>
    <row r="11" spans="1:63" ht="15" customHeight="1">
      <c r="A11" s="17">
        <v>23.5</v>
      </c>
      <c r="B11" s="408" t="s">
        <v>8</v>
      </c>
      <c r="C11" s="409"/>
      <c r="D11" s="413">
        <f>IF(D14&lt;=12,85,93)</f>
        <v>85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6">
        <f ca="1">IF(DAY(D16)=31,31,30)</f>
        <v>30</v>
      </c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7"/>
      <c r="AU11" s="47"/>
      <c r="AV11" s="47"/>
      <c r="AW11" s="47"/>
      <c r="AX11" s="47"/>
      <c r="AY11" s="46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53" t="s">
        <v>11</v>
      </c>
      <c r="N12" s="453"/>
      <c r="O12" s="453"/>
      <c r="P12" s="453"/>
      <c r="Q12" s="55">
        <f ca="1">DATE(YEAR(0),MONTH(0),DAY(D16)-1)</f>
        <v>2</v>
      </c>
      <c r="W12" s="4">
        <v>6</v>
      </c>
      <c r="X12" s="4">
        <v>1</v>
      </c>
    </row>
    <row r="13" spans="1:63" ht="30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R13" s="46"/>
      <c r="S13" s="46"/>
      <c r="T13" s="46"/>
      <c r="U13" s="46"/>
      <c r="V13" s="46"/>
      <c r="W13" s="46">
        <v>12</v>
      </c>
      <c r="X13" s="46">
        <v>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7"/>
      <c r="AU13" s="47"/>
      <c r="AV13" s="47"/>
      <c r="AW13" s="47"/>
      <c r="AX13" s="47"/>
      <c r="AY13" s="46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 ht="15" customHeight="1">
      <c r="A14" s="17">
        <f ca="1">IF(DAY(D16)&lt;=21,D14,D14+1)</f>
        <v>12</v>
      </c>
      <c r="B14" s="408" t="s">
        <v>13</v>
      </c>
      <c r="C14" s="409"/>
      <c r="D14" s="413">
        <v>12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6">
        <f ca="1">IF(M1=1,IF(F10="USD",0,A14),IF(M1=2,A14," "))</f>
        <v>12</v>
      </c>
      <c r="N14" s="46"/>
      <c r="O14" s="46"/>
      <c r="P14" s="46"/>
      <c r="Q14" s="46"/>
      <c r="R14" s="46"/>
      <c r="S14" s="46"/>
      <c r="T14" s="46"/>
      <c r="U14" s="46"/>
      <c r="V14" s="46"/>
      <c r="W14" s="46">
        <v>24</v>
      </c>
      <c r="X14" s="46">
        <v>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7"/>
      <c r="AU14" s="47"/>
      <c r="AV14" s="47"/>
      <c r="AW14" s="47"/>
      <c r="AX14" s="47"/>
      <c r="AY14" s="46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>
        <v>36</v>
      </c>
      <c r="X15" s="46">
        <v>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7"/>
      <c r="AU15" s="47"/>
      <c r="AV15" s="47"/>
      <c r="AW15" s="47"/>
      <c r="AX15" s="47"/>
      <c r="AY15" s="46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90">
        <f ca="1">A14-D15</f>
        <v>9</v>
      </c>
      <c r="N16" s="46"/>
      <c r="O16" s="46"/>
      <c r="P16" s="46"/>
      <c r="Q16" s="46"/>
      <c r="R16" s="46"/>
      <c r="S16" s="46"/>
      <c r="T16" s="46"/>
      <c r="U16" s="46"/>
      <c r="V16" s="46"/>
      <c r="W16" s="46">
        <v>48</v>
      </c>
      <c r="X16" s="46">
        <v>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7"/>
      <c r="AU16" s="47"/>
      <c r="AV16" s="47"/>
      <c r="AW16" s="47"/>
      <c r="AX16" s="47"/>
      <c r="AY16" s="46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>
        <v>60</v>
      </c>
      <c r="X17" s="46">
        <v>12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7"/>
      <c r="AU17" s="47"/>
      <c r="AV17" s="47"/>
      <c r="AW17" s="47"/>
      <c r="AX17" s="47"/>
      <c r="AY17" s="46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7"/>
      <c r="AU18" s="47"/>
      <c r="AV18" s="47"/>
      <c r="AW18" s="47"/>
      <c r="AX18" s="47"/>
      <c r="AY18" s="46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7"/>
      <c r="AU19" s="47"/>
      <c r="AV19" s="47"/>
      <c r="AW19" s="47"/>
      <c r="AX19" s="47"/>
      <c r="AY19" s="46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7"/>
      <c r="AU20" s="47"/>
      <c r="AV20" s="47"/>
      <c r="AW20" s="47"/>
      <c r="AX20" s="47"/>
      <c r="AY20" s="46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7"/>
      <c r="AU21" s="47"/>
      <c r="AV21" s="47"/>
      <c r="AW21" s="47"/>
      <c r="AX21" s="47"/>
      <c r="AY21" s="46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141" ht="4.5" customHeight="1">
      <c r="A22" s="4"/>
      <c r="B22" s="4"/>
      <c r="C22" s="4"/>
      <c r="D22" s="404">
        <f ca="1">SUM(D25:E85)</f>
        <v>40000000</v>
      </c>
      <c r="E22" s="272"/>
      <c r="F22" s="22">
        <f ca="1">SUM(F25:F86)/2</f>
        <v>9940260</v>
      </c>
      <c r="G22" s="22">
        <v>0</v>
      </c>
      <c r="H22" s="22">
        <f ca="1">SUM(H25:H72)</f>
        <v>59880520</v>
      </c>
      <c r="I22" s="22"/>
      <c r="J22" s="22"/>
      <c r="K22" s="22"/>
      <c r="L22" s="22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7"/>
      <c r="AU22" s="47"/>
      <c r="AV22" s="47"/>
      <c r="AW22" s="47"/>
      <c r="AX22" s="47"/>
      <c r="AY22" s="46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7"/>
      <c r="AU23" s="47"/>
      <c r="AV23" s="47"/>
      <c r="AW23" s="47"/>
      <c r="AX23" s="47"/>
      <c r="AY23" s="46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141" ht="39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M24" s="46"/>
      <c r="N24" s="48" t="s">
        <v>26</v>
      </c>
      <c r="O24" s="48" t="s">
        <v>27</v>
      </c>
      <c r="P24" s="48" t="s">
        <v>28</v>
      </c>
      <c r="Q24" s="48" t="s">
        <v>29</v>
      </c>
      <c r="R24" s="48" t="s">
        <v>30</v>
      </c>
      <c r="S24" s="48">
        <v>2</v>
      </c>
      <c r="T24" s="48"/>
      <c r="U24" s="48" t="s">
        <v>31</v>
      </c>
      <c r="V24" s="48" t="s">
        <v>32</v>
      </c>
      <c r="W24" s="48" t="s">
        <v>142</v>
      </c>
      <c r="X24" s="48" t="s">
        <v>142</v>
      </c>
      <c r="Y24" s="48"/>
      <c r="Z24" s="48"/>
      <c r="AA24" s="48"/>
      <c r="AB24" s="48" t="s">
        <v>33</v>
      </c>
      <c r="AC24" s="48" t="s">
        <v>28</v>
      </c>
      <c r="AD24" s="48" t="s">
        <v>29</v>
      </c>
      <c r="AE24" s="48" t="s">
        <v>143</v>
      </c>
      <c r="AF24" s="48" t="s">
        <v>143</v>
      </c>
      <c r="AG24" s="48"/>
      <c r="AH24" s="48"/>
      <c r="AI24" s="48" t="s">
        <v>30</v>
      </c>
      <c r="AJ24" s="48" t="s">
        <v>31</v>
      </c>
      <c r="AK24" s="48" t="s">
        <v>32</v>
      </c>
      <c r="AL24" s="51"/>
      <c r="AM24" s="51"/>
      <c r="AN24" s="51"/>
      <c r="AO24" s="51"/>
      <c r="AP24" s="51"/>
      <c r="AQ24" s="51"/>
      <c r="AR24" s="51"/>
      <c r="AS24" s="51"/>
      <c r="AT24" s="52"/>
      <c r="AU24" s="52"/>
      <c r="AV24" s="52"/>
      <c r="AW24" s="52"/>
      <c r="AX24" s="52"/>
      <c r="AY24" s="51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рублей",IF(AW25&lt;=5,ROUND(AU25,0)-AW25,ROUND(AU25,0)+AX25)," ")))</f>
        <v>1666670</v>
      </c>
      <c r="E25" s="443"/>
      <c r="F25" s="84">
        <f ca="1">IF(M1=1,P25,IF(M1=2,Q25," "))</f>
        <v>1275000</v>
      </c>
      <c r="G25" s="84">
        <v>0</v>
      </c>
      <c r="H25" s="84">
        <f ca="1">SUM(D25:G25)+A87</f>
        <v>2941670</v>
      </c>
      <c r="I25" s="84">
        <f ca="1">T25</f>
        <v>1666670</v>
      </c>
      <c r="J25" s="84">
        <f ca="1">AA25</f>
        <v>1275000</v>
      </c>
      <c r="K25" s="84">
        <v>0</v>
      </c>
      <c r="L25" s="84">
        <f ca="1">SUM(I25:K25)+A87</f>
        <v>2941670</v>
      </c>
      <c r="M25" s="51">
        <v>1</v>
      </c>
      <c r="N25" s="51">
        <f ca="1">IF(M1=1,IF(M14&gt;0,1,0),IF(M1=2,IF(M14&gt;0,1,0),0))</f>
        <v>1</v>
      </c>
      <c r="O25" s="51">
        <f t="shared" ref="O25:O56" ca="1" si="0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56">
        <f t="shared" ref="P25:P56" ca="1" si="1">IF(U25&lt;&gt;0,IF(VALUE(RIGHT(ROUND(U25,0)))&lt;=5,ROUND(U25,0)-VALUE(RIGHT(ROUND(U25,0))),ROUND(U25,0)+10-VALUE(RIGHT(ROUND(U25,0)))),0)</f>
        <v>1275000</v>
      </c>
      <c r="Q25" s="56">
        <f t="shared" ref="Q25:Q56" ca="1" si="2">IF(V25&lt;&gt;0,IF(VALUE(RIGHT(ROUND(V25,0)))&lt;=5,ROUND(V25,0)-VALUE(RIGHT(ROUND(V25,0))),ROUND(V25,0)+10-VALUE(RIGHT(ROUND(V25,0)))),0)</f>
        <v>1275000</v>
      </c>
      <c r="R25" s="56">
        <f>D10</f>
        <v>20000000</v>
      </c>
      <c r="S25" s="56">
        <f ca="1">IF(N25=0,0,IF(F10="USD",ROUND(D10/M14,2),IF(F10="бел. рублей",IF(AW25&lt;=5,ROUND(AU25,0)-AW25,ROUND(AU25,0)+AX25)," ")))</f>
        <v>1666670</v>
      </c>
      <c r="T25" s="56">
        <f ca="1">IF(N25=0,0,IF(F10="USD",ROUND(D10/M14,2),IF(F10="бел. рублей",IF(AW25&lt;=5,ROUND(AU25,0)-AW25,ROUND(AU25,0)+AX25)," ")))</f>
        <v>1666670</v>
      </c>
      <c r="U25" s="56">
        <f ca="1">R25*Q11*D11/36000</f>
        <v>1275000</v>
      </c>
      <c r="V25" s="56">
        <f ca="1">R25*Q11*D11/36000</f>
        <v>1275000</v>
      </c>
      <c r="W25" s="56">
        <f ca="1">IF(D10*Q11*D11/36000&lt;&gt;0,IF(VALUE(RIGHT(ROUND(D10*Q11*D11/36000,0)))&lt;=5,ROUND(D10*Q11*D11/36000,0)-VALUE(RIGHT(ROUND(D10*Q11*D11/36000,0))),ROUND(D10*Q11*D11/36000,0)+10-VALUE(RIGHT(ROUND(D10*Q11*D11/36000,0)))),0)</f>
        <v>1275000</v>
      </c>
      <c r="X25" s="56">
        <f ca="1">IF(D10*Q11*D11/36000&lt;&gt;0,IF(VALUE(RIGHT(ROUND(D10*Q11*D11/36000,0)))&lt;=5,ROUND(D10*Q11*D11/36000,0)-VALUE(RIGHT(ROUND(D10*Q11*D11/36000,0))),ROUND(D10*Q11*D11/36000,0)+10-VALUE(RIGHT(ROUND(D10*Q11*D11/36000,0)))),0)</f>
        <v>1275000</v>
      </c>
      <c r="Y25" s="56">
        <f>IF(M25&lt;=(D$15+1),D$10,Y24-I24)</f>
        <v>20000000</v>
      </c>
      <c r="Z25" s="56">
        <f ca="1">Y25*Q11*D11/36000</f>
        <v>1275000</v>
      </c>
      <c r="AA25" s="56">
        <f ca="1">IF(Z25&lt;&gt;0,IF(VALUE(RIGHT(ROUND(Z25,0)))&lt;=5,ROUND(Z25,0)-VALUE(RIGHT(ROUND(Z25,0))),ROUND(Z25,0)+10-VALUE(RIGHT(ROUND(Z25,0)))),0)</f>
        <v>1275000</v>
      </c>
      <c r="AB25" s="56">
        <f ca="1">R25*Q11</f>
        <v>540000000</v>
      </c>
      <c r="AC25" s="56">
        <f t="shared" ref="AC25:AC56" ca="1" si="3">IF(AJ25&lt;&gt;0,IF(VALUE(RIGHT(ROUND(AJ25,0)))&lt;=5,ROUND(AJ25,0)-VALUE(RIGHT(ROUND(AJ25,0))),ROUND(AJ25,0)+10-VALUE(RIGHT(ROUND(AJ25,0)))),0)</f>
        <v>0</v>
      </c>
      <c r="AD25" s="56">
        <f t="shared" ref="AD25:AD56" ca="1" si="4">IF(AK25&lt;&gt;0,IF(VALUE(RIGHT(ROUND(AK25,0)))&lt;=5,ROUND(AK25,0)-VALUE(RIGHT(ROUND(AK25,0))),ROUND(AK25,0)+10-VALUE(RIGHT(ROUND(AK25,0)))),0)</f>
        <v>0</v>
      </c>
      <c r="AE25" s="56">
        <f ca="1">AI25*Q11*G12/36000</f>
        <v>0</v>
      </c>
      <c r="AF25" s="56">
        <f ca="1">IF(AE25&lt;&gt;0,IF(VALUE(RIGHT(ROUND(AE25,0)))&lt;=5,ROUND(AE25,0)-VALUE(RIGHT(ROUND(AE25,0))),ROUND(AE25,0)+10-VALUE(RIGHT(ROUND(AE25,0)))),0)</f>
        <v>0</v>
      </c>
      <c r="AG25" s="56">
        <f ca="1">Y25*Q11*G12/36000</f>
        <v>0</v>
      </c>
      <c r="AH25" s="56">
        <f ca="1">IF(AG25&lt;&gt;0,IF(VALUE(RIGHT(ROUND(AG25,0)))&lt;=5,ROUND(AG25,0)-VALUE(RIGHT(ROUND(AG25,0))),ROUND(AG25,0)+10-VALUE(RIGHT(ROUND(AG25,0)))),0)</f>
        <v>0</v>
      </c>
      <c r="AI25" s="56">
        <f t="shared" ref="AI25:AI56" si="5">R25</f>
        <v>20000000</v>
      </c>
      <c r="AJ25" s="56">
        <f ca="1">AI25*Q11*G12/36000</f>
        <v>0</v>
      </c>
      <c r="AK25" s="56">
        <f ca="1">AI25*Q11*G12/36000</f>
        <v>0</v>
      </c>
      <c r="AL25" s="57">
        <f ca="1">IF(N25=0,0,MONTH(D16)+1)</f>
        <v>2</v>
      </c>
      <c r="AM25" s="57">
        <f t="shared" ref="AM25:AM56" ca="1" si="6">IF(AL25=13,1,AL25)</f>
        <v>2</v>
      </c>
      <c r="AN25" s="51">
        <f ca="1">IF(N25=0,0,YEAR(D16))</f>
        <v>2024</v>
      </c>
      <c r="AO25" s="51">
        <f t="shared" ref="AO25:AO56" ca="1" si="7">IF(AM25=1,AN25+1,AN25)</f>
        <v>2024</v>
      </c>
      <c r="AP25" s="51">
        <f t="shared" ref="AP25:AP56" ca="1" si="8">IF((AN25/2012)=1,1,IF((AN25/2016)=1,1,IF((AN25/2020)=1,1,IF((AN25/2024)=1,1,IF((AN25/2028)=1,1,IF((AN25/2032)=1,1,0))))))</f>
        <v>1</v>
      </c>
      <c r="AQ25" s="51">
        <f t="shared" ref="AQ25:AQ56" ca="1" si="9">IF(AM25=2,IF(AP25=1,29,28),30)</f>
        <v>29</v>
      </c>
      <c r="AR25" s="51">
        <f t="shared" ref="AR25:AR56" si="10">IF(C$24=30,AQ25,20)</f>
        <v>20</v>
      </c>
      <c r="AS25" s="51"/>
      <c r="AT25" s="52"/>
      <c r="AU25" s="52">
        <f ca="1">IF(N25=0,0,IF(F10="USD",ROUND(D10/M14,2),IF(F10="бел. рублей",ROUND(D10/M14,0)," ")))</f>
        <v>1666667</v>
      </c>
      <c r="AV25" s="64" t="str">
        <f ca="1">RIGHT(AU25)</f>
        <v>7</v>
      </c>
      <c r="AW25" s="52">
        <f ca="1">VALUE(AV25)</f>
        <v>7</v>
      </c>
      <c r="AX25" s="52">
        <f ca="1">10-AW25</f>
        <v>3</v>
      </c>
      <c r="AY25" s="51">
        <f ca="1">IF(D$15=0,0,IF(N25=1,1,0))</f>
        <v>1</v>
      </c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1">A25+1</f>
        <v>2</v>
      </c>
      <c r="B26" s="268">
        <f t="shared" ref="B26:B57" ca="1" si="12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1666670</v>
      </c>
      <c r="E26" s="443"/>
      <c r="F26" s="84">
        <f ca="1">IF(N26=0,IF(N25=1,F25," "),IF(M1=1,P26,IF(M1=2,Q26," ")))</f>
        <v>1377310</v>
      </c>
      <c r="G26" s="84">
        <v>0</v>
      </c>
      <c r="H26" s="84">
        <f t="shared" ref="H26:H57" ca="1" si="13">IF(SUM(D26:G26)=0," ",SUM(D26:G26))</f>
        <v>3043980</v>
      </c>
      <c r="I26" s="84">
        <f ca="1">IF(N26=1,IF(N27=1,IF(M26&lt;=D$15,T26,AV$26),D$10-AV$26*M$16+AV$26),0)</f>
        <v>1818180</v>
      </c>
      <c r="J26" s="84">
        <f ca="1">AA26</f>
        <v>1416670</v>
      </c>
      <c r="K26" s="84">
        <v>0</v>
      </c>
      <c r="L26" s="84">
        <f ca="1">IF(SUM(I26:K26)=0," ",SUM(I26:K26))</f>
        <v>3234850</v>
      </c>
      <c r="M26" s="51">
        <f t="shared" ref="M26:M48" si="14">M25+1</f>
        <v>2</v>
      </c>
      <c r="N26" s="51">
        <f ca="1">IF(M1=1,IF(M14&gt;1,1,0),IF(M1=2,IF(M14&gt;1,1,0),0))</f>
        <v>1</v>
      </c>
      <c r="O26" s="51">
        <f t="shared" ca="1" si="0"/>
        <v>20</v>
      </c>
      <c r="P26" s="56">
        <f t="shared" ca="1" si="1"/>
        <v>1377310</v>
      </c>
      <c r="Q26" s="56">
        <f t="shared" ca="1" si="2"/>
        <v>1377310</v>
      </c>
      <c r="R26" s="56">
        <f t="shared" ref="R26:R57" ca="1" si="15">IF(N26=0,0,R25-D25)</f>
        <v>18333330</v>
      </c>
      <c r="S26" s="56">
        <f>IF(M26&lt;=D$15,D$10/(D$14-M25),D26)</f>
        <v>1818181.8181818181</v>
      </c>
      <c r="T26" s="56">
        <f>IF(S26&lt;&gt;0,IF(VALUE(RIGHT(ROUND(S26,0)))&lt;=5,ROUND(S26,0)-VALUE(RIGHT(ROUND(S26,0))),ROUND(S26,0)+10-VALUE(RIGHT(ROUND(S26,0)))),0)</f>
        <v>1818180</v>
      </c>
      <c r="U26" s="56">
        <f ca="1">IF(N27=1,R25*D11*20/36000+R26*D11*10/36000,IF(N27=0,IF(N26=0,0,R26*D11*Q12/36000+R25*D11*20/36000+R26*D11*10/36000)))</f>
        <v>1377314.7361111112</v>
      </c>
      <c r="V26" s="56">
        <f ca="1">IF(N27=1,R25*D11*20/36000+R26*D11*10/36000,IF(N27=0,IF(N26=0,0,R26*D11*Q12/36000+R25*D11*20/36000+R26*D11*10/36000)))</f>
        <v>1377314.7361111112</v>
      </c>
      <c r="W26" s="56">
        <f ca="1">IF(N27=1,$D$10*$D$11*20/36000+$D$10*$D$11*10/36000,IF(N27=0,IF(N26=0,0,$D$10*$D$11*$Q$12/36000+$D$10*$D$11*20/36000+$D$10*$D$11*10/36000)))</f>
        <v>1416666.6666666667</v>
      </c>
      <c r="X26" s="56">
        <f ca="1">IF(W26&lt;&gt;0,IF(VALUE(RIGHT(ROUND(W26,0)))&lt;=5,ROUND(W26,0)-VALUE(RIGHT(ROUND(W26,0))),ROUND(W26,0)+10-VALUE(RIGHT(ROUND(W26,0)))),0)</f>
        <v>1416670</v>
      </c>
      <c r="Y26" s="56">
        <f t="shared" ref="Y26:Y85" si="16">IF(M26&lt;=(D$15+1),D$10,Y25-I25)</f>
        <v>20000000</v>
      </c>
      <c r="Z26" s="56">
        <f ca="1">IF(N27=1,Y25*D$11*20/36000+Y26*D$11*10/36000,IF(N27=0,IF(N26=0,0,Y26*D$11*Q$12/36000+Y25*D$11*20/36000+Y26*D$11*10/36000)))</f>
        <v>1416666.6666666667</v>
      </c>
      <c r="AA26" s="56">
        <f t="shared" ref="AA26:AA85" ca="1" si="17">IF(Z26&lt;&gt;0,IF(VALUE(RIGHT(ROUND(Z26,0)))&lt;=5,ROUND(Z26,0)-VALUE(RIGHT(ROUND(Z26,0))),ROUND(Z26,0)+10-VALUE(RIGHT(ROUND(Z26,0)))),0)</f>
        <v>1416670</v>
      </c>
      <c r="AB26" s="56">
        <f ca="1">IF(R27=0,R26*Q12,(R25*20+R26*10))</f>
        <v>583333300</v>
      </c>
      <c r="AC26" s="56">
        <f t="shared" ca="1" si="3"/>
        <v>0</v>
      </c>
      <c r="AD26" s="56">
        <f t="shared" ca="1" si="4"/>
        <v>0</v>
      </c>
      <c r="AE26" s="56">
        <f ca="1">IF(N27=1,D$10*G$12*20/36000+D$10*G$12*10/36000,IF(N27=0,IF(N26=0,0,D$10*G$12*Q$12/36000+D$10*G$12*20/36000+D$10*G$12*10/36000)))</f>
        <v>0</v>
      </c>
      <c r="AF26" s="56">
        <f t="shared" ref="AF26:AF85" ca="1" si="18">IF(AE26&lt;&gt;0,IF(VALUE(RIGHT(ROUND(AE26,0)))&lt;=5,ROUND(AE26,0)-VALUE(RIGHT(ROUND(AE26,0))),ROUND(AE26,0)+10-VALUE(RIGHT(ROUND(AE26,0)))),0)</f>
        <v>0</v>
      </c>
      <c r="AG26" s="56">
        <f ca="1">IF(N27=1,Y25*G$12*20/36000+Y26*G$12*10/36000,IF(N27=0,IF(N26=0,0,Y26*G$12*Q$12/36000+Y25*G$12*20/36000+Y26*G$12*10/36000)))</f>
        <v>0</v>
      </c>
      <c r="AH26" s="56">
        <f t="shared" ref="AH26:AH85" ca="1" si="19">IF(AG26&lt;&gt;0,IF(VALUE(RIGHT(ROUND(AG26,0)))&lt;=5,ROUND(AG26,0)-VALUE(RIGHT(ROUND(AG26,0))),ROUND(AG26,0)+10-VALUE(RIGHT(ROUND(AG26,0)))),0)</f>
        <v>0</v>
      </c>
      <c r="AI26" s="56">
        <f t="shared" ca="1" si="5"/>
        <v>18333330</v>
      </c>
      <c r="AJ26" s="56">
        <f ca="1">IF(N27=1,AI25*G12*20/36000+AI26*G12*10/36000,IF(N27=0,IF(N26=0,0,AI26*G12*Q12/36000+AI25*G12*20/36000+AI26*G12*10/36000)))</f>
        <v>0</v>
      </c>
      <c r="AK26" s="56">
        <f ca="1">IF(N27=1,AI25*G12*20/36000+AI26*G12*10/36000,IF(N27=0,IF(N26=0,0,AI26*G12*Q12/36000+AI25*G12*20/36000+AI26*G12*10/36000)))</f>
        <v>0</v>
      </c>
      <c r="AL26" s="57">
        <f t="shared" ref="AL26:AL57" ca="1" si="20">IF(N26=0,0,MONTH(B25)+1)</f>
        <v>3</v>
      </c>
      <c r="AM26" s="57">
        <f t="shared" ca="1" si="6"/>
        <v>3</v>
      </c>
      <c r="AN26" s="51">
        <f t="shared" ref="AN26:AN57" ca="1" si="21">IF(N26=0,0,YEAR(B25))</f>
        <v>2024</v>
      </c>
      <c r="AO26" s="51">
        <f t="shared" ca="1" si="7"/>
        <v>2024</v>
      </c>
      <c r="AP26" s="51">
        <f t="shared" ca="1" si="8"/>
        <v>1</v>
      </c>
      <c r="AQ26" s="51">
        <f t="shared" ca="1" si="9"/>
        <v>30</v>
      </c>
      <c r="AR26" s="51">
        <f t="shared" si="10"/>
        <v>20</v>
      </c>
      <c r="AS26" s="51">
        <f t="shared" ref="AS26:AS57" ca="1" si="22">AQ25</f>
        <v>29</v>
      </c>
      <c r="AT26" s="52"/>
      <c r="AU26" s="51">
        <f ca="1">ROUNDUP(D$10/(A$14-D$15),0)</f>
        <v>2222223</v>
      </c>
      <c r="AV26" s="56">
        <f ca="1">IF(AU26&lt;&gt;0,IF(VALUE(RIGHT(ROUND(AU26,0)))&lt;=5,ROUND(AU26,0)-VALUE(RIGHT(ROUND(AU26,0))),ROUND(AU26,0)+10-VALUE(RIGHT(ROUND(AU26,0)))),0)</f>
        <v>2222220</v>
      </c>
      <c r="AW26" s="52"/>
      <c r="AX26" s="52"/>
      <c r="AY26" s="51">
        <f t="shared" ref="AY26:AY85" ca="1" si="23">IF(D$15=0,0,IF(N26=1,1,0))</f>
        <v>1</v>
      </c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1"/>
        <v>3</v>
      </c>
      <c r="B27" s="268">
        <f t="shared" ca="1" si="12"/>
        <v>45402</v>
      </c>
      <c r="C27" s="401"/>
      <c r="D27" s="443">
        <f ca="1">IF(N27=0,IF(N26=1,D25+D26," "),IF(N27=0,0,IF(N28=1,D25,IF(N28=0,D10-D25*(M14-1)," "))))</f>
        <v>1666670</v>
      </c>
      <c r="E27" s="443"/>
      <c r="F27" s="84">
        <f ca="1">IF(N27=0,IF(N26=1,F25+F26," "),IF(M1=1,P27,IF(M1=2,Q27," ")))</f>
        <v>1259260</v>
      </c>
      <c r="G27" s="84">
        <v>0</v>
      </c>
      <c r="H27" s="84">
        <f t="shared" ca="1" si="13"/>
        <v>2925930</v>
      </c>
      <c r="I27" s="84">
        <f ca="1">IF(N27=1,IF(N28=1,IF(M27&lt;=D$15,T27,AV$26),D$10-AV$26*M$16+AV$26),0)</f>
        <v>2000000</v>
      </c>
      <c r="J27" s="84">
        <f ca="1">AA27</f>
        <v>1416670</v>
      </c>
      <c r="K27" s="84">
        <v>0</v>
      </c>
      <c r="L27" s="84">
        <f ca="1">IF(SUM(I27:K27)=0," ",SUM(I27:K27))</f>
        <v>3416670</v>
      </c>
      <c r="M27" s="51">
        <f t="shared" si="14"/>
        <v>3</v>
      </c>
      <c r="N27" s="51">
        <f ca="1">IF(M1=1,IF(M14&gt;2,1,0),IF(M1=2,IF(M14&gt;2,1,0),0))</f>
        <v>1</v>
      </c>
      <c r="O27" s="51">
        <f t="shared" ca="1" si="0"/>
        <v>20</v>
      </c>
      <c r="P27" s="56">
        <f t="shared" ca="1" si="1"/>
        <v>1259260</v>
      </c>
      <c r="Q27" s="56">
        <f t="shared" ca="1" si="2"/>
        <v>1259260</v>
      </c>
      <c r="R27" s="56">
        <f t="shared" ca="1" si="15"/>
        <v>16666660</v>
      </c>
      <c r="S27" s="56">
        <f t="shared" ref="S27:S85" si="24">IF(M27&lt;=D$15,D$10/(D$14-M26),D27)</f>
        <v>2000000</v>
      </c>
      <c r="T27" s="56">
        <f t="shared" ref="T27:T85" si="25">IF(S27&lt;&gt;0,IF(VALUE(RIGHT(ROUND(S27,0)))&lt;=5,ROUND(S27,0)-VALUE(RIGHT(ROUND(S27,0))),ROUND(S27,0)+10-VALUE(RIGHT(ROUND(S27,0)))),0)</f>
        <v>2000000</v>
      </c>
      <c r="U27" s="56">
        <f ca="1">IF(N28=1,R26*D11*20/36000+R27*D11*10/36000,IF(N28=0,IF(N27=0,0,R27*D11*Q12/36000+R26*D11*20/36000+R27*D11*10/36000)))</f>
        <v>1259258.9444444445</v>
      </c>
      <c r="V27" s="56">
        <f ca="1">IF(N28=1,R26*D11*20/36000+R27*D11*10/36000,IF(N28=0,IF(N27=0,0,R27*D11*Q12/36000+R26*D11*20/36000+R27*D11*10/36000)))</f>
        <v>1259258.9444444445</v>
      </c>
      <c r="W27" s="56">
        <f t="shared" ref="W27:W84" ca="1" si="26">IF(N28=1,$D$10*$D$11*20/36000+$D$10*$D$11*10/36000,IF(N28=0,IF(N27=0,0,$D$10*$D$11*$Q$12/36000+$D$10*$D$11*20/36000+$D$10*$D$11*10/36000)))</f>
        <v>1416666.6666666667</v>
      </c>
      <c r="X27" s="56">
        <f t="shared" ref="X27:X85" ca="1" si="27">IF(W27&lt;&gt;0,IF(VALUE(RIGHT(ROUND(W27,0)))&lt;=5,ROUND(W27,0)-VALUE(RIGHT(ROUND(W27,0))),ROUND(W27,0)+10-VALUE(RIGHT(ROUND(W27,0)))),0)</f>
        <v>1416670</v>
      </c>
      <c r="Y27" s="56">
        <f t="shared" si="16"/>
        <v>20000000</v>
      </c>
      <c r="Z27" s="56">
        <f t="shared" ref="Z27:Z84" ca="1" si="28">IF(N28=1,Y26*D$11*20/36000+Y27*D$11*10/36000,IF(N28=0,IF(N27=0,0,Y27*D$11*Q$12/36000+Y26*D$11*20/36000+Y27*D$11*10/36000)))</f>
        <v>1416666.6666666667</v>
      </c>
      <c r="AA27" s="56">
        <f t="shared" ca="1" si="17"/>
        <v>1416670</v>
      </c>
      <c r="AB27" s="56">
        <f ca="1">IF(R28=0,R27*Q12,(R26*20+R27*10))</f>
        <v>533333200</v>
      </c>
      <c r="AC27" s="56">
        <f t="shared" ca="1" si="3"/>
        <v>0</v>
      </c>
      <c r="AD27" s="56">
        <f t="shared" ca="1" si="4"/>
        <v>0</v>
      </c>
      <c r="AE27" s="56">
        <f ca="1">IF(N28=1,D$10*G$12*20/36000+D$10*G$12*10/36000,IF(N28=0,IF(N27=0,0,D$10*G$12*Q$12/36000+D$10*G$12*20/36000+D$10*G$12*10/36000)))</f>
        <v>0</v>
      </c>
      <c r="AF27" s="56">
        <f t="shared" ca="1" si="18"/>
        <v>0</v>
      </c>
      <c r="AG27" s="56">
        <f t="shared" ref="AG27:AG84" ca="1" si="29">IF(N28=1,Y26*G$12*20/36000+Y27*G$12*10/36000,IF(N28=0,IF(N27=0,0,Y27*G$12*Q$12/36000+Y26*G$12*20/36000+Y27*G$12*10/36000)))</f>
        <v>0</v>
      </c>
      <c r="AH27" s="56">
        <f t="shared" ca="1" si="19"/>
        <v>0</v>
      </c>
      <c r="AI27" s="56">
        <f t="shared" ca="1" si="5"/>
        <v>16666660</v>
      </c>
      <c r="AJ27" s="56">
        <f ca="1">IF(N28=1,AI26*G12*20/36000+AI27*G12*10/36000,IF(N28=0,IF(N27=0,0,AI27*G12*Q12/36000+AI26*G12*20/36000+AI27*G12*10/36000)))</f>
        <v>0</v>
      </c>
      <c r="AK27" s="56">
        <f ca="1">IF(N28=1,AI26*G12*20/36000+AI27*G12*10/36000,IF(N28=0,IF(N27=0,0,AI27*G12*Q12/36000+AI26*G12*20/36000+AI27*G12*10/36000)))</f>
        <v>0</v>
      </c>
      <c r="AL27" s="57">
        <f t="shared" ca="1" si="20"/>
        <v>4</v>
      </c>
      <c r="AM27" s="57">
        <f t="shared" ca="1" si="6"/>
        <v>4</v>
      </c>
      <c r="AN27" s="51">
        <f t="shared" ca="1" si="21"/>
        <v>2024</v>
      </c>
      <c r="AO27" s="51">
        <f t="shared" ca="1" si="7"/>
        <v>2024</v>
      </c>
      <c r="AP27" s="51">
        <f t="shared" ca="1" si="8"/>
        <v>1</v>
      </c>
      <c r="AQ27" s="51">
        <f t="shared" ca="1" si="9"/>
        <v>30</v>
      </c>
      <c r="AR27" s="51">
        <f t="shared" si="10"/>
        <v>20</v>
      </c>
      <c r="AS27" s="51">
        <f t="shared" ca="1" si="22"/>
        <v>30</v>
      </c>
      <c r="AT27" s="52"/>
      <c r="AU27" s="52"/>
      <c r="AV27" s="52"/>
      <c r="AW27" s="52"/>
      <c r="AX27" s="52"/>
      <c r="AY27" s="51">
        <f t="shared" ca="1" si="23"/>
        <v>1</v>
      </c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1"/>
        <v>4</v>
      </c>
      <c r="B28" s="268">
        <f t="shared" ca="1" si="12"/>
        <v>45432</v>
      </c>
      <c r="C28" s="401"/>
      <c r="D28" s="443">
        <f ca="1">IF(N28=0,IF(N27=1,D25+D26+D27," "),IF(N28=0,0,IF(N29=1,D25,IF(N29=0,D10-D25*(M14-1)," "))))</f>
        <v>1666670</v>
      </c>
      <c r="E28" s="443"/>
      <c r="F28" s="84">
        <f ca="1">IF(N28=0,IF(N27=1,F25+F26+F27," "),IF(M1=1,P28,IF(M1=2,Q28," ")))</f>
        <v>1141200</v>
      </c>
      <c r="G28" s="84">
        <v>0</v>
      </c>
      <c r="H28" s="84">
        <f t="shared" ca="1" si="13"/>
        <v>2807870</v>
      </c>
      <c r="I28" s="84">
        <f t="shared" ref="I28:I85" ca="1" si="30">IF(N28=1,IF(N29=1,IF(M28&lt;=D$15,T28,AV$26),D$10-AV$26*M$16+AV$26),0)</f>
        <v>2222220</v>
      </c>
      <c r="J28" s="84">
        <f t="shared" ref="J28:J85" ca="1" si="31">AA28</f>
        <v>1416670</v>
      </c>
      <c r="K28" s="84">
        <v>0</v>
      </c>
      <c r="L28" s="84">
        <f t="shared" ref="L28:L85" ca="1" si="32">IF(SUM(I28:K28)=0," ",SUM(I28:K28))</f>
        <v>3638890</v>
      </c>
      <c r="M28" s="51">
        <f t="shared" si="14"/>
        <v>4</v>
      </c>
      <c r="N28" s="51">
        <f ca="1">IF(M1=1,IF(M14&gt;3,1,0),IF(M1=2,IF(M14&gt;3,1,0),0))</f>
        <v>1</v>
      </c>
      <c r="O28" s="51">
        <f t="shared" ca="1" si="0"/>
        <v>20</v>
      </c>
      <c r="P28" s="56">
        <f t="shared" ca="1" si="1"/>
        <v>1141200</v>
      </c>
      <c r="Q28" s="56">
        <f t="shared" ca="1" si="2"/>
        <v>1141200</v>
      </c>
      <c r="R28" s="56">
        <f t="shared" ca="1" si="15"/>
        <v>14999990</v>
      </c>
      <c r="S28" s="56">
        <f t="shared" ca="1" si="24"/>
        <v>1666670</v>
      </c>
      <c r="T28" s="56">
        <f t="shared" ca="1" si="25"/>
        <v>1666670</v>
      </c>
      <c r="U28" s="56">
        <f ca="1">IF(N29=1,R27*D11*20/36000+R28*D11*10/36000,IF(N29=0,IF(N28=0,0,R28*D11*Q12/36000+R27*D11*20/36000+R28*D11*10/36000)))</f>
        <v>1141203.1527777778</v>
      </c>
      <c r="V28" s="56">
        <f ca="1">IF(N29=1,R27*D11*20/36000+R28*D11*10/36000,IF(N29=0,IF(N28=0,0,R28*D11*Q12/36000+R27*D11*20/36000+R28*D11*10/36000)))</f>
        <v>1141203.1527777778</v>
      </c>
      <c r="W28" s="56">
        <f t="shared" ca="1" si="26"/>
        <v>1416666.6666666667</v>
      </c>
      <c r="X28" s="56">
        <f t="shared" ca="1" si="27"/>
        <v>1416670</v>
      </c>
      <c r="Y28" s="56">
        <f t="shared" si="16"/>
        <v>20000000</v>
      </c>
      <c r="Z28" s="56">
        <f t="shared" ca="1" si="28"/>
        <v>1416666.6666666667</v>
      </c>
      <c r="AA28" s="56">
        <f t="shared" ca="1" si="17"/>
        <v>1416670</v>
      </c>
      <c r="AB28" s="56">
        <f ca="1">IF(R29=0,R28*Q12,(R27*20+R28*10))</f>
        <v>483333100</v>
      </c>
      <c r="AC28" s="56">
        <f t="shared" ca="1" si="3"/>
        <v>0</v>
      </c>
      <c r="AD28" s="56">
        <f t="shared" ca="1" si="4"/>
        <v>0</v>
      </c>
      <c r="AE28" s="56">
        <f t="shared" ref="AE28:AE84" ca="1" si="33">IF(N29=1,D$10*G$12*20/36000+D$10*G$12*10/36000,IF(N29=0,IF(N28=0,0,D$10*G$12*Q$12/36000+D$10*G$12*20/36000+D$10*G$12*10/36000)))</f>
        <v>0</v>
      </c>
      <c r="AF28" s="56">
        <f t="shared" ca="1" si="18"/>
        <v>0</v>
      </c>
      <c r="AG28" s="56">
        <f t="shared" ca="1" si="29"/>
        <v>0</v>
      </c>
      <c r="AH28" s="56">
        <f t="shared" ca="1" si="19"/>
        <v>0</v>
      </c>
      <c r="AI28" s="56">
        <f t="shared" ca="1" si="5"/>
        <v>14999990</v>
      </c>
      <c r="AJ28" s="56">
        <f ca="1">IF(N29=1,AI27*G12*20/36000+AI28*G12*10/36000,IF(N29=0,IF(N28=0,0,AI28*G12*Q12/36000+AI27*G12*20/36000+AI28*G12*10/36000)))</f>
        <v>0</v>
      </c>
      <c r="AK28" s="56">
        <f ca="1">IF(N29=1,AI27*G12*20/36000+AI28*G12*10/36000,IF(N29=0,IF(N28=0,0,AI28*G12*Q12/36000+AI27*G12*20/36000+AI28*G12*10/36000)))</f>
        <v>0</v>
      </c>
      <c r="AL28" s="57">
        <f t="shared" ca="1" si="20"/>
        <v>5</v>
      </c>
      <c r="AM28" s="57">
        <f t="shared" ca="1" si="6"/>
        <v>5</v>
      </c>
      <c r="AN28" s="51">
        <f t="shared" ca="1" si="21"/>
        <v>2024</v>
      </c>
      <c r="AO28" s="51">
        <f t="shared" ca="1" si="7"/>
        <v>2024</v>
      </c>
      <c r="AP28" s="51">
        <f t="shared" ca="1" si="8"/>
        <v>1</v>
      </c>
      <c r="AQ28" s="51">
        <f t="shared" ca="1" si="9"/>
        <v>30</v>
      </c>
      <c r="AR28" s="51">
        <f t="shared" si="10"/>
        <v>20</v>
      </c>
      <c r="AS28" s="51">
        <f t="shared" ca="1" si="22"/>
        <v>30</v>
      </c>
      <c r="AT28" s="52"/>
      <c r="AU28" s="52"/>
      <c r="AV28" s="52"/>
      <c r="AW28" s="52"/>
      <c r="AX28" s="52"/>
      <c r="AY28" s="51">
        <f t="shared" ca="1" si="23"/>
        <v>1</v>
      </c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1"/>
        <v>5</v>
      </c>
      <c r="B29" s="268">
        <f t="shared" ca="1" si="12"/>
        <v>45463</v>
      </c>
      <c r="C29" s="401"/>
      <c r="D29" s="443">
        <f ca="1">IF(N29=0,IF(N28=1,D25+D26+D27+D28," "),IF(N29=0,0,IF(N30=1,D25,IF(N30=0,D10-D25*(M14-1)," "))))</f>
        <v>1666670</v>
      </c>
      <c r="E29" s="443"/>
      <c r="F29" s="84">
        <f ca="1">IF(N29=0,IF(N28=1,F25+F26+F27+F28," "),IF(M1=1,P29,IF(M1=2,Q29," ")))</f>
        <v>1023150</v>
      </c>
      <c r="G29" s="84">
        <v>0</v>
      </c>
      <c r="H29" s="84">
        <f t="shared" ca="1" si="13"/>
        <v>2689820</v>
      </c>
      <c r="I29" s="84">
        <f t="shared" ca="1" si="30"/>
        <v>2222220</v>
      </c>
      <c r="J29" s="84">
        <f t="shared" ca="1" si="31"/>
        <v>1364200</v>
      </c>
      <c r="K29" s="84">
        <v>0</v>
      </c>
      <c r="L29" s="84">
        <f t="shared" ca="1" si="32"/>
        <v>3586420</v>
      </c>
      <c r="M29" s="51">
        <f t="shared" si="14"/>
        <v>5</v>
      </c>
      <c r="N29" s="51">
        <f ca="1">IF(M1=1,IF(M14&gt;4,1,0),IF(M1=2,IF(M14&gt;4,1,0),0))</f>
        <v>1</v>
      </c>
      <c r="O29" s="51">
        <f t="shared" ca="1" si="0"/>
        <v>20</v>
      </c>
      <c r="P29" s="56">
        <f t="shared" ca="1" si="1"/>
        <v>1023150</v>
      </c>
      <c r="Q29" s="56">
        <f t="shared" ca="1" si="2"/>
        <v>1023150</v>
      </c>
      <c r="R29" s="56">
        <f t="shared" ca="1" si="15"/>
        <v>13333320</v>
      </c>
      <c r="S29" s="56">
        <f t="shared" ca="1" si="24"/>
        <v>1666670</v>
      </c>
      <c r="T29" s="56">
        <f t="shared" ca="1" si="25"/>
        <v>1666670</v>
      </c>
      <c r="U29" s="56">
        <f ca="1">IF(N30=1,R28*D11*20/36000+R29*D11*10/36000,IF(N30=0,IF(N29=0,0,R29*D11*Q12/36000+R28*D11*20/36000+R29*D11*10/36000)))</f>
        <v>1023147.3611111111</v>
      </c>
      <c r="V29" s="56">
        <f ca="1">IF(N30=1,R28*D11*20/36000+R29*D11*10/36000,IF(N30=0,IF(N29=0,0,R29*D11*Q12/36000+R28*D11*20/36000+R29*D11*10/36000)))</f>
        <v>1023147.3611111111</v>
      </c>
      <c r="W29" s="56">
        <f t="shared" ca="1" si="26"/>
        <v>1416666.6666666667</v>
      </c>
      <c r="X29" s="56">
        <f t="shared" ca="1" si="27"/>
        <v>1416670</v>
      </c>
      <c r="Y29" s="56">
        <f t="shared" ca="1" si="16"/>
        <v>17777780</v>
      </c>
      <c r="Z29" s="56">
        <f t="shared" ca="1" si="28"/>
        <v>1364197.5833333335</v>
      </c>
      <c r="AA29" s="56">
        <f t="shared" ca="1" si="17"/>
        <v>1364200</v>
      </c>
      <c r="AB29" s="56">
        <f ca="1">IF(R30=0,R29*Q12,(R28*20+R29*10))</f>
        <v>433333000</v>
      </c>
      <c r="AC29" s="56">
        <f t="shared" ca="1" si="3"/>
        <v>0</v>
      </c>
      <c r="AD29" s="56">
        <f t="shared" ca="1" si="4"/>
        <v>0</v>
      </c>
      <c r="AE29" s="56">
        <f t="shared" ca="1" si="33"/>
        <v>0</v>
      </c>
      <c r="AF29" s="56">
        <f t="shared" ca="1" si="18"/>
        <v>0</v>
      </c>
      <c r="AG29" s="56">
        <f t="shared" ca="1" si="29"/>
        <v>0</v>
      </c>
      <c r="AH29" s="56">
        <f t="shared" ca="1" si="19"/>
        <v>0</v>
      </c>
      <c r="AI29" s="56">
        <f t="shared" ca="1" si="5"/>
        <v>13333320</v>
      </c>
      <c r="AJ29" s="56">
        <f ca="1">IF(N30=1,AI28*G12*20/36000+AI29*G12*10/36000,IF(N30=0,IF(N29=0,0,AI29*G12*Q12/36000+AI28*G12*20/36000+AI29*G12*10/36000)))</f>
        <v>0</v>
      </c>
      <c r="AK29" s="56">
        <f ca="1">IF(N30=1,AI28*G12*20/36000+AI29*G12*10/36000,IF(N30=0,IF(N29=0,0,AI29*G12*Q12/36000+AI28*G12*20/36000+AI29*G12*10/36000)))</f>
        <v>0</v>
      </c>
      <c r="AL29" s="57">
        <f t="shared" ca="1" si="20"/>
        <v>6</v>
      </c>
      <c r="AM29" s="57">
        <f t="shared" ca="1" si="6"/>
        <v>6</v>
      </c>
      <c r="AN29" s="51">
        <f t="shared" ca="1" si="21"/>
        <v>2024</v>
      </c>
      <c r="AO29" s="51">
        <f t="shared" ca="1" si="7"/>
        <v>2024</v>
      </c>
      <c r="AP29" s="51">
        <f t="shared" ca="1" si="8"/>
        <v>1</v>
      </c>
      <c r="AQ29" s="51">
        <f t="shared" ca="1" si="9"/>
        <v>30</v>
      </c>
      <c r="AR29" s="51">
        <f t="shared" si="10"/>
        <v>20</v>
      </c>
      <c r="AS29" s="51">
        <f t="shared" ca="1" si="22"/>
        <v>30</v>
      </c>
      <c r="AT29" s="52"/>
      <c r="AU29" s="52"/>
      <c r="AV29" s="52"/>
      <c r="AW29" s="52"/>
      <c r="AX29" s="52"/>
      <c r="AY29" s="51">
        <f t="shared" ca="1" si="23"/>
        <v>1</v>
      </c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1"/>
        <v>6</v>
      </c>
      <c r="B30" s="268">
        <f t="shared" ca="1" si="12"/>
        <v>45493</v>
      </c>
      <c r="C30" s="401"/>
      <c r="D30" s="443">
        <f ca="1">IF(N30=0,IF(N29=1,D25+D26+D27+D28+D29," "),IF(N30=0,0,IF(N31=1,D25,IF(N31=0,D10-D25*(M14-1)," "))))</f>
        <v>1666670</v>
      </c>
      <c r="E30" s="443"/>
      <c r="F30" s="84">
        <f ca="1">IF(N30=0,IF(N29=1,F25+F26+F27+F28+F29," "),IF(M1=1,P30,IF(M1=2,Q30," ")))</f>
        <v>905090</v>
      </c>
      <c r="G30" s="84">
        <v>0</v>
      </c>
      <c r="H30" s="84">
        <f t="shared" ca="1" si="13"/>
        <v>2571760</v>
      </c>
      <c r="I30" s="84">
        <f t="shared" ca="1" si="30"/>
        <v>2222220</v>
      </c>
      <c r="J30" s="84">
        <f t="shared" ca="1" si="31"/>
        <v>1206790</v>
      </c>
      <c r="K30" s="84">
        <v>0</v>
      </c>
      <c r="L30" s="84">
        <f t="shared" ca="1" si="32"/>
        <v>3429010</v>
      </c>
      <c r="M30" s="51">
        <f t="shared" si="14"/>
        <v>6</v>
      </c>
      <c r="N30" s="51">
        <f ca="1">IF(M1=1,IF(M14&gt;5,1,0),IF(M1=2,IF(M14&gt;5,1,0),0))</f>
        <v>1</v>
      </c>
      <c r="O30" s="51">
        <f t="shared" ca="1" si="0"/>
        <v>20</v>
      </c>
      <c r="P30" s="56">
        <f t="shared" ca="1" si="1"/>
        <v>905090</v>
      </c>
      <c r="Q30" s="56">
        <f t="shared" ca="1" si="2"/>
        <v>905090</v>
      </c>
      <c r="R30" s="56">
        <f t="shared" ca="1" si="15"/>
        <v>11666650</v>
      </c>
      <c r="S30" s="56">
        <f t="shared" ca="1" si="24"/>
        <v>1666670</v>
      </c>
      <c r="T30" s="56">
        <f t="shared" ca="1" si="25"/>
        <v>1666670</v>
      </c>
      <c r="U30" s="56">
        <f ca="1">IF(N31=1,R29*D11*20/36000+R30*D11*10/36000,IF(N31=0,IF(N30=0,0,R30*D11*Q12/36000+R29*D11*20/36000+R30*D11*10/36000)))</f>
        <v>905091.5694444445</v>
      </c>
      <c r="V30" s="56">
        <f ca="1">IF(N31=1,R29*D11*20/36000+R30*D11*10/36000,IF(N31=0,IF(N30=0,0,R30*D11*Q12/36000+R29*D11*20/36000+R30*D11*10/36000)))</f>
        <v>905091.5694444445</v>
      </c>
      <c r="W30" s="56">
        <f t="shared" ca="1" si="26"/>
        <v>1416666.6666666667</v>
      </c>
      <c r="X30" s="56">
        <f t="shared" ca="1" si="27"/>
        <v>1416670</v>
      </c>
      <c r="Y30" s="56">
        <f t="shared" ca="1" si="16"/>
        <v>15555560</v>
      </c>
      <c r="Z30" s="56">
        <f t="shared" ca="1" si="28"/>
        <v>1206790.3333333333</v>
      </c>
      <c r="AA30" s="56">
        <f t="shared" ca="1" si="17"/>
        <v>1206790</v>
      </c>
      <c r="AB30" s="56">
        <f ca="1">IF(R31=0,R30*Q12,(R29*20+R30*10))</f>
        <v>383332900</v>
      </c>
      <c r="AC30" s="56">
        <f t="shared" ca="1" si="3"/>
        <v>0</v>
      </c>
      <c r="AD30" s="56">
        <f t="shared" ca="1" si="4"/>
        <v>0</v>
      </c>
      <c r="AE30" s="56">
        <f t="shared" ca="1" si="33"/>
        <v>0</v>
      </c>
      <c r="AF30" s="56">
        <f t="shared" ca="1" si="18"/>
        <v>0</v>
      </c>
      <c r="AG30" s="56">
        <f t="shared" ca="1" si="29"/>
        <v>0</v>
      </c>
      <c r="AH30" s="56">
        <f t="shared" ca="1" si="19"/>
        <v>0</v>
      </c>
      <c r="AI30" s="56">
        <f t="shared" ca="1" si="5"/>
        <v>11666650</v>
      </c>
      <c r="AJ30" s="56">
        <f ca="1">IF(N31=1,AI29*G12*20/36000+AI30*G12*10/36000,IF(N31=0,IF(N30=0,0,AI30*G12*Q12/36000+AI29*G12*20/36000+AI30*G12*10/36000)))</f>
        <v>0</v>
      </c>
      <c r="AK30" s="56">
        <f ca="1">IF(N31=1,AI29*G12*20/36000+AI30*G12*10/36000,IF(N31=0,IF(N30=0,0,AI30*G12*Q12/36000+AI29*G12*20/36000+AI30*G12*10/36000)))</f>
        <v>0</v>
      </c>
      <c r="AL30" s="57">
        <f t="shared" ca="1" si="20"/>
        <v>7</v>
      </c>
      <c r="AM30" s="57">
        <f t="shared" ca="1" si="6"/>
        <v>7</v>
      </c>
      <c r="AN30" s="51">
        <f t="shared" ca="1" si="21"/>
        <v>2024</v>
      </c>
      <c r="AO30" s="51">
        <f t="shared" ca="1" si="7"/>
        <v>2024</v>
      </c>
      <c r="AP30" s="51">
        <f t="shared" ca="1" si="8"/>
        <v>1</v>
      </c>
      <c r="AQ30" s="51">
        <f t="shared" ca="1" si="9"/>
        <v>30</v>
      </c>
      <c r="AR30" s="51">
        <f t="shared" si="10"/>
        <v>20</v>
      </c>
      <c r="AS30" s="51">
        <f t="shared" ca="1" si="22"/>
        <v>30</v>
      </c>
      <c r="AT30" s="52"/>
      <c r="AU30" s="52"/>
      <c r="AV30" s="52"/>
      <c r="AW30" s="52"/>
      <c r="AX30" s="52"/>
      <c r="AY30" s="51">
        <f t="shared" ca="1" si="23"/>
        <v>1</v>
      </c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1"/>
        <v>7</v>
      </c>
      <c r="B31" s="268">
        <f t="shared" ca="1" si="12"/>
        <v>45524</v>
      </c>
      <c r="C31" s="401"/>
      <c r="D31" s="443">
        <f ca="1">IF(N31=0,IF(N30=1,D25+D26+D27+D28+D29+D30," "),IF(N31=0," ",IF(N32=1,D25,IF(N32=0,D10-D25*(M14-1)," "))))</f>
        <v>1666670</v>
      </c>
      <c r="E31" s="443"/>
      <c r="F31" s="84">
        <f ca="1">IF(N31=0,IF(N30=1,F25+F26+F27+F28+F29+F30," "),IF(M1=1,P31,IF(M1=2,Q31," ")))</f>
        <v>787040</v>
      </c>
      <c r="G31" s="84">
        <v>0</v>
      </c>
      <c r="H31" s="84">
        <f t="shared" ca="1" si="13"/>
        <v>2453710</v>
      </c>
      <c r="I31" s="84">
        <f t="shared" ca="1" si="30"/>
        <v>2222220</v>
      </c>
      <c r="J31" s="84">
        <f t="shared" ca="1" si="31"/>
        <v>1049380</v>
      </c>
      <c r="K31" s="84">
        <v>0</v>
      </c>
      <c r="L31" s="84">
        <f t="shared" ca="1" si="32"/>
        <v>3271600</v>
      </c>
      <c r="M31" s="51">
        <f t="shared" si="14"/>
        <v>7</v>
      </c>
      <c r="N31" s="51">
        <f ca="1">IF(M1=1,IF(M14&gt;6,1,0),IF(M1=2,IF(M14&gt;6,1,0),0))</f>
        <v>1</v>
      </c>
      <c r="O31" s="51">
        <f t="shared" ca="1" si="0"/>
        <v>20</v>
      </c>
      <c r="P31" s="56">
        <f t="shared" ca="1" si="1"/>
        <v>787040</v>
      </c>
      <c r="Q31" s="56">
        <f t="shared" ca="1" si="2"/>
        <v>787040</v>
      </c>
      <c r="R31" s="56">
        <f t="shared" ca="1" si="15"/>
        <v>9999980</v>
      </c>
      <c r="S31" s="56">
        <f t="shared" ca="1" si="24"/>
        <v>1666670</v>
      </c>
      <c r="T31" s="56">
        <f t="shared" ca="1" si="25"/>
        <v>1666670</v>
      </c>
      <c r="U31" s="56">
        <f ca="1">IF(N32=1,R30*D$11*20/36000+R31*D$11*10/36000,IF(N32=0,IF(N31=0,0,IF(D$16&gt;20,R30*D$11*20/36000+R31*D$11*(Q$12-20)/36000,R31*D$11*Q$12/36000))))</f>
        <v>787035.77777777775</v>
      </c>
      <c r="V31" s="56">
        <f ca="1">IF(N32=1,R30*D$11*20/36000+R31*D$11*10/36000,IF(N32=0,IF(N31=0,0,IF(D$16&gt;20,R30*D$11*20/36000+R31*D$11*(Q$12-20)/36000,R31*D$11*Q$12/36000))))</f>
        <v>787035.77777777775</v>
      </c>
      <c r="W31" s="56">
        <f t="shared" ca="1" si="26"/>
        <v>1416666.6666666667</v>
      </c>
      <c r="X31" s="56">
        <f t="shared" ca="1" si="27"/>
        <v>1416670</v>
      </c>
      <c r="Y31" s="56">
        <f t="shared" ca="1" si="16"/>
        <v>13333340</v>
      </c>
      <c r="Z31" s="56">
        <f ca="1">IF(N32=1,Y30*D$11*20/36000+Y31*D$11*10/36000,IF(N32=0,IF(N31=0,0,IF(D$16&gt;20,Y30*D$11*20/36000+Y31*D$11*(Q$12-20)/36000,Y31*D$11*Q$12/36000))))</f>
        <v>1049383.0833333335</v>
      </c>
      <c r="AA31" s="56">
        <f t="shared" ca="1" si="17"/>
        <v>1049380</v>
      </c>
      <c r="AB31" s="56">
        <f ca="1">IF(R32=0,R31*Q12,(R30*20+R31*10))</f>
        <v>333332800</v>
      </c>
      <c r="AC31" s="56">
        <f t="shared" ca="1" si="3"/>
        <v>0</v>
      </c>
      <c r="AD31" s="56">
        <f t="shared" ca="1" si="4"/>
        <v>0</v>
      </c>
      <c r="AE31" s="56">
        <f t="shared" ca="1" si="33"/>
        <v>0</v>
      </c>
      <c r="AF31" s="56">
        <f t="shared" ca="1" si="18"/>
        <v>0</v>
      </c>
      <c r="AG31" s="56">
        <f t="shared" ca="1" si="29"/>
        <v>0</v>
      </c>
      <c r="AH31" s="56">
        <f t="shared" ca="1" si="19"/>
        <v>0</v>
      </c>
      <c r="AI31" s="56">
        <f t="shared" ca="1" si="5"/>
        <v>9999980</v>
      </c>
      <c r="AJ31" s="56">
        <f ca="1">IF(N32=1,AI30*G$12*20/36000+AI31*G$12*10/36000,IF(N32=0,IF(N31=0,0,AI31*G$12*Q$12/36000)))</f>
        <v>0</v>
      </c>
      <c r="AK31" s="56">
        <f ca="1">IF(N32=1,AI30*G$12*20/36000+AI31*G$12*10/36000,IF(N32=0,IF(N31=0,0,AI31*G$12*Q$12/36000)))</f>
        <v>0</v>
      </c>
      <c r="AL31" s="57">
        <f t="shared" ca="1" si="20"/>
        <v>8</v>
      </c>
      <c r="AM31" s="57">
        <f t="shared" ca="1" si="6"/>
        <v>8</v>
      </c>
      <c r="AN31" s="51">
        <f t="shared" ca="1" si="21"/>
        <v>2024</v>
      </c>
      <c r="AO31" s="51">
        <f t="shared" ca="1" si="7"/>
        <v>2024</v>
      </c>
      <c r="AP31" s="51">
        <f t="shared" ca="1" si="8"/>
        <v>1</v>
      </c>
      <c r="AQ31" s="51">
        <f t="shared" ca="1" si="9"/>
        <v>30</v>
      </c>
      <c r="AR31" s="51">
        <f t="shared" si="10"/>
        <v>20</v>
      </c>
      <c r="AS31" s="51">
        <f t="shared" ca="1" si="22"/>
        <v>30</v>
      </c>
      <c r="AT31" s="52"/>
      <c r="AU31" s="52"/>
      <c r="AV31" s="52"/>
      <c r="AW31" s="52"/>
      <c r="AX31" s="52"/>
      <c r="AY31" s="51">
        <f t="shared" ca="1" si="23"/>
        <v>1</v>
      </c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1"/>
        <v>8</v>
      </c>
      <c r="B32" s="268">
        <f t="shared" ca="1" si="12"/>
        <v>45555</v>
      </c>
      <c r="C32" s="401"/>
      <c r="D32" s="443">
        <f ca="1">IF(N32=0,IF(N31=1,D25+D26+D27+D28+D29+D30+D31," "),IF(N32=0," ",IF(N33=1,D25,IF(N33=0,D10-D25*(M14-1)," "))))</f>
        <v>1666670</v>
      </c>
      <c r="E32" s="443"/>
      <c r="F32" s="84">
        <f ca="1">IF(N32=0,IF(N31=1,F25+F26+F27+F28+F29+F30+F31," "),IF(M1=1,P32,IF(M1=2,Q32," ")))</f>
        <v>668980</v>
      </c>
      <c r="G32" s="84">
        <v>0</v>
      </c>
      <c r="H32" s="84">
        <f t="shared" ca="1" si="13"/>
        <v>2335650</v>
      </c>
      <c r="I32" s="84">
        <f t="shared" ca="1" si="30"/>
        <v>2222220</v>
      </c>
      <c r="J32" s="84">
        <f t="shared" ca="1" si="31"/>
        <v>891980</v>
      </c>
      <c r="K32" s="84">
        <v>0</v>
      </c>
      <c r="L32" s="84">
        <f t="shared" ca="1" si="32"/>
        <v>3114200</v>
      </c>
      <c r="M32" s="51">
        <f t="shared" si="14"/>
        <v>8</v>
      </c>
      <c r="N32" s="51">
        <f ca="1">IF(M1=1,IF(M14&gt;7,1,0),IF(M1=2,IF(M14&gt;7,1,0),0))</f>
        <v>1</v>
      </c>
      <c r="O32" s="51">
        <f t="shared" ca="1" si="0"/>
        <v>20</v>
      </c>
      <c r="P32" s="56">
        <f t="shared" ca="1" si="1"/>
        <v>668980</v>
      </c>
      <c r="Q32" s="56">
        <f t="shared" ca="1" si="2"/>
        <v>668980</v>
      </c>
      <c r="R32" s="56">
        <f t="shared" ca="1" si="15"/>
        <v>8333310</v>
      </c>
      <c r="S32" s="56">
        <f t="shared" ca="1" si="24"/>
        <v>1666670</v>
      </c>
      <c r="T32" s="56">
        <f t="shared" ca="1" si="25"/>
        <v>1666670</v>
      </c>
      <c r="U32" s="56">
        <f ca="1">IF(N33=1,R31*D11*20/36000+R32*D11*10/36000,IF(N33=0,IF(N32=0,0,R32*D11*Q12/36000+R31*D11*20/36000+R32*D11*10/36000)))</f>
        <v>668979.98611111112</v>
      </c>
      <c r="V32" s="56">
        <f ca="1">IF(N33=1,R31*D11*20/36000+R32*D11*10/36000,IF(N33=0,IF(N32=0,0,R32*D11*Q12/36000+R31*D11*20/36000+R32*D11*10/36000)))</f>
        <v>668979.98611111112</v>
      </c>
      <c r="W32" s="56">
        <f t="shared" ca="1" si="26"/>
        <v>1416666.6666666667</v>
      </c>
      <c r="X32" s="56">
        <f t="shared" ca="1" si="27"/>
        <v>1416670</v>
      </c>
      <c r="Y32" s="56">
        <f t="shared" ca="1" si="16"/>
        <v>11111120</v>
      </c>
      <c r="Z32" s="56">
        <f t="shared" ca="1" si="28"/>
        <v>891975.83333333337</v>
      </c>
      <c r="AA32" s="56">
        <f t="shared" ca="1" si="17"/>
        <v>891980</v>
      </c>
      <c r="AB32" s="56">
        <f ca="1">IF(R33=0,R32*Q12,(R31*20+R32*10))</f>
        <v>283332700</v>
      </c>
      <c r="AC32" s="56">
        <f t="shared" ca="1" si="3"/>
        <v>0</v>
      </c>
      <c r="AD32" s="56">
        <f t="shared" ca="1" si="4"/>
        <v>0</v>
      </c>
      <c r="AE32" s="56">
        <f t="shared" ca="1" si="33"/>
        <v>0</v>
      </c>
      <c r="AF32" s="56">
        <f t="shared" ca="1" si="18"/>
        <v>0</v>
      </c>
      <c r="AG32" s="56">
        <f t="shared" ca="1" si="29"/>
        <v>0</v>
      </c>
      <c r="AH32" s="56">
        <f t="shared" ca="1" si="19"/>
        <v>0</v>
      </c>
      <c r="AI32" s="56">
        <f t="shared" ca="1" si="5"/>
        <v>8333310</v>
      </c>
      <c r="AJ32" s="56">
        <f ca="1">IF(N33=1,AI31*G12*20/36000+AI32*G12*10/36000,IF(N33=0,IF(N32=0,0,AI32*G12*Q12/36000+AI31*G12*20/36000+AI32*G12*10/36000)))</f>
        <v>0</v>
      </c>
      <c r="AK32" s="56">
        <f ca="1">IF(N33=1,AI31*G12*20/36000+AI32*G12*10/36000,IF(N33=0,IF(N32=0,0,AI32*G12*Q12/36000+AI31*G12*20/36000+AI32*G12*10/36000)))</f>
        <v>0</v>
      </c>
      <c r="AL32" s="57">
        <f t="shared" ca="1" si="20"/>
        <v>9</v>
      </c>
      <c r="AM32" s="57">
        <f t="shared" ca="1" si="6"/>
        <v>9</v>
      </c>
      <c r="AN32" s="51">
        <f t="shared" ca="1" si="21"/>
        <v>2024</v>
      </c>
      <c r="AO32" s="51">
        <f t="shared" ca="1" si="7"/>
        <v>2024</v>
      </c>
      <c r="AP32" s="51">
        <f t="shared" ca="1" si="8"/>
        <v>1</v>
      </c>
      <c r="AQ32" s="51">
        <f t="shared" ca="1" si="9"/>
        <v>30</v>
      </c>
      <c r="AR32" s="51">
        <f t="shared" si="10"/>
        <v>20</v>
      </c>
      <c r="AS32" s="51">
        <f t="shared" ca="1" si="22"/>
        <v>30</v>
      </c>
      <c r="AT32" s="52"/>
      <c r="AU32" s="52"/>
      <c r="AV32" s="52"/>
      <c r="AW32" s="52"/>
      <c r="AX32" s="52"/>
      <c r="AY32" s="51">
        <f t="shared" ca="1" si="23"/>
        <v>1</v>
      </c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1"/>
        <v>9</v>
      </c>
      <c r="B33" s="268">
        <f t="shared" ca="1" si="12"/>
        <v>45585</v>
      </c>
      <c r="C33" s="401"/>
      <c r="D33" s="443">
        <f ca="1">IF(N33=0,IF(N32=1,D25+D26+D27+D28+D29+D30+D31+D32," "),IF(N33=0," ",IF(N34=1,D25,IF(N34=0,D10-D25*(M14-1)," "))))</f>
        <v>1666670</v>
      </c>
      <c r="E33" s="443"/>
      <c r="F33" s="84">
        <f ca="1">IF(N33=0,IF(N32=1,F25+F26+F27+F28+F29+F30+F31+F32," "),IF(M1=1,P33,IF(M1=2,Q33," ")))</f>
        <v>550920</v>
      </c>
      <c r="G33" s="84">
        <v>0</v>
      </c>
      <c r="H33" s="84">
        <f t="shared" ca="1" si="13"/>
        <v>2217590</v>
      </c>
      <c r="I33" s="84">
        <f t="shared" ca="1" si="30"/>
        <v>2222220</v>
      </c>
      <c r="J33" s="84">
        <f t="shared" ca="1" si="31"/>
        <v>734570</v>
      </c>
      <c r="K33" s="84">
        <v>0</v>
      </c>
      <c r="L33" s="84">
        <f t="shared" ca="1" si="32"/>
        <v>2956790</v>
      </c>
      <c r="M33" s="51">
        <f t="shared" si="14"/>
        <v>9</v>
      </c>
      <c r="N33" s="51">
        <f ca="1">IF(M1=1,IF(M14&gt;8,1,0),IF(M1=2,IF(M14&gt;8,1,0),0))</f>
        <v>1</v>
      </c>
      <c r="O33" s="51">
        <f t="shared" ca="1" si="0"/>
        <v>20</v>
      </c>
      <c r="P33" s="56">
        <f t="shared" ca="1" si="1"/>
        <v>550920</v>
      </c>
      <c r="Q33" s="56">
        <f t="shared" ca="1" si="2"/>
        <v>550920</v>
      </c>
      <c r="R33" s="56">
        <f t="shared" ca="1" si="15"/>
        <v>6666640</v>
      </c>
      <c r="S33" s="56">
        <f t="shared" ca="1" si="24"/>
        <v>1666670</v>
      </c>
      <c r="T33" s="56">
        <f t="shared" ca="1" si="25"/>
        <v>1666670</v>
      </c>
      <c r="U33" s="56">
        <f ca="1">IF(N34=1,R32*D11*20/36000+R33*D11*10/36000,IF(N34=0,IF(N33=0,0,R33*D11*Q12/36000+R32*D11*20/36000+R33*D11*10/36000)))</f>
        <v>550924.1944444445</v>
      </c>
      <c r="V33" s="56">
        <f ca="1">IF(N34=1,R32*D11*20/36000+R33*D11*10/36000,IF(N34=0,IF(N33=0,0,R33*D11*Q12/36000+R32*D11*20/36000+R33*D11*10/36000)))</f>
        <v>550924.1944444445</v>
      </c>
      <c r="W33" s="56">
        <f t="shared" ca="1" si="26"/>
        <v>1416666.6666666667</v>
      </c>
      <c r="X33" s="56">
        <f t="shared" ca="1" si="27"/>
        <v>1416670</v>
      </c>
      <c r="Y33" s="56">
        <f t="shared" ca="1" si="16"/>
        <v>8888900</v>
      </c>
      <c r="Z33" s="56">
        <f t="shared" ca="1" si="28"/>
        <v>734568.58333333326</v>
      </c>
      <c r="AA33" s="56">
        <f t="shared" ca="1" si="17"/>
        <v>734570</v>
      </c>
      <c r="AB33" s="56">
        <f ca="1">IF(R34=0,R33*Q12,(R32*20+R33*10))</f>
        <v>233332600</v>
      </c>
      <c r="AC33" s="56">
        <f t="shared" ca="1" si="3"/>
        <v>0</v>
      </c>
      <c r="AD33" s="56">
        <f t="shared" ca="1" si="4"/>
        <v>0</v>
      </c>
      <c r="AE33" s="56">
        <f t="shared" ca="1" si="33"/>
        <v>0</v>
      </c>
      <c r="AF33" s="56">
        <f t="shared" ca="1" si="18"/>
        <v>0</v>
      </c>
      <c r="AG33" s="56">
        <f t="shared" ca="1" si="29"/>
        <v>0</v>
      </c>
      <c r="AH33" s="56">
        <f t="shared" ca="1" si="19"/>
        <v>0</v>
      </c>
      <c r="AI33" s="56">
        <f t="shared" ca="1" si="5"/>
        <v>6666640</v>
      </c>
      <c r="AJ33" s="56">
        <f ca="1">IF(N34=1,AI32*G12*20/36000+AI33*G12*10/36000,IF(N34=0,IF(N33=0,0,AI33*G12*Q12/36000+AI32*G12*20/36000+AI33*G12*10/36000)))</f>
        <v>0</v>
      </c>
      <c r="AK33" s="56">
        <f ca="1">IF(N34=1,AI32*G12*20/36000+AI33*G12*10/36000,IF(N34=0,IF(N33=0,0,AI33*G12*Q12/36000+AI32*G12*20/36000+AI33*G12*10/36000)))</f>
        <v>0</v>
      </c>
      <c r="AL33" s="57">
        <f t="shared" ca="1" si="20"/>
        <v>10</v>
      </c>
      <c r="AM33" s="57">
        <f t="shared" ca="1" si="6"/>
        <v>10</v>
      </c>
      <c r="AN33" s="51">
        <f t="shared" ca="1" si="21"/>
        <v>2024</v>
      </c>
      <c r="AO33" s="51">
        <f t="shared" ca="1" si="7"/>
        <v>2024</v>
      </c>
      <c r="AP33" s="51">
        <f t="shared" ca="1" si="8"/>
        <v>1</v>
      </c>
      <c r="AQ33" s="51">
        <f t="shared" ca="1" si="9"/>
        <v>30</v>
      </c>
      <c r="AR33" s="51">
        <f t="shared" si="10"/>
        <v>20</v>
      </c>
      <c r="AS33" s="51">
        <f t="shared" ca="1" si="22"/>
        <v>30</v>
      </c>
      <c r="AT33" s="52"/>
      <c r="AU33" s="52"/>
      <c r="AV33" s="52"/>
      <c r="AW33" s="52"/>
      <c r="AX33" s="52"/>
      <c r="AY33" s="51">
        <f t="shared" ca="1" si="23"/>
        <v>1</v>
      </c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1"/>
        <v>10</v>
      </c>
      <c r="B34" s="268">
        <f t="shared" ca="1" si="12"/>
        <v>45616</v>
      </c>
      <c r="C34" s="401"/>
      <c r="D34" s="443">
        <f ca="1">IF(N34=0,IF(N33=1,D25+D26+D27+D28+D29+D30+D31+D32+D33," "),IF(N34=0," ",IF(N35=1,D25,IF(N35=0,D10-D25*(M14-1)," "))))</f>
        <v>1666670</v>
      </c>
      <c r="E34" s="443"/>
      <c r="F34" s="84">
        <f ca="1">IF(N34=0,IF(N33=1,F25+F26+F27+F28+F29+F30+F31+F32+F33," "),IF(M1=1,P34,IF(M1=2,Q34," ")))</f>
        <v>432870</v>
      </c>
      <c r="G34" s="84">
        <v>0</v>
      </c>
      <c r="H34" s="84">
        <f t="shared" ca="1" si="13"/>
        <v>2099540</v>
      </c>
      <c r="I34" s="84">
        <f t="shared" ca="1" si="30"/>
        <v>2222220</v>
      </c>
      <c r="J34" s="84">
        <f t="shared" ca="1" si="31"/>
        <v>577160</v>
      </c>
      <c r="K34" s="84">
        <v>0</v>
      </c>
      <c r="L34" s="84">
        <f t="shared" ca="1" si="32"/>
        <v>2799380</v>
      </c>
      <c r="M34" s="51">
        <f t="shared" si="14"/>
        <v>10</v>
      </c>
      <c r="N34" s="51">
        <f ca="1">IF(M1=1,IF(M14&gt;9,1,0),IF(M1=2,IF(M14&gt;9,1,0),0))</f>
        <v>1</v>
      </c>
      <c r="O34" s="51">
        <f t="shared" ca="1" si="0"/>
        <v>20</v>
      </c>
      <c r="P34" s="56">
        <f t="shared" ca="1" si="1"/>
        <v>432870</v>
      </c>
      <c r="Q34" s="56">
        <f t="shared" ca="1" si="2"/>
        <v>432870</v>
      </c>
      <c r="R34" s="56">
        <f t="shared" ca="1" si="15"/>
        <v>4999970</v>
      </c>
      <c r="S34" s="56">
        <f t="shared" ca="1" si="24"/>
        <v>1666670</v>
      </c>
      <c r="T34" s="56">
        <f t="shared" ca="1" si="25"/>
        <v>1666670</v>
      </c>
      <c r="U34" s="56">
        <f ca="1">IF(N35=1,R33*D11*20/36000+R34*D11*10/36000,IF(N35=0,IF(N34=0,0,R34*D11*Q12/36000+29*D11*20/36000+R34*D11*10/36000)))</f>
        <v>432868.40277777775</v>
      </c>
      <c r="V34" s="56">
        <f ca="1">IF(N35=1,R33*D11*20/36000+R34*D11*10/36000,IF(N35=0,IF(N34=0,0,R34*D11*Q12/36000+29*D11*20/36000+R34*D11*10/36000)))</f>
        <v>432868.40277777775</v>
      </c>
      <c r="W34" s="56">
        <f t="shared" ca="1" si="26"/>
        <v>1416666.6666666667</v>
      </c>
      <c r="X34" s="56">
        <f t="shared" ca="1" si="27"/>
        <v>1416670</v>
      </c>
      <c r="Y34" s="56">
        <f t="shared" ca="1" si="16"/>
        <v>6666680</v>
      </c>
      <c r="Z34" s="56">
        <f t="shared" ca="1" si="28"/>
        <v>577161.33333333337</v>
      </c>
      <c r="AA34" s="56">
        <f t="shared" ca="1" si="17"/>
        <v>577160</v>
      </c>
      <c r="AB34" s="56">
        <f ca="1">IF(R35=0,R34*Q12,(R33*20+R34*10))</f>
        <v>183332500</v>
      </c>
      <c r="AC34" s="56">
        <f t="shared" ca="1" si="3"/>
        <v>0</v>
      </c>
      <c r="AD34" s="56">
        <f t="shared" ca="1" si="4"/>
        <v>0</v>
      </c>
      <c r="AE34" s="56">
        <f t="shared" ca="1" si="33"/>
        <v>0</v>
      </c>
      <c r="AF34" s="56">
        <f t="shared" ca="1" si="18"/>
        <v>0</v>
      </c>
      <c r="AG34" s="56">
        <f t="shared" ca="1" si="29"/>
        <v>0</v>
      </c>
      <c r="AH34" s="56">
        <f t="shared" ca="1" si="19"/>
        <v>0</v>
      </c>
      <c r="AI34" s="56">
        <f t="shared" ca="1" si="5"/>
        <v>4999970</v>
      </c>
      <c r="AJ34" s="56">
        <f ca="1">IF(N35=1,AI33*G12*20/36000+AI34*G12*10/36000,IF(N35=0,IF(N34=0,0,AI34*G12*Q12/36000+29*G12*20/36000+AI34*G12*10/36000)))</f>
        <v>0</v>
      </c>
      <c r="AK34" s="56">
        <f ca="1">IF(N35=1,AI33*G12*20/36000+AI34*G12*10/36000,IF(N35=0,IF(N34=0,0,AI34*G12*Q12/36000+29*G12*20/36000+AI34*G12*10/36000)))</f>
        <v>0</v>
      </c>
      <c r="AL34" s="57">
        <f t="shared" ca="1" si="20"/>
        <v>11</v>
      </c>
      <c r="AM34" s="57">
        <f t="shared" ca="1" si="6"/>
        <v>11</v>
      </c>
      <c r="AN34" s="51">
        <f t="shared" ca="1" si="21"/>
        <v>2024</v>
      </c>
      <c r="AO34" s="51">
        <f t="shared" ca="1" si="7"/>
        <v>2024</v>
      </c>
      <c r="AP34" s="51">
        <f t="shared" ca="1" si="8"/>
        <v>1</v>
      </c>
      <c r="AQ34" s="51">
        <f t="shared" ca="1" si="9"/>
        <v>30</v>
      </c>
      <c r="AR34" s="51">
        <f t="shared" si="10"/>
        <v>20</v>
      </c>
      <c r="AS34" s="51">
        <f t="shared" ca="1" si="22"/>
        <v>30</v>
      </c>
      <c r="AT34" s="52"/>
      <c r="AU34" s="52"/>
      <c r="AV34" s="52"/>
      <c r="AW34" s="52"/>
      <c r="AX34" s="52"/>
      <c r="AY34" s="51">
        <f t="shared" ca="1" si="23"/>
        <v>1</v>
      </c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1"/>
        <v>11</v>
      </c>
      <c r="B35" s="268">
        <f t="shared" ca="1" si="12"/>
        <v>45646</v>
      </c>
      <c r="C35" s="401"/>
      <c r="D35" s="443">
        <f ca="1">IF(N35=0,IF(N34=1,D25+D26+D27+D28+D29+D30+D31+D32+D33+D34," "),IF(N35=0," ",IF(N36=1,D25,IF(N36=0,D10-D25*(M14-1)," "))))</f>
        <v>1666670</v>
      </c>
      <c r="E35" s="443"/>
      <c r="F35" s="84">
        <f ca="1">IF(N35=0,IF(N34=1,F25+F26+F27+F28+F29+F30+F31+F32+F33+F34," "),IF(M1=1,P35,IF(M1=2,Q35," ")))</f>
        <v>314810</v>
      </c>
      <c r="G35" s="84">
        <v>0</v>
      </c>
      <c r="H35" s="84">
        <f t="shared" ca="1" si="13"/>
        <v>1981480</v>
      </c>
      <c r="I35" s="84">
        <f t="shared" ca="1" si="30"/>
        <v>2222220</v>
      </c>
      <c r="J35" s="84">
        <f t="shared" ca="1" si="31"/>
        <v>419750</v>
      </c>
      <c r="K35" s="84">
        <v>0</v>
      </c>
      <c r="L35" s="84">
        <f t="shared" ca="1" si="32"/>
        <v>2641970</v>
      </c>
      <c r="M35" s="51">
        <f t="shared" si="14"/>
        <v>11</v>
      </c>
      <c r="N35" s="51">
        <f ca="1">IF(M1=1,IF(M14&gt;10,1,0),IF(M1=2,IF(M14&gt;10,1,0),0))</f>
        <v>1</v>
      </c>
      <c r="O35" s="51">
        <f t="shared" ca="1" si="0"/>
        <v>20</v>
      </c>
      <c r="P35" s="56">
        <f t="shared" ca="1" si="1"/>
        <v>314810</v>
      </c>
      <c r="Q35" s="56">
        <f t="shared" ca="1" si="2"/>
        <v>314810</v>
      </c>
      <c r="R35" s="56">
        <f t="shared" ca="1" si="15"/>
        <v>3333300</v>
      </c>
      <c r="S35" s="56">
        <f t="shared" ca="1" si="24"/>
        <v>1666670</v>
      </c>
      <c r="T35" s="56">
        <f t="shared" ca="1" si="25"/>
        <v>1666670</v>
      </c>
      <c r="U35" s="56">
        <f ca="1">IF(N36=1,R34*D11*20/36000+R35*D11*10/36000,IF(N36=0,IF(N35=0,0,R35*D11*Q12/36000+R34*D11*20/36000+R35*D11*10/36000)))</f>
        <v>314812.61111111112</v>
      </c>
      <c r="V35" s="56">
        <f ca="1">IF(N36=1,R34*D11*20/36000+R35*D11*10/36000,IF(N36=0,IF(N35=0,0,R35*D11*Q12/36000+R34*D11*20/36000+R35*D11*10/36000)))</f>
        <v>314812.61111111112</v>
      </c>
      <c r="W35" s="56">
        <f t="shared" ca="1" si="26"/>
        <v>1416666.6666666667</v>
      </c>
      <c r="X35" s="56">
        <f t="shared" ca="1" si="27"/>
        <v>1416670</v>
      </c>
      <c r="Y35" s="56">
        <f t="shared" ca="1" si="16"/>
        <v>4444460</v>
      </c>
      <c r="Z35" s="56">
        <f t="shared" ca="1" si="28"/>
        <v>419754.08333333331</v>
      </c>
      <c r="AA35" s="56">
        <f t="shared" ca="1" si="17"/>
        <v>419750</v>
      </c>
      <c r="AB35" s="56">
        <f ca="1">IF(R36=0,R35*Q12,(R34*20+R35*10))</f>
        <v>133332400</v>
      </c>
      <c r="AC35" s="56">
        <f t="shared" ca="1" si="3"/>
        <v>0</v>
      </c>
      <c r="AD35" s="56">
        <f t="shared" ca="1" si="4"/>
        <v>0</v>
      </c>
      <c r="AE35" s="56">
        <f t="shared" ca="1" si="33"/>
        <v>0</v>
      </c>
      <c r="AF35" s="56">
        <f t="shared" ca="1" si="18"/>
        <v>0</v>
      </c>
      <c r="AG35" s="56">
        <f t="shared" ca="1" si="29"/>
        <v>0</v>
      </c>
      <c r="AH35" s="56">
        <f t="shared" ca="1" si="19"/>
        <v>0</v>
      </c>
      <c r="AI35" s="56">
        <f t="shared" ca="1" si="5"/>
        <v>3333300</v>
      </c>
      <c r="AJ35" s="56">
        <f ca="1">IF(N36=1,AI34*G12*20/36000+AI35*G12*10/36000,IF(N36=0,IF(N35=0,0,AI35*G12*Q12/36000+AI34*G12*20/36000+AI35*G12*10/36000)))</f>
        <v>0</v>
      </c>
      <c r="AK35" s="56">
        <f ca="1">IF(N36=1,AI34*G12*20/36000+AI35*G12*10/36000,IF(N36=0,IF(N35=0,0,AI35*G12*Q12/36000+AI34*G12*20/36000+AI35*G12*10/36000)))</f>
        <v>0</v>
      </c>
      <c r="AL35" s="57">
        <f t="shared" ca="1" si="20"/>
        <v>12</v>
      </c>
      <c r="AM35" s="57">
        <f t="shared" ca="1" si="6"/>
        <v>12</v>
      </c>
      <c r="AN35" s="51">
        <f t="shared" ca="1" si="21"/>
        <v>2024</v>
      </c>
      <c r="AO35" s="51">
        <f t="shared" ca="1" si="7"/>
        <v>2024</v>
      </c>
      <c r="AP35" s="51">
        <f t="shared" ca="1" si="8"/>
        <v>1</v>
      </c>
      <c r="AQ35" s="51">
        <f t="shared" ca="1" si="9"/>
        <v>30</v>
      </c>
      <c r="AR35" s="51">
        <f t="shared" si="10"/>
        <v>20</v>
      </c>
      <c r="AS35" s="51">
        <f t="shared" ca="1" si="22"/>
        <v>30</v>
      </c>
      <c r="AT35" s="52"/>
      <c r="AU35" s="52"/>
      <c r="AV35" s="52"/>
      <c r="AW35" s="52"/>
      <c r="AX35" s="52"/>
      <c r="AY35" s="51">
        <f t="shared" ca="1" si="23"/>
        <v>1</v>
      </c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1"/>
        <v>12</v>
      </c>
      <c r="B36" s="268">
        <f t="shared" ca="1" si="12"/>
        <v>45659</v>
      </c>
      <c r="C36" s="401"/>
      <c r="D36" s="443">
        <f ca="1">IF(N36=0,IF(N35=1,D25+D26+D27+D28+D29+D30+D31+D32+D33+D34+D35," "),IF(N36=0," ",IF(N37=1,D25,IF(N37=0,D10-D25*(M14-1)," "))))</f>
        <v>1666630</v>
      </c>
      <c r="E36" s="443"/>
      <c r="F36" s="84">
        <f ca="1">IF(N36=0,IF(N35=1,F25+F26+F27+F28+F29+F30+F31+F32+F33+F34+F35," "),IF(M1=1,P36,IF(M1=2,Q36," ")))</f>
        <v>204630</v>
      </c>
      <c r="G36" s="84">
        <v>0</v>
      </c>
      <c r="H36" s="84">
        <f t="shared" ca="1" si="13"/>
        <v>1871260</v>
      </c>
      <c r="I36" s="84">
        <f t="shared" ca="1" si="30"/>
        <v>2222240</v>
      </c>
      <c r="J36" s="84">
        <f t="shared" ca="1" si="31"/>
        <v>272840</v>
      </c>
      <c r="K36" s="84">
        <v>0</v>
      </c>
      <c r="L36" s="84">
        <f t="shared" ca="1" si="32"/>
        <v>2495080</v>
      </c>
      <c r="M36" s="51">
        <f t="shared" si="14"/>
        <v>12</v>
      </c>
      <c r="N36" s="51">
        <f ca="1">IF(M1=1,IF(M14&gt;11,1,0),IF(M1=2,IF(M14&gt;11,1,0),0))</f>
        <v>1</v>
      </c>
      <c r="O36" s="51">
        <f t="shared" ca="1" si="0"/>
        <v>2</v>
      </c>
      <c r="P36" s="56">
        <f t="shared" ca="1" si="1"/>
        <v>204630</v>
      </c>
      <c r="Q36" s="56">
        <f t="shared" ca="1" si="2"/>
        <v>204630</v>
      </c>
      <c r="R36" s="56">
        <f t="shared" ca="1" si="15"/>
        <v>1666630</v>
      </c>
      <c r="S36" s="56">
        <f t="shared" ca="1" si="24"/>
        <v>1666630</v>
      </c>
      <c r="T36" s="56">
        <f t="shared" ca="1" si="25"/>
        <v>1666630</v>
      </c>
      <c r="U36" s="56">
        <f ca="1">IF(N37=1,R35*D11*20/36000+R36*D11*10/36000,IF(N37=0,IF(N36=0,0,R36*D11*Q12/36000+R35*D11*20/36000+R36*D11*10/36000)))</f>
        <v>204627.01666666666</v>
      </c>
      <c r="V36" s="56">
        <f ca="1">IF(N37=1,R35*D11*20/36000+R36*D11*10/36000,IF(N37=0,IF(N36=0,0,R36*D11*Q12/36000+R35*D11*20/36000+R36*D11*10/36000)))</f>
        <v>204627.01666666666</v>
      </c>
      <c r="W36" s="56">
        <f t="shared" ca="1" si="26"/>
        <v>1511111.1111111112</v>
      </c>
      <c r="X36" s="56">
        <f t="shared" ca="1" si="27"/>
        <v>1511110</v>
      </c>
      <c r="Y36" s="56">
        <f t="shared" ca="1" si="16"/>
        <v>2222240</v>
      </c>
      <c r="Z36" s="56">
        <f t="shared" ca="1" si="28"/>
        <v>272840.74444444443</v>
      </c>
      <c r="AA36" s="56">
        <f t="shared" ca="1" si="17"/>
        <v>272840</v>
      </c>
      <c r="AB36" s="56">
        <f ca="1">IF(R37=0,R36*Q12,(R35*20+R36*10))</f>
        <v>3333260</v>
      </c>
      <c r="AC36" s="56">
        <f t="shared" ca="1" si="3"/>
        <v>0</v>
      </c>
      <c r="AD36" s="56">
        <f t="shared" ca="1" si="4"/>
        <v>0</v>
      </c>
      <c r="AE36" s="56">
        <f t="shared" ca="1" si="33"/>
        <v>0</v>
      </c>
      <c r="AF36" s="56">
        <f t="shared" ca="1" si="18"/>
        <v>0</v>
      </c>
      <c r="AG36" s="56">
        <f t="shared" ca="1" si="29"/>
        <v>0</v>
      </c>
      <c r="AH36" s="56">
        <f t="shared" ca="1" si="19"/>
        <v>0</v>
      </c>
      <c r="AI36" s="56">
        <f t="shared" ca="1" si="5"/>
        <v>1666630</v>
      </c>
      <c r="AJ36" s="56">
        <f ca="1">IF(N37=1,AI35*G12*20/36000+AI36*G12*10/36000,IF(N37=0,IF(N36=0,0,AI36*G12*Q12/36000+AI35*G12*20/36000+AI36*G12*10/36000)))</f>
        <v>0</v>
      </c>
      <c r="AK36" s="56">
        <f ca="1">IF(N37=1,AI35*G12*20/36000+AI36*G12*10/36000,IF(N37=0,IF(N36=0,0,AI36*G12*Q12/36000+AI35*G12*20/36000+AI36*G12*10/36000)))</f>
        <v>0</v>
      </c>
      <c r="AL36" s="57">
        <f t="shared" ca="1" si="20"/>
        <v>13</v>
      </c>
      <c r="AM36" s="57">
        <f t="shared" ca="1" si="6"/>
        <v>1</v>
      </c>
      <c r="AN36" s="51">
        <f t="shared" ca="1" si="21"/>
        <v>2024</v>
      </c>
      <c r="AO36" s="51">
        <f t="shared" ca="1" si="7"/>
        <v>2025</v>
      </c>
      <c r="AP36" s="51">
        <f t="shared" ca="1" si="8"/>
        <v>1</v>
      </c>
      <c r="AQ36" s="51">
        <f t="shared" ca="1" si="9"/>
        <v>30</v>
      </c>
      <c r="AR36" s="51">
        <f t="shared" si="10"/>
        <v>20</v>
      </c>
      <c r="AS36" s="51">
        <f t="shared" ca="1" si="22"/>
        <v>30</v>
      </c>
      <c r="AT36" s="52"/>
      <c r="AU36" s="52"/>
      <c r="AV36" s="52"/>
      <c r="AW36" s="52"/>
      <c r="AX36" s="52"/>
      <c r="AY36" s="51">
        <f t="shared" ca="1" si="23"/>
        <v>1</v>
      </c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1"/>
        <v>13</v>
      </c>
      <c r="B37" s="268" t="str">
        <f t="shared" ca="1" si="12"/>
        <v>ИТОГО</v>
      </c>
      <c r="C37" s="401"/>
      <c r="D37" s="443">
        <f ca="1">IF(N37=0,IF(N36=1,D25+D26+D27+D28+D29+D30+D31+D32+D33+D34+D35+D36," "),IF(N37=0," ",IF(N38=1,D25,IF(N38=0,D10-D25*(M14-1)," "))))</f>
        <v>20000000</v>
      </c>
      <c r="E37" s="443"/>
      <c r="F37" s="84">
        <f ca="1">IF(N37=0,IF(N36=1,F25+F26+F27+F28+F29+F30+F31+F32+F33+F34+F35+F36," "),IF(M1=1,P37,IF(M1=2,Q37," ")))</f>
        <v>9940260</v>
      </c>
      <c r="G37" s="84">
        <v>0</v>
      </c>
      <c r="H37" s="84">
        <f t="shared" ca="1" si="13"/>
        <v>29940260</v>
      </c>
      <c r="I37" s="84">
        <f t="shared" ca="1" si="30"/>
        <v>0</v>
      </c>
      <c r="J37" s="84">
        <f t="shared" ca="1" si="31"/>
        <v>0</v>
      </c>
      <c r="K37" s="84">
        <v>0</v>
      </c>
      <c r="L37" s="84" t="str">
        <f t="shared" ca="1" si="32"/>
        <v xml:space="preserve"> </v>
      </c>
      <c r="M37" s="51">
        <f t="shared" si="14"/>
        <v>13</v>
      </c>
      <c r="N37" s="51">
        <f ca="1">IF(M1=1,IF(M14&gt;12,1,0),IF(M1=2,IF(M14&gt;12,1,0),0))</f>
        <v>0</v>
      </c>
      <c r="O37" s="51">
        <f t="shared" ca="1" si="0"/>
        <v>20</v>
      </c>
      <c r="P37" s="56">
        <f t="shared" ca="1" si="1"/>
        <v>0</v>
      </c>
      <c r="Q37" s="56">
        <f t="shared" ca="1" si="2"/>
        <v>0</v>
      </c>
      <c r="R37" s="56">
        <f t="shared" ca="1" si="15"/>
        <v>0</v>
      </c>
      <c r="S37" s="56">
        <f t="shared" ca="1" si="24"/>
        <v>20000000</v>
      </c>
      <c r="T37" s="56">
        <f t="shared" ca="1" si="25"/>
        <v>20000000</v>
      </c>
      <c r="U37" s="56">
        <f ca="1">IF(N38=1,R36*D$11*20/36000+R37*D$11*10/36000,IF(N38=0,IF(N37=0,0,IF(D$16&gt;20,R36*D$11*20/36000+R37*D$11*(Q$12-20)/36000,R37*D$11*Q$12/36000))))</f>
        <v>0</v>
      </c>
      <c r="V37" s="56">
        <f ca="1">IF(N38=1,R36*D$11*20/36000+R37*D$11*10/36000,IF(N38=0,IF(N37=0,0,IF(D$16&gt;20,R36*D$11*20/36000+R37*D$11*(Q$12-20)/36000,R37*D$11*Q$12/36000))))</f>
        <v>0</v>
      </c>
      <c r="W37" s="56">
        <f t="shared" ca="1" si="26"/>
        <v>0</v>
      </c>
      <c r="X37" s="56">
        <f t="shared" ca="1" si="27"/>
        <v>0</v>
      </c>
      <c r="Y37" s="56">
        <f t="shared" ca="1" si="16"/>
        <v>0</v>
      </c>
      <c r="Z37" s="56">
        <f ca="1">IF(N38=1,Y36*D$11*20/36000+Y37*D$11*10/36000,IF(N38=0,IF(N37=0,0,IF(D$16&gt;20,Y36*D$11*20/36000+Y37*D$11*(Q$12-20)/36000,Y37*D$11*Q$12/36000))))</f>
        <v>0</v>
      </c>
      <c r="AA37" s="56">
        <f t="shared" ca="1" si="17"/>
        <v>0</v>
      </c>
      <c r="AB37" s="56">
        <f ca="1">IF(R38=0,R37*Q12,(R36*20+R37*10))</f>
        <v>0</v>
      </c>
      <c r="AC37" s="56">
        <f t="shared" ca="1" si="3"/>
        <v>0</v>
      </c>
      <c r="AD37" s="56">
        <f t="shared" ca="1" si="4"/>
        <v>0</v>
      </c>
      <c r="AE37" s="56">
        <f t="shared" ca="1" si="33"/>
        <v>0</v>
      </c>
      <c r="AF37" s="56">
        <f t="shared" ca="1" si="18"/>
        <v>0</v>
      </c>
      <c r="AG37" s="56">
        <f t="shared" ca="1" si="29"/>
        <v>0</v>
      </c>
      <c r="AH37" s="56">
        <f t="shared" ca="1" si="19"/>
        <v>0</v>
      </c>
      <c r="AI37" s="56">
        <f t="shared" ca="1" si="5"/>
        <v>0</v>
      </c>
      <c r="AJ37" s="56">
        <f ca="1">IF(N38=1,AI36*G12*20/36000+AI37*G12*10/36000,IF(N38=0,IF(N37=0,0,AI37*G12*Q12/36000)))</f>
        <v>0</v>
      </c>
      <c r="AK37" s="56">
        <f ca="1">IF(N38=1,AI36*G12*20/36000+AI37*G12*10/36000,IF(N38=0,IF(N37=0,0,AI37*G12*Q12/36000)))</f>
        <v>0</v>
      </c>
      <c r="AL37" s="57">
        <f t="shared" ca="1" si="20"/>
        <v>0</v>
      </c>
      <c r="AM37" s="57">
        <f t="shared" ca="1" si="6"/>
        <v>0</v>
      </c>
      <c r="AN37" s="51">
        <f t="shared" ca="1" si="21"/>
        <v>0</v>
      </c>
      <c r="AO37" s="51">
        <f t="shared" ca="1" si="7"/>
        <v>0</v>
      </c>
      <c r="AP37" s="51">
        <f t="shared" ca="1" si="8"/>
        <v>0</v>
      </c>
      <c r="AQ37" s="51">
        <f t="shared" ca="1" si="9"/>
        <v>30</v>
      </c>
      <c r="AR37" s="51">
        <f t="shared" si="10"/>
        <v>20</v>
      </c>
      <c r="AS37" s="51">
        <f t="shared" ca="1" si="22"/>
        <v>30</v>
      </c>
      <c r="AT37" s="52"/>
      <c r="AU37" s="52"/>
      <c r="AV37" s="52"/>
      <c r="AW37" s="52"/>
      <c r="AX37" s="52"/>
      <c r="AY37" s="51">
        <f t="shared" ca="1" si="23"/>
        <v>0</v>
      </c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1"/>
        <v>14</v>
      </c>
      <c r="B38" s="268" t="str">
        <f t="shared" ca="1" si="12"/>
        <v xml:space="preserve"> </v>
      </c>
      <c r="C38" s="401"/>
      <c r="D38" s="443" t="str">
        <f ca="1">IF(N38=0,IF(N37=1,D25+D26+D27+D28+D29+D30+D31+D32+D33+D34+D35+D36+D37," "),IF(N38=0," ",IF(N39=1,D25,IF(N39=0,D10-D25*(M14-1)," "))))</f>
        <v xml:space="preserve"> </v>
      </c>
      <c r="E38" s="443"/>
      <c r="F38" s="84" t="str">
        <f ca="1">IF(N38=0,IF(N37=1,F25+F26+F27+F28+F29+F30+F31+F32+F33+F34+F35+F36+F37," "),IF(M1=1,P38,IF(M1=2,Q38," ")))</f>
        <v xml:space="preserve"> </v>
      </c>
      <c r="G38" s="84">
        <v>0</v>
      </c>
      <c r="H38" s="84" t="str">
        <f t="shared" ca="1" si="13"/>
        <v xml:space="preserve"> </v>
      </c>
      <c r="I38" s="84">
        <f t="shared" ca="1" si="30"/>
        <v>0</v>
      </c>
      <c r="J38" s="84">
        <f t="shared" ca="1" si="31"/>
        <v>0</v>
      </c>
      <c r="K38" s="84">
        <v>0</v>
      </c>
      <c r="L38" s="84" t="str">
        <f t="shared" ca="1" si="32"/>
        <v xml:space="preserve"> </v>
      </c>
      <c r="M38" s="51">
        <f t="shared" si="14"/>
        <v>14</v>
      </c>
      <c r="N38" s="51">
        <f ca="1">IF(M1=1,IF(M14&gt;13,1,0),IF(M1=2,IF(M14&gt;13,1,0),0))</f>
        <v>0</v>
      </c>
      <c r="O38" s="51">
        <f t="shared" ca="1" si="0"/>
        <v>20</v>
      </c>
      <c r="P38" s="56">
        <f t="shared" ca="1" si="1"/>
        <v>0</v>
      </c>
      <c r="Q38" s="56">
        <f t="shared" ca="1" si="2"/>
        <v>0</v>
      </c>
      <c r="R38" s="56">
        <f t="shared" ca="1" si="15"/>
        <v>0</v>
      </c>
      <c r="S38" s="56" t="str">
        <f t="shared" ca="1" si="24"/>
        <v xml:space="preserve"> </v>
      </c>
      <c r="T38" s="56" t="e">
        <f t="shared" ca="1" si="25"/>
        <v>#VALUE!</v>
      </c>
      <c r="U38" s="56">
        <f ca="1">IF(N39=1,R37*D11*20/36000+R38*D11*10/36000,IF(N39=0,IF(N38=0,0,R38*D11*Q12/36000+R37*D11*20/36000+R38*D11*10/36000)))</f>
        <v>0</v>
      </c>
      <c r="V38" s="56">
        <f ca="1">IF(N39=1,R37*D11*20/36000+R38*D11*10/36000,IF(N39=0,IF(N38=0,0,R38*D11*Q12/36000+R37*D11*20/36000+R38*D11*10/36000)))</f>
        <v>0</v>
      </c>
      <c r="W38" s="56">
        <f t="shared" ca="1" si="26"/>
        <v>0</v>
      </c>
      <c r="X38" s="56">
        <f t="shared" ca="1" si="27"/>
        <v>0</v>
      </c>
      <c r="Y38" s="56">
        <f t="shared" ca="1" si="16"/>
        <v>0</v>
      </c>
      <c r="Z38" s="56">
        <f t="shared" ca="1" si="28"/>
        <v>0</v>
      </c>
      <c r="AA38" s="56">
        <f t="shared" ca="1" si="17"/>
        <v>0</v>
      </c>
      <c r="AB38" s="56">
        <f ca="1">IF(R39=0,R38*Q12,(R37*20+R38*10))</f>
        <v>0</v>
      </c>
      <c r="AC38" s="56">
        <f t="shared" ca="1" si="3"/>
        <v>0</v>
      </c>
      <c r="AD38" s="56">
        <f t="shared" ca="1" si="4"/>
        <v>0</v>
      </c>
      <c r="AE38" s="56">
        <f t="shared" ca="1" si="33"/>
        <v>0</v>
      </c>
      <c r="AF38" s="56">
        <f t="shared" ca="1" si="18"/>
        <v>0</v>
      </c>
      <c r="AG38" s="56">
        <f t="shared" ca="1" si="29"/>
        <v>0</v>
      </c>
      <c r="AH38" s="56">
        <f t="shared" ca="1" si="19"/>
        <v>0</v>
      </c>
      <c r="AI38" s="56">
        <f t="shared" ca="1" si="5"/>
        <v>0</v>
      </c>
      <c r="AJ38" s="56">
        <f ca="1">IF(N39=1,AI37*G12*20/36000+AI38*G12*10/36000,IF(N39=0,IF(N38=0,0,AI38*G12*Q12/36000+AI37*G12*20/36000+AI38*G12*10/36000)))</f>
        <v>0</v>
      </c>
      <c r="AK38" s="56">
        <f ca="1">IF(N39=1,AI37*G12*20/36000+AI38*G12*10/36000,IF(N39=0,IF(N38=0,0,AI38*G12*Q12/36000+AI37*G12*20/36000+AI38*G12*10/36000)))</f>
        <v>0</v>
      </c>
      <c r="AL38" s="57">
        <f t="shared" ca="1" si="20"/>
        <v>0</v>
      </c>
      <c r="AM38" s="57">
        <f t="shared" ca="1" si="6"/>
        <v>0</v>
      </c>
      <c r="AN38" s="51">
        <f t="shared" ca="1" si="21"/>
        <v>0</v>
      </c>
      <c r="AO38" s="51">
        <f t="shared" ca="1" si="7"/>
        <v>0</v>
      </c>
      <c r="AP38" s="51">
        <f t="shared" ca="1" si="8"/>
        <v>0</v>
      </c>
      <c r="AQ38" s="51">
        <f t="shared" ca="1" si="9"/>
        <v>30</v>
      </c>
      <c r="AR38" s="51">
        <f t="shared" si="10"/>
        <v>20</v>
      </c>
      <c r="AS38" s="51">
        <f t="shared" ca="1" si="22"/>
        <v>30</v>
      </c>
      <c r="AT38" s="52"/>
      <c r="AU38" s="52"/>
      <c r="AV38" s="52"/>
      <c r="AW38" s="52"/>
      <c r="AX38" s="52"/>
      <c r="AY38" s="51">
        <f t="shared" ca="1" si="23"/>
        <v>0</v>
      </c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1"/>
        <v>15</v>
      </c>
      <c r="B39" s="268" t="str">
        <f t="shared" ca="1" si="12"/>
        <v xml:space="preserve"> </v>
      </c>
      <c r="C39" s="401"/>
      <c r="D39" s="443" t="str">
        <f ca="1">IF(N39=0,IF(N38=1,D25+D26+D27+D28+D29+D30+D31+D32+D33+D34+D35+D36+D37+D38," "),IF(N39=0," ",IF(N40=1,D25,IF(N40=0,D10-D25*(M14-1)," "))))</f>
        <v xml:space="preserve"> </v>
      </c>
      <c r="E39" s="443"/>
      <c r="F39" s="84" t="str">
        <f ca="1">IF(N39=0,IF(N38=1,F25+F26+F27+F28+F29+F30+F31+F32+F33+F34+F35+F36+F37+F38," "),IF(M1=1,P39,IF(M1=2,Q39," ")))</f>
        <v xml:space="preserve"> </v>
      </c>
      <c r="G39" s="84">
        <v>0</v>
      </c>
      <c r="H39" s="84" t="str">
        <f t="shared" ca="1" si="13"/>
        <v xml:space="preserve"> </v>
      </c>
      <c r="I39" s="84">
        <f t="shared" ca="1" si="30"/>
        <v>0</v>
      </c>
      <c r="J39" s="84">
        <f t="shared" ca="1" si="31"/>
        <v>0</v>
      </c>
      <c r="K39" s="84">
        <v>0</v>
      </c>
      <c r="L39" s="84" t="str">
        <f t="shared" ca="1" si="32"/>
        <v xml:space="preserve"> </v>
      </c>
      <c r="M39" s="51">
        <f t="shared" si="14"/>
        <v>15</v>
      </c>
      <c r="N39" s="51">
        <f ca="1">IF(M1=1,IF(M14&gt;14,1,0),IF(M1=2,IF(M14&gt;14,1,0),0))</f>
        <v>0</v>
      </c>
      <c r="O39" s="51">
        <f t="shared" ca="1" si="0"/>
        <v>20</v>
      </c>
      <c r="P39" s="56">
        <f t="shared" ca="1" si="1"/>
        <v>0</v>
      </c>
      <c r="Q39" s="56">
        <f t="shared" ca="1" si="2"/>
        <v>0</v>
      </c>
      <c r="R39" s="56">
        <f t="shared" ca="1" si="15"/>
        <v>0</v>
      </c>
      <c r="S39" s="56" t="str">
        <f t="shared" ca="1" si="24"/>
        <v xml:space="preserve"> </v>
      </c>
      <c r="T39" s="56" t="e">
        <f t="shared" ca="1" si="25"/>
        <v>#VALUE!</v>
      </c>
      <c r="U39" s="56">
        <f ca="1">IF(N40=1,R38*D11*20/36000+R39*D11*10/36000,IF(N40=0,IF(N39=0,0,R39*D11*Q12/36000+R38*D11*20/36000+R39*D11*10/36000)))</f>
        <v>0</v>
      </c>
      <c r="V39" s="56">
        <f ca="1">IF(N40=1,R38*D11*20/36000+R39*D11*10/36000,IF(N40=0,IF(N39=0,0,R39*D11*Q12/36000+R38*D11*20/36000+R39*D11*10/36000)))</f>
        <v>0</v>
      </c>
      <c r="W39" s="56">
        <f t="shared" ca="1" si="26"/>
        <v>0</v>
      </c>
      <c r="X39" s="56">
        <f t="shared" ca="1" si="27"/>
        <v>0</v>
      </c>
      <c r="Y39" s="56">
        <f t="shared" ca="1" si="16"/>
        <v>0</v>
      </c>
      <c r="Z39" s="56">
        <f t="shared" ca="1" si="28"/>
        <v>0</v>
      </c>
      <c r="AA39" s="56">
        <f t="shared" ca="1" si="17"/>
        <v>0</v>
      </c>
      <c r="AB39" s="56">
        <f ca="1">IF(R40=0,R39*Q12,(R38*20+R39*10))</f>
        <v>0</v>
      </c>
      <c r="AC39" s="56">
        <f t="shared" ca="1" si="3"/>
        <v>0</v>
      </c>
      <c r="AD39" s="56">
        <f t="shared" ca="1" si="4"/>
        <v>0</v>
      </c>
      <c r="AE39" s="56">
        <f t="shared" ca="1" si="33"/>
        <v>0</v>
      </c>
      <c r="AF39" s="56">
        <f t="shared" ca="1" si="18"/>
        <v>0</v>
      </c>
      <c r="AG39" s="56">
        <f t="shared" ca="1" si="29"/>
        <v>0</v>
      </c>
      <c r="AH39" s="56">
        <f t="shared" ca="1" si="19"/>
        <v>0</v>
      </c>
      <c r="AI39" s="56">
        <f t="shared" ca="1" si="5"/>
        <v>0</v>
      </c>
      <c r="AJ39" s="56">
        <f ca="1">IF(N40=1,AI38*G12*20/36000+AI39*G12*10/36000,IF(N40=0,IF(N39=0,0,AI39*G12*Q12/36000+AI38*G12*20/36000+AI39*G12*10/36000)))</f>
        <v>0</v>
      </c>
      <c r="AK39" s="56">
        <f ca="1">IF(N40=1,AI38*G12*20/36000+AI39*G12*10/36000,IF(N40=0,IF(N39=0,0,AI39*G12*Q12/36000+AI38*G12*20/36000+AI39*G12*10/36000)))</f>
        <v>0</v>
      </c>
      <c r="AL39" s="57">
        <f t="shared" ca="1" si="20"/>
        <v>0</v>
      </c>
      <c r="AM39" s="57">
        <f t="shared" ca="1" si="6"/>
        <v>0</v>
      </c>
      <c r="AN39" s="51">
        <f t="shared" ca="1" si="21"/>
        <v>0</v>
      </c>
      <c r="AO39" s="51">
        <f t="shared" ca="1" si="7"/>
        <v>0</v>
      </c>
      <c r="AP39" s="51">
        <f t="shared" ca="1" si="8"/>
        <v>0</v>
      </c>
      <c r="AQ39" s="51">
        <f t="shared" ca="1" si="9"/>
        <v>30</v>
      </c>
      <c r="AR39" s="51">
        <f t="shared" si="10"/>
        <v>20</v>
      </c>
      <c r="AS39" s="51">
        <f t="shared" ca="1" si="22"/>
        <v>30</v>
      </c>
      <c r="AT39" s="52"/>
      <c r="AU39" s="52"/>
      <c r="AV39" s="52"/>
      <c r="AW39" s="52"/>
      <c r="AX39" s="52"/>
      <c r="AY39" s="51">
        <f t="shared" ca="1" si="23"/>
        <v>0</v>
      </c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1"/>
        <v>16</v>
      </c>
      <c r="B40" s="268" t="str">
        <f t="shared" ca="1" si="12"/>
        <v xml:space="preserve"> </v>
      </c>
      <c r="C40" s="401"/>
      <c r="D40" s="443" t="str">
        <f ca="1">IF(N40=0,IF(N39=1,D25+D26+D27+D28+D29+D30+D31+D32+D33+D34+D35+D36+D37+D38+D39," "),IF(N40=0," ",IF(N41=1,D25,IF(N41=0,D10-D25*(M14-1)," "))))</f>
        <v xml:space="preserve"> </v>
      </c>
      <c r="E40" s="443"/>
      <c r="F40" s="84" t="str">
        <f ca="1">IF(N40=0,IF(N39=1,F25+F26+F27+F28+F29+F30+F31+F32+F33+F34+F35+F36+F37+F38+F39," "),IF(M1=1,P40,IF(M1=2,Q40," ")))</f>
        <v xml:space="preserve"> </v>
      </c>
      <c r="G40" s="84">
        <v>0</v>
      </c>
      <c r="H40" s="84" t="str">
        <f t="shared" ca="1" si="13"/>
        <v xml:space="preserve"> </v>
      </c>
      <c r="I40" s="84">
        <f t="shared" ca="1" si="30"/>
        <v>0</v>
      </c>
      <c r="J40" s="84">
        <f t="shared" ca="1" si="31"/>
        <v>0</v>
      </c>
      <c r="K40" s="84">
        <v>0</v>
      </c>
      <c r="L40" s="84" t="str">
        <f t="shared" ca="1" si="32"/>
        <v xml:space="preserve"> </v>
      </c>
      <c r="M40" s="51">
        <f t="shared" si="14"/>
        <v>16</v>
      </c>
      <c r="N40" s="51">
        <f ca="1">IF(M1=1,IF(M14&gt;15,1,0),IF(M1=2,IF(M14&gt;15,1,0),0))</f>
        <v>0</v>
      </c>
      <c r="O40" s="51">
        <f t="shared" ca="1" si="0"/>
        <v>20</v>
      </c>
      <c r="P40" s="56">
        <f t="shared" ca="1" si="1"/>
        <v>0</v>
      </c>
      <c r="Q40" s="56">
        <f t="shared" ca="1" si="2"/>
        <v>0</v>
      </c>
      <c r="R40" s="56">
        <f t="shared" ca="1" si="15"/>
        <v>0</v>
      </c>
      <c r="S40" s="56" t="str">
        <f t="shared" ca="1" si="24"/>
        <v xml:space="preserve"> </v>
      </c>
      <c r="T40" s="56" t="e">
        <f t="shared" ca="1" si="25"/>
        <v>#VALUE!</v>
      </c>
      <c r="U40" s="56">
        <f ca="1">IF(N41=1,R39*D11*20/36000+R40*D11*10/36000,IF(N41=0,IF(N40=0,0,R40*D11*Q12/36000+R39*D11*20/36000+R40*D11*10/36000)))</f>
        <v>0</v>
      </c>
      <c r="V40" s="56">
        <f ca="1">IF(N41=1,R39*D11*20/36000+R40*D11*10/36000,IF(N41=0,IF(N40=0,0,R40*D11*Q12/36000+R39*D11*20/36000+R40*D11*10/36000)))</f>
        <v>0</v>
      </c>
      <c r="W40" s="56">
        <f t="shared" ca="1" si="26"/>
        <v>0</v>
      </c>
      <c r="X40" s="56">
        <f t="shared" ca="1" si="27"/>
        <v>0</v>
      </c>
      <c r="Y40" s="56">
        <f t="shared" ca="1" si="16"/>
        <v>0</v>
      </c>
      <c r="Z40" s="56">
        <f t="shared" ca="1" si="28"/>
        <v>0</v>
      </c>
      <c r="AA40" s="56">
        <f t="shared" ca="1" si="17"/>
        <v>0</v>
      </c>
      <c r="AB40" s="56">
        <f ca="1">IF(R41=0,R40*Q12,(R39*20+R40*10))</f>
        <v>0</v>
      </c>
      <c r="AC40" s="56">
        <f t="shared" ca="1" si="3"/>
        <v>0</v>
      </c>
      <c r="AD40" s="56">
        <f t="shared" ca="1" si="4"/>
        <v>0</v>
      </c>
      <c r="AE40" s="56">
        <f t="shared" ca="1" si="33"/>
        <v>0</v>
      </c>
      <c r="AF40" s="56">
        <f t="shared" ca="1" si="18"/>
        <v>0</v>
      </c>
      <c r="AG40" s="56">
        <f t="shared" ca="1" si="29"/>
        <v>0</v>
      </c>
      <c r="AH40" s="56">
        <f t="shared" ca="1" si="19"/>
        <v>0</v>
      </c>
      <c r="AI40" s="56">
        <f t="shared" ca="1" si="5"/>
        <v>0</v>
      </c>
      <c r="AJ40" s="56">
        <f ca="1">IF(N41=1,AI39*G12*20/36000+AI40*G12*10/36000,IF(N41=0,IF(N40=0,0,AI40*G12*Q12/36000+AI39*G12*20/36000+AI40*G12*10/36000)))</f>
        <v>0</v>
      </c>
      <c r="AK40" s="56">
        <f ca="1">IF(N41=1,AI39*G12*20/36000+AI40*G12*10/36000,IF(N41=0,IF(N40=0,0,AI40*G12*Q12/36000+AI39*G12*20/36000+AI40*G12*10/36000)))</f>
        <v>0</v>
      </c>
      <c r="AL40" s="57">
        <f t="shared" ca="1" si="20"/>
        <v>0</v>
      </c>
      <c r="AM40" s="57">
        <f t="shared" ca="1" si="6"/>
        <v>0</v>
      </c>
      <c r="AN40" s="51">
        <f t="shared" ca="1" si="21"/>
        <v>0</v>
      </c>
      <c r="AO40" s="51">
        <f t="shared" ca="1" si="7"/>
        <v>0</v>
      </c>
      <c r="AP40" s="51">
        <f t="shared" ca="1" si="8"/>
        <v>0</v>
      </c>
      <c r="AQ40" s="51">
        <f t="shared" ca="1" si="9"/>
        <v>30</v>
      </c>
      <c r="AR40" s="51">
        <f t="shared" si="10"/>
        <v>20</v>
      </c>
      <c r="AS40" s="51">
        <f t="shared" ca="1" si="22"/>
        <v>30</v>
      </c>
      <c r="AT40" s="52"/>
      <c r="AU40" s="52"/>
      <c r="AV40" s="52"/>
      <c r="AW40" s="52"/>
      <c r="AX40" s="52"/>
      <c r="AY40" s="51">
        <f t="shared" ca="1" si="23"/>
        <v>0</v>
      </c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1"/>
        <v>17</v>
      </c>
      <c r="B41" s="268" t="str">
        <f t="shared" ca="1" si="12"/>
        <v xml:space="preserve"> </v>
      </c>
      <c r="C41" s="401"/>
      <c r="D41" s="443" t="str">
        <f ca="1">IF(N41=0,IF(N40=1,D25+D26+D27+D28+D29+D30+D31+D32+D33+D34+D35+D36+D37+D38+D39+D40," "),IF(N41=0," ",IF(N42=1,D25,IF(N42=0,D10-D25*(M14-1)," "))))</f>
        <v xml:space="preserve"> </v>
      </c>
      <c r="E41" s="443"/>
      <c r="F41" s="84" t="str">
        <f ca="1">IF(N41=0,IF(N40=1,F25+F26+F27+F28+F29+F30+F31+F32+F33+F34+F36+F35+F37+F38+F39+F40," "),IF(M1=1,P41,IF(M1=2,Q41," ")))</f>
        <v xml:space="preserve"> </v>
      </c>
      <c r="G41" s="84">
        <v>0</v>
      </c>
      <c r="H41" s="84" t="str">
        <f t="shared" ca="1" si="13"/>
        <v xml:space="preserve"> </v>
      </c>
      <c r="I41" s="84">
        <f t="shared" ca="1" si="30"/>
        <v>0</v>
      </c>
      <c r="J41" s="84">
        <f t="shared" ca="1" si="31"/>
        <v>0</v>
      </c>
      <c r="K41" s="84">
        <v>0</v>
      </c>
      <c r="L41" s="84" t="str">
        <f t="shared" ca="1" si="32"/>
        <v xml:space="preserve"> </v>
      </c>
      <c r="M41" s="51">
        <f t="shared" si="14"/>
        <v>17</v>
      </c>
      <c r="N41" s="51">
        <f ca="1">IF(M1=1,IF(M14&gt;16,1,0),IF(M1=2,IF(M14&gt;16,1,0),0))</f>
        <v>0</v>
      </c>
      <c r="O41" s="51">
        <f t="shared" ca="1" si="0"/>
        <v>20</v>
      </c>
      <c r="P41" s="56">
        <f t="shared" ca="1" si="1"/>
        <v>0</v>
      </c>
      <c r="Q41" s="56">
        <f t="shared" ca="1" si="2"/>
        <v>0</v>
      </c>
      <c r="R41" s="56">
        <f t="shared" ca="1" si="15"/>
        <v>0</v>
      </c>
      <c r="S41" s="56" t="str">
        <f t="shared" ca="1" si="24"/>
        <v xml:space="preserve"> </v>
      </c>
      <c r="T41" s="56" t="e">
        <f t="shared" ca="1" si="25"/>
        <v>#VALUE!</v>
      </c>
      <c r="U41" s="56">
        <f ca="1">IF(N42=1,R40*D11*20/36000+R41*D11*10/36000,IF(N42=0,IF(N41=0,0,R41*D11*Q12/36000+R40*D11*20/36000+R41*D11*10/36000)))</f>
        <v>0</v>
      </c>
      <c r="V41" s="56">
        <f ca="1">IF(N42=1,R40*D11*20/36000+R41*D11*10/36000,IF(N42=0,IF(N41=0,0,R41*D11*Q12/36000+R40*D11*20/36000+R41*D11*10/36000)))</f>
        <v>0</v>
      </c>
      <c r="W41" s="56">
        <f t="shared" ca="1" si="26"/>
        <v>0</v>
      </c>
      <c r="X41" s="56">
        <f t="shared" ca="1" si="27"/>
        <v>0</v>
      </c>
      <c r="Y41" s="56">
        <f t="shared" ca="1" si="16"/>
        <v>0</v>
      </c>
      <c r="Z41" s="56">
        <f t="shared" ca="1" si="28"/>
        <v>0</v>
      </c>
      <c r="AA41" s="56">
        <f t="shared" ca="1" si="17"/>
        <v>0</v>
      </c>
      <c r="AB41" s="56">
        <f ca="1">IF(R42=0,R41*Q12,(R40*20+R41*10))</f>
        <v>0</v>
      </c>
      <c r="AC41" s="56">
        <f t="shared" ca="1" si="3"/>
        <v>0</v>
      </c>
      <c r="AD41" s="56">
        <f t="shared" ca="1" si="4"/>
        <v>0</v>
      </c>
      <c r="AE41" s="56">
        <f t="shared" ca="1" si="33"/>
        <v>0</v>
      </c>
      <c r="AF41" s="56">
        <f t="shared" ca="1" si="18"/>
        <v>0</v>
      </c>
      <c r="AG41" s="56">
        <f t="shared" ca="1" si="29"/>
        <v>0</v>
      </c>
      <c r="AH41" s="56">
        <f t="shared" ca="1" si="19"/>
        <v>0</v>
      </c>
      <c r="AI41" s="56">
        <f t="shared" ca="1" si="5"/>
        <v>0</v>
      </c>
      <c r="AJ41" s="56">
        <f ca="1">IF(N42=1,AI40*G12*20/36000+AI41*G12*10/36000,IF(N42=0,IF(N41=0,0,AI41*G12*Q12/36000+AI40*G12*20/36000+AI41*G12*10/36000)))</f>
        <v>0</v>
      </c>
      <c r="AK41" s="56">
        <f ca="1">IF(N42=1,AI40*G12*20/36000+AI41*G12*10/36000,IF(N42=0,IF(N41=0,0,AI41*G12*Q12/36000+AI40*G12*20/36000+AI41*G12*10/36000)))</f>
        <v>0</v>
      </c>
      <c r="AL41" s="57">
        <f t="shared" ca="1" si="20"/>
        <v>0</v>
      </c>
      <c r="AM41" s="57">
        <f t="shared" ca="1" si="6"/>
        <v>0</v>
      </c>
      <c r="AN41" s="51">
        <f t="shared" ca="1" si="21"/>
        <v>0</v>
      </c>
      <c r="AO41" s="51">
        <f t="shared" ca="1" si="7"/>
        <v>0</v>
      </c>
      <c r="AP41" s="51">
        <f t="shared" ca="1" si="8"/>
        <v>0</v>
      </c>
      <c r="AQ41" s="51">
        <f t="shared" ca="1" si="9"/>
        <v>30</v>
      </c>
      <c r="AR41" s="51">
        <f t="shared" si="10"/>
        <v>20</v>
      </c>
      <c r="AS41" s="51">
        <f t="shared" ca="1" si="22"/>
        <v>30</v>
      </c>
      <c r="AT41" s="52"/>
      <c r="AU41" s="52"/>
      <c r="AV41" s="52"/>
      <c r="AW41" s="52"/>
      <c r="AX41" s="52"/>
      <c r="AY41" s="51">
        <f t="shared" ca="1" si="23"/>
        <v>0</v>
      </c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1"/>
        <v>18</v>
      </c>
      <c r="B42" s="268" t="str">
        <f t="shared" ca="1" si="12"/>
        <v xml:space="preserve"> </v>
      </c>
      <c r="C42" s="401"/>
      <c r="D42" s="443" t="str">
        <f ca="1">IF(N42=0,IF(N41=1,D25+D26+D27+D28+D29+D30+D31+D32+D33+D34+D35+D36+D37+D38+D39+D40+D41," "),IF(N42=0," ",IF(N43=1,D25,IF(N43=0,D10-D25*(M14-1)," "))))</f>
        <v xml:space="preserve"> </v>
      </c>
      <c r="E42" s="443"/>
      <c r="F42" s="84" t="str">
        <f ca="1">IF(N42=0,IF(N41=1,F25+F26+F27+F28+F29+F30+F31+F32+F33+F34+F35+F36+F37+F38+F39+F40+F41," "),IF(M1=1,P42,IF(M1=2,Q42," ")))</f>
        <v xml:space="preserve"> </v>
      </c>
      <c r="G42" s="84">
        <v>0</v>
      </c>
      <c r="H42" s="84" t="str">
        <f t="shared" ca="1" si="13"/>
        <v xml:space="preserve"> </v>
      </c>
      <c r="I42" s="84">
        <f t="shared" ca="1" si="30"/>
        <v>0</v>
      </c>
      <c r="J42" s="84">
        <f t="shared" ca="1" si="31"/>
        <v>0</v>
      </c>
      <c r="K42" s="84">
        <v>0</v>
      </c>
      <c r="L42" s="84" t="str">
        <f t="shared" ca="1" si="32"/>
        <v xml:space="preserve"> </v>
      </c>
      <c r="M42" s="51">
        <f t="shared" si="14"/>
        <v>18</v>
      </c>
      <c r="N42" s="51">
        <f ca="1">IF(M1=1,IF(M14&gt;17,1,0),IF(M1=2,IF(M14&gt;17,1,0),0))</f>
        <v>0</v>
      </c>
      <c r="O42" s="51">
        <f t="shared" ca="1" si="0"/>
        <v>20</v>
      </c>
      <c r="P42" s="56">
        <f t="shared" ca="1" si="1"/>
        <v>0</v>
      </c>
      <c r="Q42" s="56">
        <f t="shared" ca="1" si="2"/>
        <v>0</v>
      </c>
      <c r="R42" s="56">
        <f t="shared" ca="1" si="15"/>
        <v>0</v>
      </c>
      <c r="S42" s="56" t="str">
        <f t="shared" ca="1" si="24"/>
        <v xml:space="preserve"> </v>
      </c>
      <c r="T42" s="56" t="e">
        <f t="shared" ca="1" si="25"/>
        <v>#VALUE!</v>
      </c>
      <c r="U42" s="56">
        <f ca="1">IF(N43=1,R41*D11*20/36000+R42*D11*10/36000,IF(N43=0,IF(N42=0,0,R42*D11*Q12/36000+R41*D11*20/36000+R42*D11*10/36000)))</f>
        <v>0</v>
      </c>
      <c r="V42" s="56">
        <f ca="1">IF(N43=1,R41*D11*20/36000+R42*D11*10/36000,IF(N43=0,IF(N42=0,0,R42*D11*Q12/36000+R41*D11*20/36000+R42*D11*10/36000)))</f>
        <v>0</v>
      </c>
      <c r="W42" s="56">
        <f t="shared" ca="1" si="26"/>
        <v>0</v>
      </c>
      <c r="X42" s="56">
        <f t="shared" ca="1" si="27"/>
        <v>0</v>
      </c>
      <c r="Y42" s="56">
        <f t="shared" ca="1" si="16"/>
        <v>0</v>
      </c>
      <c r="Z42" s="56">
        <f t="shared" ca="1" si="28"/>
        <v>0</v>
      </c>
      <c r="AA42" s="56">
        <f t="shared" ca="1" si="17"/>
        <v>0</v>
      </c>
      <c r="AB42" s="56">
        <f ca="1">IF(R43=0,R42*Q12,(R41*20+R42*10))</f>
        <v>0</v>
      </c>
      <c r="AC42" s="56">
        <f t="shared" ca="1" si="3"/>
        <v>0</v>
      </c>
      <c r="AD42" s="56">
        <f t="shared" ca="1" si="4"/>
        <v>0</v>
      </c>
      <c r="AE42" s="56">
        <f t="shared" ca="1" si="33"/>
        <v>0</v>
      </c>
      <c r="AF42" s="56">
        <f t="shared" ca="1" si="18"/>
        <v>0</v>
      </c>
      <c r="AG42" s="56">
        <f t="shared" ca="1" si="29"/>
        <v>0</v>
      </c>
      <c r="AH42" s="56">
        <f t="shared" ca="1" si="19"/>
        <v>0</v>
      </c>
      <c r="AI42" s="56">
        <f t="shared" ca="1" si="5"/>
        <v>0</v>
      </c>
      <c r="AJ42" s="56">
        <f ca="1">IF(N43=1,AI41*G12*20/36000+AI42*G12*10/36000,IF(N43=0,IF(N42=0,0,AI42*G12*Q12/36000+AI41*G12*20/36000+AI42*G12*10/36000)))</f>
        <v>0</v>
      </c>
      <c r="AK42" s="56">
        <f ca="1">IF(N43=1,AI41*G12*20/36000+AI42*G12*10/36000,IF(N43=0,IF(N42=0,0,AI42*G12*Q12/36000+AI41*G12*20/36000+AI42*G12*10/36000)))</f>
        <v>0</v>
      </c>
      <c r="AL42" s="57">
        <f t="shared" ca="1" si="20"/>
        <v>0</v>
      </c>
      <c r="AM42" s="57">
        <f t="shared" ca="1" si="6"/>
        <v>0</v>
      </c>
      <c r="AN42" s="51">
        <f t="shared" ca="1" si="21"/>
        <v>0</v>
      </c>
      <c r="AO42" s="51">
        <f t="shared" ca="1" si="7"/>
        <v>0</v>
      </c>
      <c r="AP42" s="51">
        <f t="shared" ca="1" si="8"/>
        <v>0</v>
      </c>
      <c r="AQ42" s="51">
        <f t="shared" ca="1" si="9"/>
        <v>30</v>
      </c>
      <c r="AR42" s="51">
        <f t="shared" si="10"/>
        <v>20</v>
      </c>
      <c r="AS42" s="51">
        <f t="shared" ca="1" si="22"/>
        <v>30</v>
      </c>
      <c r="AT42" s="52"/>
      <c r="AU42" s="52"/>
      <c r="AV42" s="52"/>
      <c r="AW42" s="52"/>
      <c r="AX42" s="52"/>
      <c r="AY42" s="51">
        <f t="shared" ca="1" si="23"/>
        <v>0</v>
      </c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1"/>
        <v>19</v>
      </c>
      <c r="B43" s="268" t="str">
        <f t="shared" ca="1" si="12"/>
        <v xml:space="preserve"> </v>
      </c>
      <c r="C43" s="401"/>
      <c r="D43" s="443" t="str">
        <f ca="1">IF(N43=0,IF(N42=1,D25+D26+D27+D28+D29+D30+D31+D32+D33+D34+D35+D36+D37+D38+D39+D40+D41+D42," "),IF(N43=0," ",IF(N44=1,D25,IF(N44=0,D10-D25*(M14-1)," "))))</f>
        <v xml:space="preserve"> </v>
      </c>
      <c r="E43" s="443"/>
      <c r="F43" s="84" t="str">
        <f ca="1">IF(N43=0,IF(N42=1,F25+F26+F27+F28+F29+F30+F31+F32+F33+F34+F35+F36+F37+F38+F39+F40+F41+F42," "),IF(M1=1,P43,IF(M1=2,Q43," ")))</f>
        <v xml:space="preserve"> </v>
      </c>
      <c r="G43" s="84">
        <v>0</v>
      </c>
      <c r="H43" s="84" t="str">
        <f t="shared" ca="1" si="13"/>
        <v xml:space="preserve"> </v>
      </c>
      <c r="I43" s="84">
        <f t="shared" ca="1" si="30"/>
        <v>0</v>
      </c>
      <c r="J43" s="84">
        <f t="shared" ca="1" si="31"/>
        <v>0</v>
      </c>
      <c r="K43" s="84">
        <v>0</v>
      </c>
      <c r="L43" s="84" t="str">
        <f t="shared" ca="1" si="32"/>
        <v xml:space="preserve"> </v>
      </c>
      <c r="M43" s="51">
        <f t="shared" si="14"/>
        <v>19</v>
      </c>
      <c r="N43" s="51">
        <f ca="1">IF(M1=1,IF(M14&gt;18,1,0),IF(M1=2,IF(M14&gt;18,1,0),0))</f>
        <v>0</v>
      </c>
      <c r="O43" s="51">
        <f t="shared" ca="1" si="0"/>
        <v>20</v>
      </c>
      <c r="P43" s="56">
        <f t="shared" ca="1" si="1"/>
        <v>0</v>
      </c>
      <c r="Q43" s="56">
        <f t="shared" ca="1" si="2"/>
        <v>0</v>
      </c>
      <c r="R43" s="56">
        <f t="shared" ca="1" si="15"/>
        <v>0</v>
      </c>
      <c r="S43" s="56" t="str">
        <f t="shared" ca="1" si="24"/>
        <v xml:space="preserve"> </v>
      </c>
      <c r="T43" s="56" t="e">
        <f t="shared" ca="1" si="25"/>
        <v>#VALUE!</v>
      </c>
      <c r="U43" s="56">
        <f ca="1">IF(N44=1,R42*D$11*20/36000+R43*D$11*10/36000,IF(N44=0,IF(N43=0,0,R43*D$11*Q$12/36000)))</f>
        <v>0</v>
      </c>
      <c r="V43" s="56">
        <f ca="1">IF(N44=1,R42*D$11*20/36000+R43*D$11*10/36000,IF(N44=0,IF(N43=0,0,R43*D$11*Q$12/36000)))</f>
        <v>0</v>
      </c>
      <c r="W43" s="56">
        <f t="shared" ca="1" si="26"/>
        <v>0</v>
      </c>
      <c r="X43" s="56">
        <f t="shared" ca="1" si="27"/>
        <v>0</v>
      </c>
      <c r="Y43" s="56">
        <f t="shared" ca="1" si="16"/>
        <v>0</v>
      </c>
      <c r="Z43" s="56">
        <f t="shared" ca="1" si="28"/>
        <v>0</v>
      </c>
      <c r="AA43" s="56">
        <f t="shared" ca="1" si="17"/>
        <v>0</v>
      </c>
      <c r="AB43" s="56">
        <f ca="1">IF(R44=0,R43*Q12,(R42*20+R43*10))</f>
        <v>0</v>
      </c>
      <c r="AC43" s="56">
        <f t="shared" ca="1" si="3"/>
        <v>0</v>
      </c>
      <c r="AD43" s="56">
        <f t="shared" ca="1" si="4"/>
        <v>0</v>
      </c>
      <c r="AE43" s="56">
        <f t="shared" ca="1" si="33"/>
        <v>0</v>
      </c>
      <c r="AF43" s="56">
        <f t="shared" ca="1" si="18"/>
        <v>0</v>
      </c>
      <c r="AG43" s="56">
        <f t="shared" ca="1" si="29"/>
        <v>0</v>
      </c>
      <c r="AH43" s="56">
        <f t="shared" ca="1" si="19"/>
        <v>0</v>
      </c>
      <c r="AI43" s="56">
        <f t="shared" ca="1" si="5"/>
        <v>0</v>
      </c>
      <c r="AJ43" s="56">
        <f ca="1">IF(N44=1,AI42*G$12*20/36000+AI43*G$12*10/36000,IF(N44=0,IF(N43=0,0,AI43*G$12*Q$12/36000)))</f>
        <v>0</v>
      </c>
      <c r="AK43" s="56">
        <f ca="1">IF(N44=1,AI42*G$12*20/36000+AI43*G$12*10/36000,IF(N44=0,IF(N43=0,0,AI43*G$12*Q$12/36000)))</f>
        <v>0</v>
      </c>
      <c r="AL43" s="57">
        <f t="shared" ca="1" si="20"/>
        <v>0</v>
      </c>
      <c r="AM43" s="57">
        <f t="shared" ca="1" si="6"/>
        <v>0</v>
      </c>
      <c r="AN43" s="51">
        <f t="shared" ca="1" si="21"/>
        <v>0</v>
      </c>
      <c r="AO43" s="51">
        <f t="shared" ca="1" si="7"/>
        <v>0</v>
      </c>
      <c r="AP43" s="51">
        <f t="shared" ca="1" si="8"/>
        <v>0</v>
      </c>
      <c r="AQ43" s="51">
        <f t="shared" ca="1" si="9"/>
        <v>30</v>
      </c>
      <c r="AR43" s="51">
        <f t="shared" si="10"/>
        <v>20</v>
      </c>
      <c r="AS43" s="51">
        <f t="shared" ca="1" si="22"/>
        <v>30</v>
      </c>
      <c r="AT43" s="52"/>
      <c r="AU43" s="52"/>
      <c r="AV43" s="52"/>
      <c r="AW43" s="52"/>
      <c r="AX43" s="52"/>
      <c r="AY43" s="51">
        <f t="shared" ca="1" si="23"/>
        <v>0</v>
      </c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1"/>
        <v>20</v>
      </c>
      <c r="B44" s="268" t="str">
        <f t="shared" ca="1" si="12"/>
        <v xml:space="preserve"> </v>
      </c>
      <c r="C44" s="401"/>
      <c r="D44" s="443" t="str">
        <f ca="1">IF(N44=0,IF(N43=1,D25+D26+D27+D28+D29+D30+D31+D32+D33+D34+D35+D36+D37+D38+D39+D40+D41+D42+D43," "),IF(N44=0," ",IF(N45=1,D25,IF(N45=0,D10-D25*(M14-1)," "))))</f>
        <v xml:space="preserve"> </v>
      </c>
      <c r="E44" s="443"/>
      <c r="F44" s="84" t="str">
        <f ca="1">IF(N44=0,IF(N43=1,F25+F26+F27+F28+F29+F30+F31+F32+F33+F34+F35+F36+F37+F38+F39+F40+F41+F42+F43," "),IF(M1=1,P44,IF(M1=2,Q44," ")))</f>
        <v xml:space="preserve"> </v>
      </c>
      <c r="G44" s="84">
        <v>0</v>
      </c>
      <c r="H44" s="84" t="str">
        <f t="shared" ca="1" si="13"/>
        <v xml:space="preserve"> </v>
      </c>
      <c r="I44" s="84">
        <f t="shared" ca="1" si="30"/>
        <v>0</v>
      </c>
      <c r="J44" s="84">
        <f t="shared" ca="1" si="31"/>
        <v>0</v>
      </c>
      <c r="K44" s="84">
        <v>0</v>
      </c>
      <c r="L44" s="84" t="str">
        <f t="shared" ca="1" si="32"/>
        <v xml:space="preserve"> </v>
      </c>
      <c r="M44" s="51">
        <f t="shared" si="14"/>
        <v>20</v>
      </c>
      <c r="N44" s="51">
        <f ca="1">IF(M1=1,IF(M14&gt;19,1,0),IF(M1=2,IF(M14&gt;19,1,0),0))</f>
        <v>0</v>
      </c>
      <c r="O44" s="51">
        <f t="shared" ca="1" si="0"/>
        <v>20</v>
      </c>
      <c r="P44" s="56">
        <f t="shared" ca="1" si="1"/>
        <v>0</v>
      </c>
      <c r="Q44" s="56">
        <f t="shared" ca="1" si="2"/>
        <v>0</v>
      </c>
      <c r="R44" s="56">
        <f t="shared" ca="1" si="15"/>
        <v>0</v>
      </c>
      <c r="S44" s="56" t="str">
        <f t="shared" ca="1" si="24"/>
        <v xml:space="preserve"> </v>
      </c>
      <c r="T44" s="56" t="e">
        <f t="shared" ca="1" si="25"/>
        <v>#VALUE!</v>
      </c>
      <c r="U44" s="56">
        <f ca="1">IF(N45=1,R43*D11*20/36000+R44*D11*10/36000,IF(N45=0,IF(N44=0,0,R44*D11*Q12/36000+R43*D11*20/36000+R44*D11*10/36000)))</f>
        <v>0</v>
      </c>
      <c r="V44" s="56">
        <f ca="1">IF(N45=1,R43*D11*20/36000+R44*D11*10/36000,IF(N45=0,IF(N44=0,0,R44*D11*Q12/36000+R43*D11*20/36000+R44*D11*10/36000)))</f>
        <v>0</v>
      </c>
      <c r="W44" s="56">
        <f t="shared" ca="1" si="26"/>
        <v>0</v>
      </c>
      <c r="X44" s="56">
        <f t="shared" ca="1" si="27"/>
        <v>0</v>
      </c>
      <c r="Y44" s="56">
        <f t="shared" ca="1" si="16"/>
        <v>0</v>
      </c>
      <c r="Z44" s="56">
        <f t="shared" ca="1" si="28"/>
        <v>0</v>
      </c>
      <c r="AA44" s="56">
        <f t="shared" ca="1" si="17"/>
        <v>0</v>
      </c>
      <c r="AB44" s="56">
        <f ca="1">IF(R45=0,R44*Q12,(R43*20+R44*10))</f>
        <v>0</v>
      </c>
      <c r="AC44" s="56">
        <f t="shared" ca="1" si="3"/>
        <v>0</v>
      </c>
      <c r="AD44" s="56">
        <f t="shared" ca="1" si="4"/>
        <v>0</v>
      </c>
      <c r="AE44" s="56">
        <f t="shared" ca="1" si="33"/>
        <v>0</v>
      </c>
      <c r="AF44" s="56">
        <f t="shared" ca="1" si="18"/>
        <v>0</v>
      </c>
      <c r="AG44" s="56">
        <f t="shared" ca="1" si="29"/>
        <v>0</v>
      </c>
      <c r="AH44" s="56">
        <f t="shared" ca="1" si="19"/>
        <v>0</v>
      </c>
      <c r="AI44" s="56">
        <f t="shared" ca="1" si="5"/>
        <v>0</v>
      </c>
      <c r="AJ44" s="56">
        <f ca="1">IF(N45=1,AI43*G12*20/36000+AI44*G12*10/36000,IF(N45=0,IF(N44=0,0,AI44*G12*Q12/36000+AI43*G12*20/36000+AI44*G12*10/36000)))</f>
        <v>0</v>
      </c>
      <c r="AK44" s="56">
        <f ca="1">IF(N45=1,AI43*G12*20/36000+AI44*G12*10/36000,IF(N45=0,IF(N44=0,0,AI44*G12*Q12/36000+AI43*G12*20/36000+AI44*G12*10/36000)))</f>
        <v>0</v>
      </c>
      <c r="AL44" s="57">
        <f t="shared" ca="1" si="20"/>
        <v>0</v>
      </c>
      <c r="AM44" s="57">
        <f t="shared" ca="1" si="6"/>
        <v>0</v>
      </c>
      <c r="AN44" s="51">
        <f t="shared" ca="1" si="21"/>
        <v>0</v>
      </c>
      <c r="AO44" s="51">
        <f t="shared" ca="1" si="7"/>
        <v>0</v>
      </c>
      <c r="AP44" s="51">
        <f t="shared" ca="1" si="8"/>
        <v>0</v>
      </c>
      <c r="AQ44" s="51">
        <f t="shared" ca="1" si="9"/>
        <v>30</v>
      </c>
      <c r="AR44" s="51">
        <f t="shared" si="10"/>
        <v>20</v>
      </c>
      <c r="AS44" s="51">
        <f t="shared" ca="1" si="22"/>
        <v>30</v>
      </c>
      <c r="AT44" s="52"/>
      <c r="AU44" s="52"/>
      <c r="AV44" s="52"/>
      <c r="AW44" s="52"/>
      <c r="AX44" s="52"/>
      <c r="AY44" s="51">
        <f t="shared" ca="1" si="23"/>
        <v>0</v>
      </c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1"/>
        <v>21</v>
      </c>
      <c r="B45" s="268" t="str">
        <f t="shared" ca="1" si="12"/>
        <v xml:space="preserve"> </v>
      </c>
      <c r="C45" s="401"/>
      <c r="D45" s="443" t="str">
        <f ca="1">IF(N45=0,IF(N44=1,D25+D26+D27+D28+D29+D30+D31+D32+D33+D34+D35+D36+D37+D38+D39+D40+D41+D42+D43+D44," "),IF(N45=0," ",IF(N46=1,D25,IF(N46=0,D10-D25*(M14-1)," "))))</f>
        <v xml:space="preserve"> </v>
      </c>
      <c r="E45" s="443"/>
      <c r="F45" s="84" t="str">
        <f ca="1">IF(N45=0,IF(N44=1,F25+F26+F27+F28+F29+F30+F31+F32+F33+F34+F35+F36+F37+F38+F39+F40+F41+F42+F43+F44," "),IF(M1=1,P45,IF(M1=2,Q45," ")))</f>
        <v xml:space="preserve"> </v>
      </c>
      <c r="G45" s="84">
        <v>0</v>
      </c>
      <c r="H45" s="84" t="str">
        <f t="shared" ca="1" si="13"/>
        <v xml:space="preserve"> </v>
      </c>
      <c r="I45" s="84">
        <f t="shared" ca="1" si="30"/>
        <v>0</v>
      </c>
      <c r="J45" s="84">
        <f t="shared" ca="1" si="31"/>
        <v>0</v>
      </c>
      <c r="K45" s="84">
        <v>0</v>
      </c>
      <c r="L45" s="84" t="str">
        <f t="shared" ca="1" si="32"/>
        <v xml:space="preserve"> </v>
      </c>
      <c r="M45" s="51">
        <f t="shared" si="14"/>
        <v>21</v>
      </c>
      <c r="N45" s="51">
        <f ca="1">IF(M1=1,IF(M14&gt;20,1,0),IF(M1=2,IF(M14&gt;20,1,0),0))</f>
        <v>0</v>
      </c>
      <c r="O45" s="51">
        <f t="shared" ca="1" si="0"/>
        <v>20</v>
      </c>
      <c r="P45" s="56">
        <f t="shared" ca="1" si="1"/>
        <v>0</v>
      </c>
      <c r="Q45" s="56">
        <f t="shared" ca="1" si="2"/>
        <v>0</v>
      </c>
      <c r="R45" s="56">
        <f t="shared" ca="1" si="15"/>
        <v>0</v>
      </c>
      <c r="S45" s="56" t="str">
        <f t="shared" ca="1" si="24"/>
        <v xml:space="preserve"> </v>
      </c>
      <c r="T45" s="56" t="e">
        <f t="shared" ca="1" si="25"/>
        <v>#VALUE!</v>
      </c>
      <c r="U45" s="56">
        <f ca="1">IF(N46=1,R44*D11*20/36000+R45*D11*10/36000,IF(N46=0,IF(N45=0,0,R45*D11*Q12/36000+R44*D11*20/36000+R45*D11*10/36000)))</f>
        <v>0</v>
      </c>
      <c r="V45" s="56">
        <f ca="1">IF(N46=1,R44*D11*20/36000+R45*D11*10/36000,IF(N46=0,IF(N45=0,0,R45*D11*Q12/36000+R44*D11*20/36000+R45*D11*10/36000)))</f>
        <v>0</v>
      </c>
      <c r="W45" s="56">
        <f t="shared" ca="1" si="26"/>
        <v>0</v>
      </c>
      <c r="X45" s="56">
        <f t="shared" ca="1" si="27"/>
        <v>0</v>
      </c>
      <c r="Y45" s="56">
        <f t="shared" ca="1" si="16"/>
        <v>0</v>
      </c>
      <c r="Z45" s="56">
        <f t="shared" ca="1" si="28"/>
        <v>0</v>
      </c>
      <c r="AA45" s="56">
        <f t="shared" ca="1" si="17"/>
        <v>0</v>
      </c>
      <c r="AB45" s="56">
        <f ca="1">IF(R46=0,R45*Q12,(R44*20+R45*10))</f>
        <v>0</v>
      </c>
      <c r="AC45" s="56">
        <f t="shared" ca="1" si="3"/>
        <v>0</v>
      </c>
      <c r="AD45" s="56">
        <f t="shared" ca="1" si="4"/>
        <v>0</v>
      </c>
      <c r="AE45" s="56">
        <f t="shared" ca="1" si="33"/>
        <v>0</v>
      </c>
      <c r="AF45" s="56">
        <f t="shared" ca="1" si="18"/>
        <v>0</v>
      </c>
      <c r="AG45" s="56">
        <f t="shared" ca="1" si="29"/>
        <v>0</v>
      </c>
      <c r="AH45" s="56">
        <f t="shared" ca="1" si="19"/>
        <v>0</v>
      </c>
      <c r="AI45" s="56">
        <f t="shared" ca="1" si="5"/>
        <v>0</v>
      </c>
      <c r="AJ45" s="56">
        <f ca="1">IF(N46=1,AI44*G12*20/36000+AI45*G12*10/36000,IF(N46=0,IF(N45=0,0,AI45*G12*Q12/36000+AI44*G12*20/36000+AI45*G12*10/36000)))</f>
        <v>0</v>
      </c>
      <c r="AK45" s="56">
        <f ca="1">IF(N46=1,AI44*G12*20/36000+AI45*G12*10/36000,IF(N46=0,IF(N45=0,0,AI45*G12*Q12/36000+AI44*G12*20/36000+AI45*G12*10/36000)))</f>
        <v>0</v>
      </c>
      <c r="AL45" s="57">
        <f t="shared" ca="1" si="20"/>
        <v>0</v>
      </c>
      <c r="AM45" s="57">
        <f t="shared" ca="1" si="6"/>
        <v>0</v>
      </c>
      <c r="AN45" s="51">
        <f t="shared" ca="1" si="21"/>
        <v>0</v>
      </c>
      <c r="AO45" s="51">
        <f t="shared" ca="1" si="7"/>
        <v>0</v>
      </c>
      <c r="AP45" s="51">
        <f t="shared" ca="1" si="8"/>
        <v>0</v>
      </c>
      <c r="AQ45" s="51">
        <f t="shared" ca="1" si="9"/>
        <v>30</v>
      </c>
      <c r="AR45" s="51">
        <f t="shared" si="10"/>
        <v>20</v>
      </c>
      <c r="AS45" s="51">
        <f t="shared" ca="1" si="22"/>
        <v>30</v>
      </c>
      <c r="AT45" s="52"/>
      <c r="AU45" s="52"/>
      <c r="AV45" s="52"/>
      <c r="AW45" s="52"/>
      <c r="AX45" s="52"/>
      <c r="AY45" s="51">
        <f t="shared" ca="1" si="23"/>
        <v>0</v>
      </c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1"/>
        <v>22</v>
      </c>
      <c r="B46" s="268" t="str">
        <f t="shared" ca="1" si="12"/>
        <v xml:space="preserve"> </v>
      </c>
      <c r="C46" s="401"/>
      <c r="D46" s="443" t="str">
        <f ca="1">IF(N46=0,IF(N45=1,D25+D26+D27+D28+D29+D30+D31+D32+D33+D34+D35+D36+D37+D38+D39+D40+D41+D42+D43+D44+D45," "),IF(N46=0," ",IF(N47=1,D25,IF(N47=0,D10-D25*(M14-1)," "))))</f>
        <v xml:space="preserve"> </v>
      </c>
      <c r="E46" s="443"/>
      <c r="F46" s="84" t="str">
        <f ca="1">IF(N46=0,IF(N45=1,F25+F26+F27+F28+F29+F30+F31+F32+F33+F34+F35+F36+F37+F38+F39+F40+F41+F42+F43+F44+F45," "),IF(M1=1,P46,IF(M1=2,Q46," ")))</f>
        <v xml:space="preserve"> </v>
      </c>
      <c r="G46" s="84">
        <v>0</v>
      </c>
      <c r="H46" s="84" t="str">
        <f t="shared" ca="1" si="13"/>
        <v xml:space="preserve"> </v>
      </c>
      <c r="I46" s="84">
        <f t="shared" ca="1" si="30"/>
        <v>0</v>
      </c>
      <c r="J46" s="84">
        <f t="shared" ca="1" si="31"/>
        <v>0</v>
      </c>
      <c r="K46" s="84">
        <v>0</v>
      </c>
      <c r="L46" s="84" t="str">
        <f t="shared" ca="1" si="32"/>
        <v xml:space="preserve"> </v>
      </c>
      <c r="M46" s="51">
        <f t="shared" si="14"/>
        <v>22</v>
      </c>
      <c r="N46" s="51">
        <f ca="1">IF(M1=1,IF(M14&gt;21,1,0),IF(M1=2,IF(M14&gt;21,1,0),0))</f>
        <v>0</v>
      </c>
      <c r="O46" s="51">
        <f t="shared" ca="1" si="0"/>
        <v>20</v>
      </c>
      <c r="P46" s="56">
        <f t="shared" ca="1" si="1"/>
        <v>0</v>
      </c>
      <c r="Q46" s="56">
        <f t="shared" ca="1" si="2"/>
        <v>0</v>
      </c>
      <c r="R46" s="56">
        <f t="shared" ca="1" si="15"/>
        <v>0</v>
      </c>
      <c r="S46" s="56" t="str">
        <f t="shared" ca="1" si="24"/>
        <v xml:space="preserve"> </v>
      </c>
      <c r="T46" s="56" t="e">
        <f t="shared" ca="1" si="25"/>
        <v>#VALUE!</v>
      </c>
      <c r="U46" s="56">
        <f ca="1">IF(N47=1,R45*D11*20/36000+R46*D11*10/36000,IF(N47=0,IF(N46=0,0,R46*D11*Q12/36000+R45*D11*20/36000+R46*D11*10/36000)))</f>
        <v>0</v>
      </c>
      <c r="V46" s="56">
        <f ca="1">IF(N47=1,R45*D11*20/36000+R46*D11*10/36000,IF(N47=0,IF(N46=0,0,R46*D11*Q12/36000+R45*D11*20/36000+R46*D11*10/36000)))</f>
        <v>0</v>
      </c>
      <c r="W46" s="56">
        <f t="shared" ca="1" si="26"/>
        <v>0</v>
      </c>
      <c r="X46" s="56">
        <f t="shared" ca="1" si="27"/>
        <v>0</v>
      </c>
      <c r="Y46" s="56">
        <f t="shared" ca="1" si="16"/>
        <v>0</v>
      </c>
      <c r="Z46" s="56">
        <f t="shared" ca="1" si="28"/>
        <v>0</v>
      </c>
      <c r="AA46" s="56">
        <f t="shared" ca="1" si="17"/>
        <v>0</v>
      </c>
      <c r="AB46" s="56">
        <f ca="1">IF(R47=0,R46*Q12,(R45*20+R46*10))</f>
        <v>0</v>
      </c>
      <c r="AC46" s="56">
        <f t="shared" ca="1" si="3"/>
        <v>0</v>
      </c>
      <c r="AD46" s="56">
        <f t="shared" ca="1" si="4"/>
        <v>0</v>
      </c>
      <c r="AE46" s="56">
        <f t="shared" ca="1" si="33"/>
        <v>0</v>
      </c>
      <c r="AF46" s="56">
        <f t="shared" ca="1" si="18"/>
        <v>0</v>
      </c>
      <c r="AG46" s="56">
        <f t="shared" ca="1" si="29"/>
        <v>0</v>
      </c>
      <c r="AH46" s="56">
        <f t="shared" ca="1" si="19"/>
        <v>0</v>
      </c>
      <c r="AI46" s="56">
        <f t="shared" ca="1" si="5"/>
        <v>0</v>
      </c>
      <c r="AJ46" s="56">
        <f ca="1">IF(N47=1,AI45*G12*20/36000+AI46*G12*10/36000,IF(N47=0,IF(N46=0,0,AI46*G12*Q12/36000+AI45*G12*20/36000+AI46*G12*10/36000)))</f>
        <v>0</v>
      </c>
      <c r="AK46" s="56">
        <f ca="1">IF(N47=1,AI45*G12*20/36000+AI46*G12*10/36000,IF(N47=0,IF(N46=0,0,AI46*G12*Q12/36000+AI45*G12*20/36000+AI46*G12*10/36000)))</f>
        <v>0</v>
      </c>
      <c r="AL46" s="57">
        <f t="shared" ca="1" si="20"/>
        <v>0</v>
      </c>
      <c r="AM46" s="57">
        <f t="shared" ca="1" si="6"/>
        <v>0</v>
      </c>
      <c r="AN46" s="51">
        <f t="shared" ca="1" si="21"/>
        <v>0</v>
      </c>
      <c r="AO46" s="51">
        <f t="shared" ca="1" si="7"/>
        <v>0</v>
      </c>
      <c r="AP46" s="51">
        <f t="shared" ca="1" si="8"/>
        <v>0</v>
      </c>
      <c r="AQ46" s="51">
        <f t="shared" ca="1" si="9"/>
        <v>30</v>
      </c>
      <c r="AR46" s="51">
        <f t="shared" si="10"/>
        <v>20</v>
      </c>
      <c r="AS46" s="51">
        <f t="shared" ca="1" si="22"/>
        <v>30</v>
      </c>
      <c r="AT46" s="52"/>
      <c r="AU46" s="52"/>
      <c r="AV46" s="52"/>
      <c r="AW46" s="52"/>
      <c r="AX46" s="52"/>
      <c r="AY46" s="51">
        <f t="shared" ca="1" si="23"/>
        <v>0</v>
      </c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1"/>
        <v>23</v>
      </c>
      <c r="B47" s="268" t="str">
        <f t="shared" ca="1" si="12"/>
        <v xml:space="preserve"> </v>
      </c>
      <c r="C47" s="401"/>
      <c r="D47" s="443" t="str">
        <f ca="1">IF(N47=0,IF(N46=1,D25+D26+D27+D28+D29+D30+D31+D32+D33+D34+D35+D36+D37+D38+D39+D40+D41+D42+D43+D44+D45+D46," "),IF(N47=0," ",IF(N48=1,D25,IF(N48=0,D10-D25*(M14-1)," "))))</f>
        <v xml:space="preserve"> </v>
      </c>
      <c r="E47" s="443"/>
      <c r="F47" s="84" t="str">
        <f ca="1">IF(N47=0,IF(N46=1,F25+F26+F27+F28+F29+F30+F31+F32+F33+F34+F35+F36+F37+F38+F39+F40+F41+F42+F43+F44+F45+F46," "),IF(M1=1,P47,IF(M1=2,Q47," ")))</f>
        <v xml:space="preserve"> </v>
      </c>
      <c r="G47" s="84">
        <v>0</v>
      </c>
      <c r="H47" s="84" t="str">
        <f t="shared" ca="1" si="13"/>
        <v xml:space="preserve"> </v>
      </c>
      <c r="I47" s="84">
        <f t="shared" ca="1" si="30"/>
        <v>0</v>
      </c>
      <c r="J47" s="84">
        <f t="shared" ca="1" si="31"/>
        <v>0</v>
      </c>
      <c r="K47" s="84">
        <v>0</v>
      </c>
      <c r="L47" s="84" t="str">
        <f t="shared" ca="1" si="32"/>
        <v xml:space="preserve"> </v>
      </c>
      <c r="M47" s="51">
        <f t="shared" si="14"/>
        <v>23</v>
      </c>
      <c r="N47" s="51">
        <f ca="1">IF(M1=1,IF(M14&gt;22,1,0),IF(M1=2,IF(M14&gt;22,1,0),0))</f>
        <v>0</v>
      </c>
      <c r="O47" s="51">
        <f t="shared" ca="1" si="0"/>
        <v>20</v>
      </c>
      <c r="P47" s="56">
        <f t="shared" ca="1" si="1"/>
        <v>0</v>
      </c>
      <c r="Q47" s="56">
        <f t="shared" ca="1" si="2"/>
        <v>0</v>
      </c>
      <c r="R47" s="56">
        <f t="shared" ca="1" si="15"/>
        <v>0</v>
      </c>
      <c r="S47" s="56" t="str">
        <f t="shared" ca="1" si="24"/>
        <v xml:space="preserve"> </v>
      </c>
      <c r="T47" s="56" t="e">
        <f t="shared" ca="1" si="25"/>
        <v>#VALUE!</v>
      </c>
      <c r="U47" s="56">
        <f ca="1">IF(N48=1,R46*D11*20/36000+R47*D11*10/36000,IF(N48=0,IF(N47=0,0,R47*D11*Q12/36000+R46*D11*20/36000+R47*D11*10/36000)))</f>
        <v>0</v>
      </c>
      <c r="V47" s="56">
        <f ca="1">IF(N48=1,R46*D11*20/36000+R47*D11*10/36000,IF(N48=0,IF(N47=0,0,R47*D11*Q12/36000+R46*D11*20/36000+R47*D11*10/36000)))</f>
        <v>0</v>
      </c>
      <c r="W47" s="56">
        <f t="shared" ca="1" si="26"/>
        <v>0</v>
      </c>
      <c r="X47" s="56">
        <f t="shared" ca="1" si="27"/>
        <v>0</v>
      </c>
      <c r="Y47" s="56">
        <f t="shared" ca="1" si="16"/>
        <v>0</v>
      </c>
      <c r="Z47" s="56">
        <f t="shared" ca="1" si="28"/>
        <v>0</v>
      </c>
      <c r="AA47" s="56">
        <f t="shared" ca="1" si="17"/>
        <v>0</v>
      </c>
      <c r="AB47" s="56">
        <f ca="1">IF(R48=0,R47*Q12,(R46*20+R47*10))</f>
        <v>0</v>
      </c>
      <c r="AC47" s="56">
        <f t="shared" ca="1" si="3"/>
        <v>0</v>
      </c>
      <c r="AD47" s="56">
        <f t="shared" ca="1" si="4"/>
        <v>0</v>
      </c>
      <c r="AE47" s="56">
        <f t="shared" ca="1" si="33"/>
        <v>0</v>
      </c>
      <c r="AF47" s="56">
        <f t="shared" ca="1" si="18"/>
        <v>0</v>
      </c>
      <c r="AG47" s="56">
        <f t="shared" ca="1" si="29"/>
        <v>0</v>
      </c>
      <c r="AH47" s="56">
        <f t="shared" ca="1" si="19"/>
        <v>0</v>
      </c>
      <c r="AI47" s="56">
        <f t="shared" ca="1" si="5"/>
        <v>0</v>
      </c>
      <c r="AJ47" s="56">
        <f ca="1">IF(N48=1,AI46*G12*20/36000+AI47*G12*10/36000,IF(N48=0,IF(N47=0,0,AI47*G12*Q12/36000+AI46*G12*20/36000+AI47*G12*10/36000)))</f>
        <v>0</v>
      </c>
      <c r="AK47" s="56">
        <f ca="1">IF(N48=1,AI46*G12*20/36000+AI47*G12*10/36000,IF(N48=0,IF(N47=0,0,AI47*G12*Q12/36000+AI46*G12*20/36000+AI47*G12*10/36000)))</f>
        <v>0</v>
      </c>
      <c r="AL47" s="57">
        <f t="shared" ca="1" si="20"/>
        <v>0</v>
      </c>
      <c r="AM47" s="57">
        <f t="shared" ca="1" si="6"/>
        <v>0</v>
      </c>
      <c r="AN47" s="51">
        <f t="shared" ca="1" si="21"/>
        <v>0</v>
      </c>
      <c r="AO47" s="51">
        <f t="shared" ca="1" si="7"/>
        <v>0</v>
      </c>
      <c r="AP47" s="51">
        <f t="shared" ca="1" si="8"/>
        <v>0</v>
      </c>
      <c r="AQ47" s="51">
        <f t="shared" ca="1" si="9"/>
        <v>30</v>
      </c>
      <c r="AR47" s="51">
        <f t="shared" si="10"/>
        <v>20</v>
      </c>
      <c r="AS47" s="51">
        <f t="shared" ca="1" si="22"/>
        <v>30</v>
      </c>
      <c r="AT47" s="52"/>
      <c r="AU47" s="52"/>
      <c r="AV47" s="52"/>
      <c r="AW47" s="52"/>
      <c r="AX47" s="52"/>
      <c r="AY47" s="51">
        <f t="shared" ca="1" si="23"/>
        <v>0</v>
      </c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1"/>
        <v>24</v>
      </c>
      <c r="B48" s="268" t="str">
        <f t="shared" ca="1" si="12"/>
        <v xml:space="preserve"> </v>
      </c>
      <c r="C48" s="401"/>
      <c r="D48" s="443" t="str">
        <f ca="1">IF(N48=0,IF(N47=1,SUM(D$25:E47)," "),IF(N48=0," ",IF(N49=1,D$25,IF(N49=0,D$10-D$25*(M$14-1)," "))))</f>
        <v xml:space="preserve"> </v>
      </c>
      <c r="E48" s="443"/>
      <c r="F48" s="84" t="str">
        <f ca="1">IF(N48=0,IF(N47=1,SUM(F$25:F47)," "),IF(M$1=1,P48,IF(M$1=2,Q48," ")))</f>
        <v xml:space="preserve"> </v>
      </c>
      <c r="G48" s="84">
        <v>0</v>
      </c>
      <c r="H48" s="84" t="str">
        <f t="shared" ca="1" si="13"/>
        <v xml:space="preserve"> </v>
      </c>
      <c r="I48" s="84">
        <f t="shared" ca="1" si="30"/>
        <v>0</v>
      </c>
      <c r="J48" s="84">
        <f t="shared" ca="1" si="31"/>
        <v>0</v>
      </c>
      <c r="K48" s="84">
        <v>0</v>
      </c>
      <c r="L48" s="84" t="str">
        <f t="shared" ca="1" si="32"/>
        <v xml:space="preserve"> </v>
      </c>
      <c r="M48" s="51">
        <f t="shared" si="14"/>
        <v>24</v>
      </c>
      <c r="N48" s="51">
        <f t="shared" ref="N48:N85" ca="1" si="34">IF(M$1=1,IF(M$14&gt;M47,1,0),IF(M$1=2,IF(M$14&gt;M47,1,0),0))</f>
        <v>0</v>
      </c>
      <c r="O48" s="51">
        <f t="shared" ca="1" si="0"/>
        <v>20</v>
      </c>
      <c r="P48" s="56">
        <f t="shared" ca="1" si="1"/>
        <v>0</v>
      </c>
      <c r="Q48" s="56">
        <f t="shared" ca="1" si="2"/>
        <v>0</v>
      </c>
      <c r="R48" s="56">
        <f t="shared" ca="1" si="15"/>
        <v>0</v>
      </c>
      <c r="S48" s="56" t="str">
        <f t="shared" ca="1" si="24"/>
        <v xml:space="preserve"> </v>
      </c>
      <c r="T48" s="56" t="e">
        <f t="shared" ca="1" si="25"/>
        <v>#VALUE!</v>
      </c>
      <c r="U48" s="56">
        <f ca="1">IF(N49=1,R47*D$11*20/36000+R48*D$11*10/36000,IF(N49=0,IF(N48=0,0,R48*D$11*Q$12/36000+R47*D$11*20/36000+R48*D$11*10/36000)))</f>
        <v>0</v>
      </c>
      <c r="V48" s="56">
        <f ca="1">IF(N49=1,R47*D$11*20/36000+R48*D$11*10/36000,IF(N49=0,IF(N48=0,0,R48*D$11*Q$12/36000+R47*D$11*20/36000+R48*D$11*10/36000)))</f>
        <v>0</v>
      </c>
      <c r="W48" s="56">
        <f t="shared" ca="1" si="26"/>
        <v>0</v>
      </c>
      <c r="X48" s="56">
        <f t="shared" ca="1" si="27"/>
        <v>0</v>
      </c>
      <c r="Y48" s="56">
        <f t="shared" ca="1" si="16"/>
        <v>0</v>
      </c>
      <c r="Z48" s="56">
        <f t="shared" ca="1" si="28"/>
        <v>0</v>
      </c>
      <c r="AA48" s="56">
        <f t="shared" ca="1" si="17"/>
        <v>0</v>
      </c>
      <c r="AB48" s="56">
        <f t="shared" ref="AB48:AB72" ca="1" si="35">IF(R49=0,R48*Q$12,(R47*20+R48*10))</f>
        <v>0</v>
      </c>
      <c r="AC48" s="56">
        <f t="shared" ca="1" si="3"/>
        <v>0</v>
      </c>
      <c r="AD48" s="56">
        <f t="shared" ca="1" si="4"/>
        <v>0</v>
      </c>
      <c r="AE48" s="56">
        <f t="shared" ca="1" si="33"/>
        <v>0</v>
      </c>
      <c r="AF48" s="56">
        <f t="shared" ca="1" si="18"/>
        <v>0</v>
      </c>
      <c r="AG48" s="56">
        <f t="shared" ca="1" si="29"/>
        <v>0</v>
      </c>
      <c r="AH48" s="56">
        <f t="shared" ca="1" si="19"/>
        <v>0</v>
      </c>
      <c r="AI48" s="56">
        <f t="shared" ca="1" si="5"/>
        <v>0</v>
      </c>
      <c r="AJ48" s="56">
        <f ca="1">IF(N49=1,AI47*G$12*20/36000+AI48*G$12*10/36000,IF(N49=0,IF(N48=0,0,AI48*G$12*Q$12/36000+AI47*G$12*20/36000+AI48*G$12*10/36000)))</f>
        <v>0</v>
      </c>
      <c r="AK48" s="56">
        <f ca="1">IF(N49=1,AI47*G$12*20/36000+AI48*G$12*10/36000,IF(N49=0,IF(N48=0,0,AI48*G$12*Q$12/36000+AI47*G$12*20/36000+AI48*G$12*10/36000)))</f>
        <v>0</v>
      </c>
      <c r="AL48" s="57">
        <f t="shared" ca="1" si="20"/>
        <v>0</v>
      </c>
      <c r="AM48" s="57">
        <f t="shared" ca="1" si="6"/>
        <v>0</v>
      </c>
      <c r="AN48" s="51">
        <f t="shared" ca="1" si="21"/>
        <v>0</v>
      </c>
      <c r="AO48" s="51">
        <f t="shared" ca="1" si="7"/>
        <v>0</v>
      </c>
      <c r="AP48" s="51">
        <f t="shared" ca="1" si="8"/>
        <v>0</v>
      </c>
      <c r="AQ48" s="51">
        <f t="shared" ca="1" si="9"/>
        <v>30</v>
      </c>
      <c r="AR48" s="51">
        <f t="shared" si="10"/>
        <v>20</v>
      </c>
      <c r="AS48" s="51">
        <f t="shared" ca="1" si="22"/>
        <v>30</v>
      </c>
      <c r="AT48" s="52"/>
      <c r="AU48" s="52"/>
      <c r="AV48" s="52"/>
      <c r="AW48" s="52"/>
      <c r="AX48" s="52"/>
      <c r="AY48" s="51">
        <f t="shared" ca="1" si="23"/>
        <v>0</v>
      </c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 t="str">
        <f t="shared" ca="1" si="12"/>
        <v xml:space="preserve"> </v>
      </c>
      <c r="C49" s="401"/>
      <c r="D49" s="443" t="str">
        <f ca="1">IF(N49=0,IF(N48=1,SUM(D$25:E48)," "),IF(N49=0," ",IF(N50=1,D$25,IF(N50=0,D$10-D$25*(M$14-1)," "))))</f>
        <v xml:space="preserve"> </v>
      </c>
      <c r="E49" s="443"/>
      <c r="F49" s="84" t="str">
        <f ca="1">IF(N49=0,IF(N48=1,SUM(F$25:F48)," "),IF(M$1=1,P49,IF(M$1=2,Q49," ")))</f>
        <v xml:space="preserve"> </v>
      </c>
      <c r="G49" s="84">
        <v>0</v>
      </c>
      <c r="H49" s="84" t="str">
        <f t="shared" ca="1" si="13"/>
        <v xml:space="preserve"> </v>
      </c>
      <c r="I49" s="84">
        <f t="shared" ca="1" si="30"/>
        <v>0</v>
      </c>
      <c r="J49" s="84">
        <f t="shared" ca="1" si="31"/>
        <v>0</v>
      </c>
      <c r="K49" s="84">
        <v>0</v>
      </c>
      <c r="L49" s="84" t="str">
        <f t="shared" ca="1" si="32"/>
        <v xml:space="preserve"> </v>
      </c>
      <c r="M49" s="51">
        <v>25</v>
      </c>
      <c r="N49" s="51">
        <f t="shared" ca="1" si="34"/>
        <v>0</v>
      </c>
      <c r="O49" s="51">
        <f t="shared" ca="1" si="0"/>
        <v>20</v>
      </c>
      <c r="P49" s="56">
        <f t="shared" ca="1" si="1"/>
        <v>0</v>
      </c>
      <c r="Q49" s="56">
        <f t="shared" ca="1" si="2"/>
        <v>0</v>
      </c>
      <c r="R49" s="56">
        <f t="shared" ca="1" si="15"/>
        <v>0</v>
      </c>
      <c r="S49" s="56" t="str">
        <f t="shared" ca="1" si="24"/>
        <v xml:space="preserve"> </v>
      </c>
      <c r="T49" s="56" t="e">
        <f t="shared" ca="1" si="25"/>
        <v>#VALUE!</v>
      </c>
      <c r="U49" s="56">
        <f ca="1">IF(N50=1,R48*D$11*20/36000+R49*D$11*10/36000,IF(N50=0,IF(N49=0,0,IF(D$16&gt;20,R48*D$11*20/36000+R49*D$11*(Q$12-20)/36000,R49*D$11*Q$12/36000))))</f>
        <v>0</v>
      </c>
      <c r="V49" s="56">
        <f ca="1">IF(N50=1,R48*D$11*20/36000+R49*D$11*10/36000,IF(N50=0,IF(N49=0,0,IF(D$16&gt;20,R48*D$11*20/36000+R49*D$11*(Q$12-20)/36000,R49*D$11*Q$12/36000))))</f>
        <v>0</v>
      </c>
      <c r="W49" s="56">
        <f t="shared" ca="1" si="26"/>
        <v>0</v>
      </c>
      <c r="X49" s="56">
        <f t="shared" ca="1" si="27"/>
        <v>0</v>
      </c>
      <c r="Y49" s="56">
        <f t="shared" ca="1" si="16"/>
        <v>0</v>
      </c>
      <c r="Z49" s="56">
        <f ca="1">IF(N50=1,Y48*D$11*20/36000+Y49*D$11*10/36000,IF(N50=0,IF(N49=0,0,IF(D$16&gt;20,Y48*D$11*20/36000+Y49*D$11*(Q$12-20)/36000,Y49*D$11*Q$12/36000))))</f>
        <v>0</v>
      </c>
      <c r="AA49" s="56">
        <f t="shared" ca="1" si="17"/>
        <v>0</v>
      </c>
      <c r="AB49" s="56">
        <f t="shared" ca="1" si="35"/>
        <v>0</v>
      </c>
      <c r="AC49" s="56">
        <f t="shared" ca="1" si="3"/>
        <v>0</v>
      </c>
      <c r="AD49" s="56">
        <f t="shared" ca="1" si="4"/>
        <v>0</v>
      </c>
      <c r="AE49" s="56">
        <f t="shared" ca="1" si="33"/>
        <v>0</v>
      </c>
      <c r="AF49" s="56">
        <f t="shared" ca="1" si="18"/>
        <v>0</v>
      </c>
      <c r="AG49" s="56">
        <f t="shared" ca="1" si="29"/>
        <v>0</v>
      </c>
      <c r="AH49" s="56">
        <f t="shared" ca="1" si="19"/>
        <v>0</v>
      </c>
      <c r="AI49" s="56">
        <f t="shared" ca="1" si="5"/>
        <v>0</v>
      </c>
      <c r="AJ49" s="56">
        <f ca="1">IF(N50=1,AI48*G$12*20/36000+AI49*G$12*10/36000,IF(N50=0,IF(N49=0,0,AI49*G$12*Q$12/36000)))</f>
        <v>0</v>
      </c>
      <c r="AK49" s="56">
        <f ca="1">IF(N50=1,AI48*G$12*20/36000+AI49*G$12*10/36000,IF(N50=0,IF(N49=0,0,AI49*G$12*Q$12/36000)))</f>
        <v>0</v>
      </c>
      <c r="AL49" s="57">
        <f t="shared" ca="1" si="20"/>
        <v>0</v>
      </c>
      <c r="AM49" s="57">
        <f t="shared" ca="1" si="6"/>
        <v>0</v>
      </c>
      <c r="AN49" s="51">
        <f t="shared" ca="1" si="21"/>
        <v>0</v>
      </c>
      <c r="AO49" s="51">
        <f t="shared" ca="1" si="7"/>
        <v>0</v>
      </c>
      <c r="AP49" s="51">
        <f t="shared" ca="1" si="8"/>
        <v>0</v>
      </c>
      <c r="AQ49" s="51">
        <f t="shared" ca="1" si="9"/>
        <v>30</v>
      </c>
      <c r="AR49" s="51">
        <f t="shared" si="10"/>
        <v>20</v>
      </c>
      <c r="AS49" s="51">
        <f t="shared" ca="1" si="22"/>
        <v>30</v>
      </c>
      <c r="AT49" s="51"/>
      <c r="AU49" s="51"/>
      <c r="AV49" s="51"/>
      <c r="AW49" s="51"/>
      <c r="AX49" s="51"/>
      <c r="AY49" s="51">
        <f t="shared" ca="1" si="23"/>
        <v>0</v>
      </c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 t="str">
        <f t="shared" ca="1" si="12"/>
        <v xml:space="preserve"> </v>
      </c>
      <c r="C50" s="401"/>
      <c r="D50" s="443" t="str">
        <f ca="1">IF(N50=0,IF(N49=1,SUM(D$25:E49)," "),IF(N50=0," ",IF(N51=1,D$25,IF(N51=0,D$10-D$25*(M$14-1)," "))))</f>
        <v xml:space="preserve"> </v>
      </c>
      <c r="E50" s="443"/>
      <c r="F50" s="84" t="str">
        <f ca="1">IF(N50=0,IF(N49=1,SUM(F$25:F49)," "),IF(M$1=1,P50,IF(M$1=2,Q50," ")))</f>
        <v xml:space="preserve"> </v>
      </c>
      <c r="G50" s="84">
        <v>0</v>
      </c>
      <c r="H50" s="84" t="str">
        <f t="shared" ca="1" si="13"/>
        <v xml:space="preserve"> </v>
      </c>
      <c r="I50" s="84">
        <f t="shared" ca="1" si="30"/>
        <v>0</v>
      </c>
      <c r="J50" s="84">
        <f t="shared" ca="1" si="31"/>
        <v>0</v>
      </c>
      <c r="K50" s="84">
        <v>0</v>
      </c>
      <c r="L50" s="84" t="str">
        <f t="shared" ca="1" si="32"/>
        <v xml:space="preserve"> </v>
      </c>
      <c r="M50" s="51">
        <v>26</v>
      </c>
      <c r="N50" s="51">
        <f t="shared" ca="1" si="34"/>
        <v>0</v>
      </c>
      <c r="O50" s="51">
        <f t="shared" ca="1" si="0"/>
        <v>20</v>
      </c>
      <c r="P50" s="56">
        <f t="shared" ca="1" si="1"/>
        <v>0</v>
      </c>
      <c r="Q50" s="56">
        <f t="shared" ca="1" si="2"/>
        <v>0</v>
      </c>
      <c r="R50" s="56">
        <f t="shared" ca="1" si="15"/>
        <v>0</v>
      </c>
      <c r="S50" s="56" t="str">
        <f t="shared" ca="1" si="24"/>
        <v xml:space="preserve"> </v>
      </c>
      <c r="T50" s="56" t="e">
        <f t="shared" ca="1" si="25"/>
        <v>#VALUE!</v>
      </c>
      <c r="U50" s="56">
        <f t="shared" ref="U50:U60" ca="1" si="36">IF(N51=1,R49*D$11*20/36000+R50*D$11*10/36000,IF(N51=0,IF(N50=0,0,R50*D$11*Q$12/36000+R49*D$11*20/36000+R50*D$11*10/36000)))</f>
        <v>0</v>
      </c>
      <c r="V50" s="56">
        <f t="shared" ref="V50:V60" ca="1" si="37">IF(N51=1,R49*D$11*20/36000+R50*D$11*10/36000,IF(N51=0,IF(N50=0,0,R50*D$11*Q$12/36000+R49*D$11*20/36000+R50*D$11*10/36000)))</f>
        <v>0</v>
      </c>
      <c r="W50" s="56">
        <f t="shared" ca="1" si="26"/>
        <v>0</v>
      </c>
      <c r="X50" s="56">
        <f t="shared" ca="1" si="27"/>
        <v>0</v>
      </c>
      <c r="Y50" s="56">
        <f t="shared" ca="1" si="16"/>
        <v>0</v>
      </c>
      <c r="Z50" s="56">
        <f t="shared" ca="1" si="28"/>
        <v>0</v>
      </c>
      <c r="AA50" s="56">
        <f t="shared" ca="1" si="17"/>
        <v>0</v>
      </c>
      <c r="AB50" s="56">
        <f t="shared" ca="1" si="35"/>
        <v>0</v>
      </c>
      <c r="AC50" s="56">
        <f t="shared" ca="1" si="3"/>
        <v>0</v>
      </c>
      <c r="AD50" s="56">
        <f t="shared" ca="1" si="4"/>
        <v>0</v>
      </c>
      <c r="AE50" s="56">
        <f t="shared" ca="1" si="33"/>
        <v>0</v>
      </c>
      <c r="AF50" s="56">
        <f t="shared" ca="1" si="18"/>
        <v>0</v>
      </c>
      <c r="AG50" s="56">
        <f t="shared" ca="1" si="29"/>
        <v>0</v>
      </c>
      <c r="AH50" s="56">
        <f t="shared" ca="1" si="19"/>
        <v>0</v>
      </c>
      <c r="AI50" s="56">
        <f t="shared" ca="1" si="5"/>
        <v>0</v>
      </c>
      <c r="AJ50" s="56">
        <f t="shared" ref="AJ50:AJ60" ca="1" si="38">IF(N51=1,AI49*G$12*20/36000+AI50*G$12*10/36000,IF(N51=0,IF(N50=0,0,AI50*G$12*Q$12/36000+AI49*G$12*20/36000+AI50*G$12*10/36000)))</f>
        <v>0</v>
      </c>
      <c r="AK50" s="56">
        <f t="shared" ref="AK50:AK60" ca="1" si="39">IF(N51=1,AI49*G$12*20/36000+AI50*G$12*10/36000,IF(N51=0,IF(N50=0,0,AI50*G$12*Q$12/36000+AI49*G$12*20/36000+AI50*G$12*10/36000)))</f>
        <v>0</v>
      </c>
      <c r="AL50" s="57">
        <f t="shared" ca="1" si="20"/>
        <v>0</v>
      </c>
      <c r="AM50" s="57">
        <f t="shared" ca="1" si="6"/>
        <v>0</v>
      </c>
      <c r="AN50" s="51">
        <f t="shared" ca="1" si="21"/>
        <v>0</v>
      </c>
      <c r="AO50" s="51">
        <f t="shared" ca="1" si="7"/>
        <v>0</v>
      </c>
      <c r="AP50" s="51">
        <f t="shared" ca="1" si="8"/>
        <v>0</v>
      </c>
      <c r="AQ50" s="51">
        <f t="shared" ca="1" si="9"/>
        <v>30</v>
      </c>
      <c r="AR50" s="51">
        <f t="shared" si="10"/>
        <v>20</v>
      </c>
      <c r="AS50" s="51">
        <f t="shared" ca="1" si="22"/>
        <v>30</v>
      </c>
      <c r="AT50" s="52"/>
      <c r="AU50" s="52"/>
      <c r="AV50" s="52"/>
      <c r="AW50" s="52"/>
      <c r="AX50" s="52"/>
      <c r="AY50" s="51">
        <f t="shared" ca="1" si="23"/>
        <v>0</v>
      </c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 t="str">
        <f t="shared" ca="1" si="12"/>
        <v xml:space="preserve"> </v>
      </c>
      <c r="C51" s="401"/>
      <c r="D51" s="443" t="str">
        <f ca="1">IF(N51=0,IF(N50=1,SUM(D$25:E50)," "),IF(N51=0," ",IF(N52=1,D$25,IF(N52=0,D$10-D$25*(M$14-1)," "))))</f>
        <v xml:space="preserve"> </v>
      </c>
      <c r="E51" s="443"/>
      <c r="F51" s="84" t="str">
        <f ca="1">IF(N51=0,IF(N50=1,SUM(F$25:F50)," "),IF(M$1=1,P51,IF(M$1=2,Q51," ")))</f>
        <v xml:space="preserve"> </v>
      </c>
      <c r="G51" s="84">
        <v>0</v>
      </c>
      <c r="H51" s="84" t="str">
        <f t="shared" ca="1" si="13"/>
        <v xml:space="preserve"> </v>
      </c>
      <c r="I51" s="84">
        <f t="shared" ca="1" si="30"/>
        <v>0</v>
      </c>
      <c r="J51" s="84">
        <f t="shared" ca="1" si="31"/>
        <v>0</v>
      </c>
      <c r="K51" s="84">
        <v>0</v>
      </c>
      <c r="L51" s="84" t="str">
        <f t="shared" ca="1" si="32"/>
        <v xml:space="preserve"> </v>
      </c>
      <c r="M51" s="51">
        <v>27</v>
      </c>
      <c r="N51" s="51">
        <f t="shared" ca="1" si="34"/>
        <v>0</v>
      </c>
      <c r="O51" s="51">
        <f t="shared" ca="1" si="0"/>
        <v>20</v>
      </c>
      <c r="P51" s="56">
        <f t="shared" ca="1" si="1"/>
        <v>0</v>
      </c>
      <c r="Q51" s="56">
        <f t="shared" ca="1" si="2"/>
        <v>0</v>
      </c>
      <c r="R51" s="56">
        <f t="shared" ca="1" si="15"/>
        <v>0</v>
      </c>
      <c r="S51" s="56" t="str">
        <f t="shared" ca="1" si="24"/>
        <v xml:space="preserve"> </v>
      </c>
      <c r="T51" s="56" t="e">
        <f t="shared" ca="1" si="25"/>
        <v>#VALUE!</v>
      </c>
      <c r="U51" s="56">
        <f t="shared" ca="1" si="36"/>
        <v>0</v>
      </c>
      <c r="V51" s="56">
        <f t="shared" ca="1" si="37"/>
        <v>0</v>
      </c>
      <c r="W51" s="56">
        <f t="shared" ca="1" si="26"/>
        <v>0</v>
      </c>
      <c r="X51" s="56">
        <f t="shared" ca="1" si="27"/>
        <v>0</v>
      </c>
      <c r="Y51" s="56">
        <f t="shared" ca="1" si="16"/>
        <v>0</v>
      </c>
      <c r="Z51" s="56">
        <f t="shared" ca="1" si="28"/>
        <v>0</v>
      </c>
      <c r="AA51" s="56">
        <f t="shared" ca="1" si="17"/>
        <v>0</v>
      </c>
      <c r="AB51" s="56">
        <f t="shared" ca="1" si="35"/>
        <v>0</v>
      </c>
      <c r="AC51" s="56">
        <f t="shared" ca="1" si="3"/>
        <v>0</v>
      </c>
      <c r="AD51" s="56">
        <f t="shared" ca="1" si="4"/>
        <v>0</v>
      </c>
      <c r="AE51" s="56">
        <f t="shared" ca="1" si="33"/>
        <v>0</v>
      </c>
      <c r="AF51" s="56">
        <f t="shared" ca="1" si="18"/>
        <v>0</v>
      </c>
      <c r="AG51" s="56">
        <f t="shared" ca="1" si="29"/>
        <v>0</v>
      </c>
      <c r="AH51" s="56">
        <f t="shared" ca="1" si="19"/>
        <v>0</v>
      </c>
      <c r="AI51" s="56">
        <f t="shared" ca="1" si="5"/>
        <v>0</v>
      </c>
      <c r="AJ51" s="56">
        <f t="shared" ca="1" si="38"/>
        <v>0</v>
      </c>
      <c r="AK51" s="56">
        <f t="shared" ca="1" si="39"/>
        <v>0</v>
      </c>
      <c r="AL51" s="57">
        <f t="shared" ca="1" si="20"/>
        <v>0</v>
      </c>
      <c r="AM51" s="57">
        <f t="shared" ca="1" si="6"/>
        <v>0</v>
      </c>
      <c r="AN51" s="51">
        <f t="shared" ca="1" si="21"/>
        <v>0</v>
      </c>
      <c r="AO51" s="51">
        <f t="shared" ca="1" si="7"/>
        <v>0</v>
      </c>
      <c r="AP51" s="51">
        <f t="shared" ca="1" si="8"/>
        <v>0</v>
      </c>
      <c r="AQ51" s="51">
        <f t="shared" ca="1" si="9"/>
        <v>30</v>
      </c>
      <c r="AR51" s="51">
        <f t="shared" si="10"/>
        <v>20</v>
      </c>
      <c r="AS51" s="51">
        <f t="shared" ca="1" si="22"/>
        <v>30</v>
      </c>
      <c r="AT51" s="52"/>
      <c r="AU51" s="52"/>
      <c r="AV51" s="52"/>
      <c r="AW51" s="52"/>
      <c r="AX51" s="52"/>
      <c r="AY51" s="51">
        <f t="shared" ca="1" si="23"/>
        <v>0</v>
      </c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 t="str">
        <f t="shared" ca="1" si="12"/>
        <v xml:space="preserve"> </v>
      </c>
      <c r="C52" s="401"/>
      <c r="D52" s="443" t="str">
        <f ca="1">IF(N52=0,IF(N51=1,SUM(D$25:E51)," "),IF(N52=0," ",IF(N53=1,D$25,IF(N53=0,D$10-D$25*(M$14-1)," "))))</f>
        <v xml:space="preserve"> </v>
      </c>
      <c r="E52" s="443"/>
      <c r="F52" s="84" t="str">
        <f ca="1">IF(N52=0,IF(N51=1,SUM(F$25:F51)," "),IF(M$1=1,P52,IF(M$1=2,Q52," ")))</f>
        <v xml:space="preserve"> </v>
      </c>
      <c r="G52" s="84">
        <v>0</v>
      </c>
      <c r="H52" s="84" t="str">
        <f t="shared" ca="1" si="13"/>
        <v xml:space="preserve"> </v>
      </c>
      <c r="I52" s="84">
        <f t="shared" ca="1" si="30"/>
        <v>0</v>
      </c>
      <c r="J52" s="84">
        <f t="shared" ca="1" si="31"/>
        <v>0</v>
      </c>
      <c r="K52" s="84">
        <v>0</v>
      </c>
      <c r="L52" s="84" t="str">
        <f t="shared" ca="1" si="32"/>
        <v xml:space="preserve"> </v>
      </c>
      <c r="M52" s="51">
        <v>28</v>
      </c>
      <c r="N52" s="51">
        <f t="shared" ca="1" si="34"/>
        <v>0</v>
      </c>
      <c r="O52" s="51">
        <f t="shared" ca="1" si="0"/>
        <v>20</v>
      </c>
      <c r="P52" s="56">
        <f t="shared" ca="1" si="1"/>
        <v>0</v>
      </c>
      <c r="Q52" s="56">
        <f t="shared" ca="1" si="2"/>
        <v>0</v>
      </c>
      <c r="R52" s="56">
        <f t="shared" ca="1" si="15"/>
        <v>0</v>
      </c>
      <c r="S52" s="56" t="str">
        <f t="shared" ca="1" si="24"/>
        <v xml:space="preserve"> </v>
      </c>
      <c r="T52" s="56" t="e">
        <f t="shared" ca="1" si="25"/>
        <v>#VALUE!</v>
      </c>
      <c r="U52" s="56">
        <f t="shared" ca="1" si="36"/>
        <v>0</v>
      </c>
      <c r="V52" s="56">
        <f t="shared" ca="1" si="37"/>
        <v>0</v>
      </c>
      <c r="W52" s="56">
        <f t="shared" ca="1" si="26"/>
        <v>0</v>
      </c>
      <c r="X52" s="56">
        <f t="shared" ca="1" si="27"/>
        <v>0</v>
      </c>
      <c r="Y52" s="56">
        <f t="shared" ca="1" si="16"/>
        <v>0</v>
      </c>
      <c r="Z52" s="56">
        <f t="shared" ca="1" si="28"/>
        <v>0</v>
      </c>
      <c r="AA52" s="56">
        <f t="shared" ca="1" si="17"/>
        <v>0</v>
      </c>
      <c r="AB52" s="56">
        <f t="shared" ca="1" si="35"/>
        <v>0</v>
      </c>
      <c r="AC52" s="56">
        <f t="shared" ca="1" si="3"/>
        <v>0</v>
      </c>
      <c r="AD52" s="56">
        <f t="shared" ca="1" si="4"/>
        <v>0</v>
      </c>
      <c r="AE52" s="56">
        <f t="shared" ca="1" si="33"/>
        <v>0</v>
      </c>
      <c r="AF52" s="56">
        <f t="shared" ca="1" si="18"/>
        <v>0</v>
      </c>
      <c r="AG52" s="56">
        <f t="shared" ca="1" si="29"/>
        <v>0</v>
      </c>
      <c r="AH52" s="56">
        <f t="shared" ca="1" si="19"/>
        <v>0</v>
      </c>
      <c r="AI52" s="56">
        <f t="shared" ca="1" si="5"/>
        <v>0</v>
      </c>
      <c r="AJ52" s="56">
        <f t="shared" ca="1" si="38"/>
        <v>0</v>
      </c>
      <c r="AK52" s="56">
        <f t="shared" ca="1" si="39"/>
        <v>0</v>
      </c>
      <c r="AL52" s="57">
        <f t="shared" ca="1" si="20"/>
        <v>0</v>
      </c>
      <c r="AM52" s="57">
        <f t="shared" ca="1" si="6"/>
        <v>0</v>
      </c>
      <c r="AN52" s="51">
        <f t="shared" ca="1" si="21"/>
        <v>0</v>
      </c>
      <c r="AO52" s="51">
        <f t="shared" ca="1" si="7"/>
        <v>0</v>
      </c>
      <c r="AP52" s="51">
        <f t="shared" ca="1" si="8"/>
        <v>0</v>
      </c>
      <c r="AQ52" s="51">
        <f t="shared" ca="1" si="9"/>
        <v>30</v>
      </c>
      <c r="AR52" s="51">
        <f t="shared" si="10"/>
        <v>20</v>
      </c>
      <c r="AS52" s="51">
        <f t="shared" ca="1" si="22"/>
        <v>30</v>
      </c>
      <c r="AT52" s="52"/>
      <c r="AU52" s="52"/>
      <c r="AV52" s="52"/>
      <c r="AW52" s="52"/>
      <c r="AX52" s="52"/>
      <c r="AY52" s="51">
        <f t="shared" ca="1" si="23"/>
        <v>0</v>
      </c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 t="str">
        <f t="shared" ca="1" si="12"/>
        <v xml:space="preserve"> </v>
      </c>
      <c r="C53" s="401"/>
      <c r="D53" s="443" t="str">
        <f ca="1">IF(N53=0,IF(N52=1,SUM(D$25:E52)," "),IF(N53=0," ",IF(N54=1,D$25,IF(N54=0,D$10-D$25*(M$14-1)," "))))</f>
        <v xml:space="preserve"> </v>
      </c>
      <c r="E53" s="443"/>
      <c r="F53" s="84" t="str">
        <f ca="1">IF(N53=0,IF(N52=1,SUM(F$25:F52)," "),IF(M$1=1,P53,IF(M$1=2,Q53," ")))</f>
        <v xml:space="preserve"> </v>
      </c>
      <c r="G53" s="84">
        <v>0</v>
      </c>
      <c r="H53" s="84" t="str">
        <f t="shared" ca="1" si="13"/>
        <v xml:space="preserve"> </v>
      </c>
      <c r="I53" s="84">
        <f t="shared" ca="1" si="30"/>
        <v>0</v>
      </c>
      <c r="J53" s="84">
        <f t="shared" ca="1" si="31"/>
        <v>0</v>
      </c>
      <c r="K53" s="84">
        <v>0</v>
      </c>
      <c r="L53" s="84" t="str">
        <f t="shared" ca="1" si="32"/>
        <v xml:space="preserve"> </v>
      </c>
      <c r="M53" s="51">
        <v>29</v>
      </c>
      <c r="N53" s="51">
        <f t="shared" ca="1" si="34"/>
        <v>0</v>
      </c>
      <c r="O53" s="51">
        <f t="shared" ca="1" si="0"/>
        <v>20</v>
      </c>
      <c r="P53" s="56">
        <f t="shared" ca="1" si="1"/>
        <v>0</v>
      </c>
      <c r="Q53" s="56">
        <f t="shared" ca="1" si="2"/>
        <v>0</v>
      </c>
      <c r="R53" s="56">
        <f t="shared" ca="1" si="15"/>
        <v>0</v>
      </c>
      <c r="S53" s="56" t="str">
        <f t="shared" ca="1" si="24"/>
        <v xml:space="preserve"> </v>
      </c>
      <c r="T53" s="56" t="e">
        <f t="shared" ca="1" si="25"/>
        <v>#VALUE!</v>
      </c>
      <c r="U53" s="56">
        <f t="shared" ca="1" si="36"/>
        <v>0</v>
      </c>
      <c r="V53" s="56">
        <f t="shared" ca="1" si="37"/>
        <v>0</v>
      </c>
      <c r="W53" s="56">
        <f t="shared" ca="1" si="26"/>
        <v>0</v>
      </c>
      <c r="X53" s="56">
        <f t="shared" ca="1" si="27"/>
        <v>0</v>
      </c>
      <c r="Y53" s="56">
        <f t="shared" ca="1" si="16"/>
        <v>0</v>
      </c>
      <c r="Z53" s="56">
        <f t="shared" ca="1" si="28"/>
        <v>0</v>
      </c>
      <c r="AA53" s="56">
        <f t="shared" ca="1" si="17"/>
        <v>0</v>
      </c>
      <c r="AB53" s="56">
        <f t="shared" ca="1" si="35"/>
        <v>0</v>
      </c>
      <c r="AC53" s="56">
        <f t="shared" ca="1" si="3"/>
        <v>0</v>
      </c>
      <c r="AD53" s="56">
        <f t="shared" ca="1" si="4"/>
        <v>0</v>
      </c>
      <c r="AE53" s="56">
        <f t="shared" ca="1" si="33"/>
        <v>0</v>
      </c>
      <c r="AF53" s="56">
        <f t="shared" ca="1" si="18"/>
        <v>0</v>
      </c>
      <c r="AG53" s="56">
        <f t="shared" ca="1" si="29"/>
        <v>0</v>
      </c>
      <c r="AH53" s="56">
        <f t="shared" ca="1" si="19"/>
        <v>0</v>
      </c>
      <c r="AI53" s="56">
        <f t="shared" ca="1" si="5"/>
        <v>0</v>
      </c>
      <c r="AJ53" s="56">
        <f t="shared" ca="1" si="38"/>
        <v>0</v>
      </c>
      <c r="AK53" s="56">
        <f t="shared" ca="1" si="39"/>
        <v>0</v>
      </c>
      <c r="AL53" s="57">
        <f t="shared" ca="1" si="20"/>
        <v>0</v>
      </c>
      <c r="AM53" s="57">
        <f t="shared" ca="1" si="6"/>
        <v>0</v>
      </c>
      <c r="AN53" s="51">
        <f t="shared" ca="1" si="21"/>
        <v>0</v>
      </c>
      <c r="AO53" s="51">
        <f t="shared" ca="1" si="7"/>
        <v>0</v>
      </c>
      <c r="AP53" s="51">
        <f t="shared" ca="1" si="8"/>
        <v>0</v>
      </c>
      <c r="AQ53" s="51">
        <f t="shared" ca="1" si="9"/>
        <v>30</v>
      </c>
      <c r="AR53" s="51">
        <f t="shared" si="10"/>
        <v>20</v>
      </c>
      <c r="AS53" s="51">
        <f t="shared" ca="1" si="22"/>
        <v>30</v>
      </c>
      <c r="AT53" s="52"/>
      <c r="AU53" s="52"/>
      <c r="AV53" s="52"/>
      <c r="AW53" s="52"/>
      <c r="AX53" s="52"/>
      <c r="AY53" s="51">
        <f t="shared" ca="1" si="23"/>
        <v>0</v>
      </c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 t="str">
        <f t="shared" ca="1" si="12"/>
        <v xml:space="preserve"> </v>
      </c>
      <c r="C54" s="401"/>
      <c r="D54" s="443" t="str">
        <f ca="1">IF(N54=0,IF(N53=1,SUM(D$25:E53)," "),IF(N54=0," ",IF(N55=1,D$25,IF(N55=0,D$10-D$25*(M$14-1)," "))))</f>
        <v xml:space="preserve"> </v>
      </c>
      <c r="E54" s="443"/>
      <c r="F54" s="84" t="str">
        <f ca="1">IF(N54=0,IF(N53=1,SUM(F$25:F53)," "),IF(M$1=1,P54,IF(M$1=2,Q54," ")))</f>
        <v xml:space="preserve"> </v>
      </c>
      <c r="G54" s="84">
        <v>0</v>
      </c>
      <c r="H54" s="84" t="str">
        <f t="shared" ca="1" si="13"/>
        <v xml:space="preserve"> </v>
      </c>
      <c r="I54" s="84">
        <f t="shared" ca="1" si="30"/>
        <v>0</v>
      </c>
      <c r="J54" s="84">
        <f t="shared" ca="1" si="31"/>
        <v>0</v>
      </c>
      <c r="K54" s="84">
        <v>0</v>
      </c>
      <c r="L54" s="84" t="str">
        <f t="shared" ca="1" si="32"/>
        <v xml:space="preserve"> </v>
      </c>
      <c r="M54" s="51">
        <v>30</v>
      </c>
      <c r="N54" s="51">
        <f t="shared" ca="1" si="34"/>
        <v>0</v>
      </c>
      <c r="O54" s="51">
        <f t="shared" ca="1" si="0"/>
        <v>20</v>
      </c>
      <c r="P54" s="56">
        <f t="shared" ca="1" si="1"/>
        <v>0</v>
      </c>
      <c r="Q54" s="56">
        <f t="shared" ca="1" si="2"/>
        <v>0</v>
      </c>
      <c r="R54" s="56">
        <f t="shared" ca="1" si="15"/>
        <v>0</v>
      </c>
      <c r="S54" s="56" t="str">
        <f t="shared" ca="1" si="24"/>
        <v xml:space="preserve"> </v>
      </c>
      <c r="T54" s="56" t="e">
        <f t="shared" ca="1" si="25"/>
        <v>#VALUE!</v>
      </c>
      <c r="U54" s="56">
        <f t="shared" ca="1" si="36"/>
        <v>0</v>
      </c>
      <c r="V54" s="56">
        <f t="shared" ca="1" si="37"/>
        <v>0</v>
      </c>
      <c r="W54" s="56">
        <f t="shared" ca="1" si="26"/>
        <v>0</v>
      </c>
      <c r="X54" s="56">
        <f t="shared" ca="1" si="27"/>
        <v>0</v>
      </c>
      <c r="Y54" s="56">
        <f t="shared" ca="1" si="16"/>
        <v>0</v>
      </c>
      <c r="Z54" s="56">
        <f t="shared" ca="1" si="28"/>
        <v>0</v>
      </c>
      <c r="AA54" s="56">
        <f t="shared" ca="1" si="17"/>
        <v>0</v>
      </c>
      <c r="AB54" s="56">
        <f t="shared" ca="1" si="35"/>
        <v>0</v>
      </c>
      <c r="AC54" s="56">
        <f t="shared" ca="1" si="3"/>
        <v>0</v>
      </c>
      <c r="AD54" s="56">
        <f t="shared" ca="1" si="4"/>
        <v>0</v>
      </c>
      <c r="AE54" s="56">
        <f t="shared" ca="1" si="33"/>
        <v>0</v>
      </c>
      <c r="AF54" s="56">
        <f t="shared" ca="1" si="18"/>
        <v>0</v>
      </c>
      <c r="AG54" s="56">
        <f t="shared" ca="1" si="29"/>
        <v>0</v>
      </c>
      <c r="AH54" s="56">
        <f t="shared" ca="1" si="19"/>
        <v>0</v>
      </c>
      <c r="AI54" s="56">
        <f t="shared" ca="1" si="5"/>
        <v>0</v>
      </c>
      <c r="AJ54" s="56">
        <f t="shared" ca="1" si="38"/>
        <v>0</v>
      </c>
      <c r="AK54" s="56">
        <f t="shared" ca="1" si="39"/>
        <v>0</v>
      </c>
      <c r="AL54" s="57">
        <f t="shared" ca="1" si="20"/>
        <v>0</v>
      </c>
      <c r="AM54" s="57">
        <f t="shared" ca="1" si="6"/>
        <v>0</v>
      </c>
      <c r="AN54" s="51">
        <f t="shared" ca="1" si="21"/>
        <v>0</v>
      </c>
      <c r="AO54" s="51">
        <f t="shared" ca="1" si="7"/>
        <v>0</v>
      </c>
      <c r="AP54" s="51">
        <f t="shared" ca="1" si="8"/>
        <v>0</v>
      </c>
      <c r="AQ54" s="51">
        <f t="shared" ca="1" si="9"/>
        <v>30</v>
      </c>
      <c r="AR54" s="51">
        <f t="shared" si="10"/>
        <v>20</v>
      </c>
      <c r="AS54" s="51">
        <f t="shared" ca="1" si="22"/>
        <v>30</v>
      </c>
      <c r="AT54" s="52"/>
      <c r="AU54" s="52"/>
      <c r="AV54" s="52"/>
      <c r="AW54" s="52"/>
      <c r="AX54" s="52"/>
      <c r="AY54" s="51">
        <f t="shared" ca="1" si="23"/>
        <v>0</v>
      </c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 t="str">
        <f t="shared" ca="1" si="12"/>
        <v xml:space="preserve"> </v>
      </c>
      <c r="C55" s="401"/>
      <c r="D55" s="443" t="str">
        <f ca="1">IF(N55=0,IF(N54=1,SUM(D$25:E54)," "),IF(N55=0," ",IF(N56=1,D$25,IF(N56=0,D$10-D$25*(M$14-1)," "))))</f>
        <v xml:space="preserve"> </v>
      </c>
      <c r="E55" s="443"/>
      <c r="F55" s="84" t="str">
        <f ca="1">IF(N55=0,IF(N54=1,SUM(F$25:F54)," "),IF(M$1=1,P55,IF(M$1=2,Q55," ")))</f>
        <v xml:space="preserve"> </v>
      </c>
      <c r="G55" s="84">
        <v>0</v>
      </c>
      <c r="H55" s="84" t="str">
        <f t="shared" ca="1" si="13"/>
        <v xml:space="preserve"> </v>
      </c>
      <c r="I55" s="84">
        <f t="shared" ca="1" si="30"/>
        <v>0</v>
      </c>
      <c r="J55" s="84">
        <f t="shared" ca="1" si="31"/>
        <v>0</v>
      </c>
      <c r="K55" s="84">
        <v>0</v>
      </c>
      <c r="L55" s="84" t="str">
        <f t="shared" ca="1" si="32"/>
        <v xml:space="preserve"> </v>
      </c>
      <c r="M55" s="51">
        <v>31</v>
      </c>
      <c r="N55" s="51">
        <f t="shared" ca="1" si="34"/>
        <v>0</v>
      </c>
      <c r="O55" s="51">
        <f t="shared" ca="1" si="0"/>
        <v>20</v>
      </c>
      <c r="P55" s="56">
        <f t="shared" ca="1" si="1"/>
        <v>0</v>
      </c>
      <c r="Q55" s="56">
        <f t="shared" ca="1" si="2"/>
        <v>0</v>
      </c>
      <c r="R55" s="56">
        <f t="shared" ca="1" si="15"/>
        <v>0</v>
      </c>
      <c r="S55" s="56" t="str">
        <f t="shared" ca="1" si="24"/>
        <v xml:space="preserve"> </v>
      </c>
      <c r="T55" s="56" t="e">
        <f t="shared" ca="1" si="25"/>
        <v>#VALUE!</v>
      </c>
      <c r="U55" s="56">
        <f t="shared" ca="1" si="36"/>
        <v>0</v>
      </c>
      <c r="V55" s="56">
        <f t="shared" ca="1" si="37"/>
        <v>0</v>
      </c>
      <c r="W55" s="56">
        <f t="shared" ca="1" si="26"/>
        <v>0</v>
      </c>
      <c r="X55" s="56">
        <f t="shared" ca="1" si="27"/>
        <v>0</v>
      </c>
      <c r="Y55" s="56">
        <f t="shared" ca="1" si="16"/>
        <v>0</v>
      </c>
      <c r="Z55" s="56">
        <f t="shared" ca="1" si="28"/>
        <v>0</v>
      </c>
      <c r="AA55" s="56">
        <f t="shared" ca="1" si="17"/>
        <v>0</v>
      </c>
      <c r="AB55" s="56">
        <f t="shared" ca="1" si="35"/>
        <v>0</v>
      </c>
      <c r="AC55" s="56">
        <f t="shared" ca="1" si="3"/>
        <v>0</v>
      </c>
      <c r="AD55" s="56">
        <f t="shared" ca="1" si="4"/>
        <v>0</v>
      </c>
      <c r="AE55" s="56">
        <f t="shared" ca="1" si="33"/>
        <v>0</v>
      </c>
      <c r="AF55" s="56">
        <f t="shared" ca="1" si="18"/>
        <v>0</v>
      </c>
      <c r="AG55" s="56">
        <f t="shared" ca="1" si="29"/>
        <v>0</v>
      </c>
      <c r="AH55" s="56">
        <f t="shared" ca="1" si="19"/>
        <v>0</v>
      </c>
      <c r="AI55" s="56">
        <f t="shared" ca="1" si="5"/>
        <v>0</v>
      </c>
      <c r="AJ55" s="56">
        <f t="shared" ca="1" si="38"/>
        <v>0</v>
      </c>
      <c r="AK55" s="56">
        <f t="shared" ca="1" si="39"/>
        <v>0</v>
      </c>
      <c r="AL55" s="57">
        <f t="shared" ca="1" si="20"/>
        <v>0</v>
      </c>
      <c r="AM55" s="57">
        <f t="shared" ca="1" si="6"/>
        <v>0</v>
      </c>
      <c r="AN55" s="51">
        <f t="shared" ca="1" si="21"/>
        <v>0</v>
      </c>
      <c r="AO55" s="51">
        <f t="shared" ca="1" si="7"/>
        <v>0</v>
      </c>
      <c r="AP55" s="51">
        <f t="shared" ca="1" si="8"/>
        <v>0</v>
      </c>
      <c r="AQ55" s="51">
        <f t="shared" ca="1" si="9"/>
        <v>30</v>
      </c>
      <c r="AR55" s="51">
        <f t="shared" si="10"/>
        <v>20</v>
      </c>
      <c r="AS55" s="51">
        <f t="shared" ca="1" si="22"/>
        <v>30</v>
      </c>
      <c r="AT55" s="52"/>
      <c r="AU55" s="52"/>
      <c r="AV55" s="52"/>
      <c r="AW55" s="52"/>
      <c r="AX55" s="52"/>
      <c r="AY55" s="51">
        <f t="shared" ca="1" si="23"/>
        <v>0</v>
      </c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 t="str">
        <f t="shared" ca="1" si="12"/>
        <v xml:space="preserve"> </v>
      </c>
      <c r="C56" s="401"/>
      <c r="D56" s="443" t="str">
        <f ca="1">IF(N56=0,IF(N55=1,SUM(D$25:E55)," "),IF(N56=0," ",IF(N57=1,D$25,IF(N57=0,D$10-D$25*(M$14-1)," "))))</f>
        <v xml:space="preserve"> </v>
      </c>
      <c r="E56" s="443"/>
      <c r="F56" s="84" t="str">
        <f ca="1">IF(N56=0,IF(N55=1,SUM(F$25:F55)," "),IF(M$1=1,P56,IF(M$1=2,Q56," ")))</f>
        <v xml:space="preserve"> </v>
      </c>
      <c r="G56" s="84">
        <v>0</v>
      </c>
      <c r="H56" s="84" t="str">
        <f t="shared" ca="1" si="13"/>
        <v xml:space="preserve"> </v>
      </c>
      <c r="I56" s="84">
        <f t="shared" ca="1" si="30"/>
        <v>0</v>
      </c>
      <c r="J56" s="84">
        <f t="shared" ca="1" si="31"/>
        <v>0</v>
      </c>
      <c r="K56" s="84">
        <v>0</v>
      </c>
      <c r="L56" s="84" t="str">
        <f t="shared" ca="1" si="32"/>
        <v xml:space="preserve"> </v>
      </c>
      <c r="M56" s="51">
        <v>32</v>
      </c>
      <c r="N56" s="51">
        <f t="shared" ca="1" si="34"/>
        <v>0</v>
      </c>
      <c r="O56" s="51">
        <f t="shared" ca="1" si="0"/>
        <v>20</v>
      </c>
      <c r="P56" s="56">
        <f t="shared" ca="1" si="1"/>
        <v>0</v>
      </c>
      <c r="Q56" s="56">
        <f t="shared" ca="1" si="2"/>
        <v>0</v>
      </c>
      <c r="R56" s="56">
        <f t="shared" ca="1" si="15"/>
        <v>0</v>
      </c>
      <c r="S56" s="56" t="str">
        <f t="shared" ca="1" si="24"/>
        <v xml:space="preserve"> </v>
      </c>
      <c r="T56" s="56" t="e">
        <f t="shared" ca="1" si="25"/>
        <v>#VALUE!</v>
      </c>
      <c r="U56" s="56">
        <f t="shared" ca="1" si="36"/>
        <v>0</v>
      </c>
      <c r="V56" s="56">
        <f t="shared" ca="1" si="37"/>
        <v>0</v>
      </c>
      <c r="W56" s="56">
        <f t="shared" ca="1" si="26"/>
        <v>0</v>
      </c>
      <c r="X56" s="56">
        <f t="shared" ca="1" si="27"/>
        <v>0</v>
      </c>
      <c r="Y56" s="56">
        <f t="shared" ca="1" si="16"/>
        <v>0</v>
      </c>
      <c r="Z56" s="56">
        <f t="shared" ca="1" si="28"/>
        <v>0</v>
      </c>
      <c r="AA56" s="56">
        <f t="shared" ca="1" si="17"/>
        <v>0</v>
      </c>
      <c r="AB56" s="56">
        <f t="shared" ca="1" si="35"/>
        <v>0</v>
      </c>
      <c r="AC56" s="56">
        <f t="shared" ca="1" si="3"/>
        <v>0</v>
      </c>
      <c r="AD56" s="56">
        <f t="shared" ca="1" si="4"/>
        <v>0</v>
      </c>
      <c r="AE56" s="56">
        <f t="shared" ca="1" si="33"/>
        <v>0</v>
      </c>
      <c r="AF56" s="56">
        <f t="shared" ca="1" si="18"/>
        <v>0</v>
      </c>
      <c r="AG56" s="56">
        <f t="shared" ca="1" si="29"/>
        <v>0</v>
      </c>
      <c r="AH56" s="56">
        <f t="shared" ca="1" si="19"/>
        <v>0</v>
      </c>
      <c r="AI56" s="56">
        <f t="shared" ca="1" si="5"/>
        <v>0</v>
      </c>
      <c r="AJ56" s="56">
        <f t="shared" ca="1" si="38"/>
        <v>0</v>
      </c>
      <c r="AK56" s="56">
        <f t="shared" ca="1" si="39"/>
        <v>0</v>
      </c>
      <c r="AL56" s="57">
        <f t="shared" ca="1" si="20"/>
        <v>0</v>
      </c>
      <c r="AM56" s="57">
        <f t="shared" ca="1" si="6"/>
        <v>0</v>
      </c>
      <c r="AN56" s="51">
        <f t="shared" ca="1" si="21"/>
        <v>0</v>
      </c>
      <c r="AO56" s="51">
        <f t="shared" ca="1" si="7"/>
        <v>0</v>
      </c>
      <c r="AP56" s="51">
        <f t="shared" ca="1" si="8"/>
        <v>0</v>
      </c>
      <c r="AQ56" s="51">
        <f t="shared" ca="1" si="9"/>
        <v>30</v>
      </c>
      <c r="AR56" s="51">
        <f t="shared" si="10"/>
        <v>20</v>
      </c>
      <c r="AS56" s="51">
        <f t="shared" ca="1" si="22"/>
        <v>30</v>
      </c>
      <c r="AT56" s="52"/>
      <c r="AU56" s="52"/>
      <c r="AV56" s="52"/>
      <c r="AW56" s="52"/>
      <c r="AX56" s="52"/>
      <c r="AY56" s="51">
        <f t="shared" ca="1" si="23"/>
        <v>0</v>
      </c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 t="str">
        <f t="shared" ca="1" si="12"/>
        <v xml:space="preserve"> </v>
      </c>
      <c r="C57" s="401"/>
      <c r="D57" s="443" t="str">
        <f ca="1">IF(N57=0,IF(N56=1,SUM(D$25:E56)," "),IF(N57=0," ",IF(N58=1,D$25,IF(N58=0,D$10-D$25*(M$14-1)," "))))</f>
        <v xml:space="preserve"> </v>
      </c>
      <c r="E57" s="443"/>
      <c r="F57" s="84" t="str">
        <f ca="1">IF(N57=0,IF(N56=1,SUM(F$25:F56)," "),IF(M$1=1,P57,IF(M$1=2,Q57," ")))</f>
        <v xml:space="preserve"> </v>
      </c>
      <c r="G57" s="84">
        <v>0</v>
      </c>
      <c r="H57" s="84" t="str">
        <f t="shared" ca="1" si="13"/>
        <v xml:space="preserve"> </v>
      </c>
      <c r="I57" s="84">
        <f t="shared" ca="1" si="30"/>
        <v>0</v>
      </c>
      <c r="J57" s="84">
        <f t="shared" ca="1" si="31"/>
        <v>0</v>
      </c>
      <c r="K57" s="84">
        <v>0</v>
      </c>
      <c r="L57" s="84" t="str">
        <f t="shared" ca="1" si="32"/>
        <v xml:space="preserve"> </v>
      </c>
      <c r="M57" s="51">
        <v>33</v>
      </c>
      <c r="N57" s="51">
        <f t="shared" ca="1" si="34"/>
        <v>0</v>
      </c>
      <c r="O57" s="51">
        <f t="shared" ref="O57:O85" ca="1" si="40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56">
        <f t="shared" ref="P57:P85" ca="1" si="41">IF(U57&lt;&gt;0,IF(VALUE(RIGHT(ROUND(U57,0)))&lt;=5,ROUND(U57,0)-VALUE(RIGHT(ROUND(U57,0))),ROUND(U57,0)+10-VALUE(RIGHT(ROUND(U57,0)))),0)</f>
        <v>0</v>
      </c>
      <c r="Q57" s="56">
        <f t="shared" ref="Q57:Q85" ca="1" si="42">IF(V57&lt;&gt;0,IF(VALUE(RIGHT(ROUND(V57,0)))&lt;=5,ROUND(V57,0)-VALUE(RIGHT(ROUND(V57,0))),ROUND(V57,0)+10-VALUE(RIGHT(ROUND(V57,0)))),0)</f>
        <v>0</v>
      </c>
      <c r="R57" s="56">
        <f t="shared" ca="1" si="15"/>
        <v>0</v>
      </c>
      <c r="S57" s="56" t="str">
        <f t="shared" ca="1" si="24"/>
        <v xml:space="preserve"> </v>
      </c>
      <c r="T57" s="56" t="e">
        <f t="shared" ca="1" si="25"/>
        <v>#VALUE!</v>
      </c>
      <c r="U57" s="56">
        <f t="shared" ca="1" si="36"/>
        <v>0</v>
      </c>
      <c r="V57" s="56">
        <f t="shared" ca="1" si="37"/>
        <v>0</v>
      </c>
      <c r="W57" s="56">
        <f t="shared" ca="1" si="26"/>
        <v>0</v>
      </c>
      <c r="X57" s="56">
        <f t="shared" ca="1" si="27"/>
        <v>0</v>
      </c>
      <c r="Y57" s="56">
        <f t="shared" ca="1" si="16"/>
        <v>0</v>
      </c>
      <c r="Z57" s="56">
        <f t="shared" ca="1" si="28"/>
        <v>0</v>
      </c>
      <c r="AA57" s="56">
        <f t="shared" ca="1" si="17"/>
        <v>0</v>
      </c>
      <c r="AB57" s="56">
        <f t="shared" ca="1" si="35"/>
        <v>0</v>
      </c>
      <c r="AC57" s="56">
        <f t="shared" ref="AC57:AC85" ca="1" si="43">IF(AJ57&lt;&gt;0,IF(VALUE(RIGHT(ROUND(AJ57,0)))&lt;=5,ROUND(AJ57,0)-VALUE(RIGHT(ROUND(AJ57,0))),ROUND(AJ57,0)+10-VALUE(RIGHT(ROUND(AJ57,0)))),0)</f>
        <v>0</v>
      </c>
      <c r="AD57" s="56">
        <f t="shared" ref="AD57:AD85" ca="1" si="44">IF(AK57&lt;&gt;0,IF(VALUE(RIGHT(ROUND(AK57,0)))&lt;=5,ROUND(AK57,0)-VALUE(RIGHT(ROUND(AK57,0))),ROUND(AK57,0)+10-VALUE(RIGHT(ROUND(AK57,0)))),0)</f>
        <v>0</v>
      </c>
      <c r="AE57" s="56">
        <f t="shared" ca="1" si="33"/>
        <v>0</v>
      </c>
      <c r="AF57" s="56">
        <f t="shared" ca="1" si="18"/>
        <v>0</v>
      </c>
      <c r="AG57" s="56">
        <f t="shared" ca="1" si="29"/>
        <v>0</v>
      </c>
      <c r="AH57" s="56">
        <f t="shared" ca="1" si="19"/>
        <v>0</v>
      </c>
      <c r="AI57" s="56">
        <f t="shared" ref="AI57:AI85" ca="1" si="45">R57</f>
        <v>0</v>
      </c>
      <c r="AJ57" s="56">
        <f t="shared" ca="1" si="38"/>
        <v>0</v>
      </c>
      <c r="AK57" s="56">
        <f t="shared" ca="1" si="39"/>
        <v>0</v>
      </c>
      <c r="AL57" s="57">
        <f t="shared" ca="1" si="20"/>
        <v>0</v>
      </c>
      <c r="AM57" s="57">
        <f t="shared" ref="AM57:AM85" ca="1" si="46">IF(AL57=13,1,AL57)</f>
        <v>0</v>
      </c>
      <c r="AN57" s="51">
        <f t="shared" ca="1" si="21"/>
        <v>0</v>
      </c>
      <c r="AO57" s="51">
        <f t="shared" ref="AO57:AO85" ca="1" si="47">IF(AM57=1,AN57+1,AN57)</f>
        <v>0</v>
      </c>
      <c r="AP57" s="51">
        <f t="shared" ref="AP57:AP85" ca="1" si="48">IF((AN57/2012)=1,1,IF((AN57/2016)=1,1,IF((AN57/2020)=1,1,IF((AN57/2024)=1,1,IF((AN57/2028)=1,1,IF((AN57/2032)=1,1,0))))))</f>
        <v>0</v>
      </c>
      <c r="AQ57" s="51">
        <f t="shared" ref="AQ57:AQ85" ca="1" si="49">IF(AM57=2,IF(AP57=1,29,28),30)</f>
        <v>30</v>
      </c>
      <c r="AR57" s="51">
        <f t="shared" ref="AR57:AR85" si="50">IF(C$24=30,AQ57,20)</f>
        <v>20</v>
      </c>
      <c r="AS57" s="51">
        <f t="shared" ca="1" si="22"/>
        <v>30</v>
      </c>
      <c r="AT57" s="52"/>
      <c r="AU57" s="52"/>
      <c r="AV57" s="52"/>
      <c r="AW57" s="52"/>
      <c r="AX57" s="52"/>
      <c r="AY57" s="51">
        <f t="shared" ca="1" si="23"/>
        <v>0</v>
      </c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 t="str">
        <f t="shared" ref="B58:B85" ca="1" si="51">IF(N58=0,IF(N57=1,"ИТОГО"," "),IF(A$14=D$14+1,IF(M58=A$14,IF(MONTH(B57)=2,IF(DAY(D$16)&gt;29,DATE(YEAR(B57),MONTH(B57),AS58),DATE(YEAR(B57),MONTH(B57),O58)),DATE(YEAR(B57),MONTH(B57),O58)),DATE(YEAR(B57),MONTH(B57)+1,O58)),DATE(YEAR(B57),MONTH(B57)+1,O58)))</f>
        <v xml:space="preserve"> </v>
      </c>
      <c r="C58" s="401"/>
      <c r="D58" s="443" t="str">
        <f ca="1">IF(N58=0,IF(N57=1,SUM(D$25:E57)," "),IF(N58=0," ",IF(N59=1,D$25,IF(N59=0,D$10-D$25*(M$14-1)," "))))</f>
        <v xml:space="preserve"> </v>
      </c>
      <c r="E58" s="443"/>
      <c r="F58" s="84" t="str">
        <f ca="1">IF(N58=0,IF(N57=1,SUM(F$25:F57)," "),IF(M$1=1,P58,IF(M$1=2,Q58," ")))</f>
        <v xml:space="preserve"> </v>
      </c>
      <c r="G58" s="84">
        <v>0</v>
      </c>
      <c r="H58" s="84" t="str">
        <f t="shared" ref="H58:H86" ca="1" si="52">IF(SUM(D58:G58)=0," ",SUM(D58:G58))</f>
        <v xml:space="preserve"> </v>
      </c>
      <c r="I58" s="84">
        <f t="shared" ca="1" si="30"/>
        <v>0</v>
      </c>
      <c r="J58" s="84">
        <f t="shared" ca="1" si="31"/>
        <v>0</v>
      </c>
      <c r="K58" s="84">
        <v>0</v>
      </c>
      <c r="L58" s="84" t="str">
        <f t="shared" ca="1" si="32"/>
        <v xml:space="preserve"> </v>
      </c>
      <c r="M58" s="51">
        <v>34</v>
      </c>
      <c r="N58" s="51">
        <f t="shared" ca="1" si="34"/>
        <v>0</v>
      </c>
      <c r="O58" s="51">
        <f t="shared" ca="1" si="40"/>
        <v>20</v>
      </c>
      <c r="P58" s="56">
        <f t="shared" ca="1" si="41"/>
        <v>0</v>
      </c>
      <c r="Q58" s="56">
        <f t="shared" ca="1" si="42"/>
        <v>0</v>
      </c>
      <c r="R58" s="56">
        <f t="shared" ref="R58:R85" ca="1" si="53">IF(N58=0,0,R57-D57)</f>
        <v>0</v>
      </c>
      <c r="S58" s="56" t="str">
        <f t="shared" ca="1" si="24"/>
        <v xml:space="preserve"> </v>
      </c>
      <c r="T58" s="56" t="e">
        <f t="shared" ca="1" si="25"/>
        <v>#VALUE!</v>
      </c>
      <c r="U58" s="56">
        <f t="shared" ca="1" si="36"/>
        <v>0</v>
      </c>
      <c r="V58" s="56">
        <f t="shared" ca="1" si="37"/>
        <v>0</v>
      </c>
      <c r="W58" s="56">
        <f t="shared" ca="1" si="26"/>
        <v>0</v>
      </c>
      <c r="X58" s="56">
        <f t="shared" ca="1" si="27"/>
        <v>0</v>
      </c>
      <c r="Y58" s="56">
        <f t="shared" ca="1" si="16"/>
        <v>0</v>
      </c>
      <c r="Z58" s="56">
        <f t="shared" ca="1" si="28"/>
        <v>0</v>
      </c>
      <c r="AA58" s="56">
        <f t="shared" ca="1" si="17"/>
        <v>0</v>
      </c>
      <c r="AB58" s="56">
        <f t="shared" ca="1" si="35"/>
        <v>0</v>
      </c>
      <c r="AC58" s="56">
        <f t="shared" ca="1" si="43"/>
        <v>0</v>
      </c>
      <c r="AD58" s="56">
        <f t="shared" ca="1" si="44"/>
        <v>0</v>
      </c>
      <c r="AE58" s="56">
        <f t="shared" ca="1" si="33"/>
        <v>0</v>
      </c>
      <c r="AF58" s="56">
        <f t="shared" ca="1" si="18"/>
        <v>0</v>
      </c>
      <c r="AG58" s="56">
        <f t="shared" ca="1" si="29"/>
        <v>0</v>
      </c>
      <c r="AH58" s="56">
        <f t="shared" ca="1" si="19"/>
        <v>0</v>
      </c>
      <c r="AI58" s="56">
        <f t="shared" ca="1" si="45"/>
        <v>0</v>
      </c>
      <c r="AJ58" s="56">
        <f t="shared" ca="1" si="38"/>
        <v>0</v>
      </c>
      <c r="AK58" s="56">
        <f t="shared" ca="1" si="39"/>
        <v>0</v>
      </c>
      <c r="AL58" s="57">
        <f t="shared" ref="AL58:AL85" ca="1" si="54">IF(N58=0,0,MONTH(B57)+1)</f>
        <v>0</v>
      </c>
      <c r="AM58" s="57">
        <f t="shared" ca="1" si="46"/>
        <v>0</v>
      </c>
      <c r="AN58" s="51">
        <f t="shared" ref="AN58:AN85" ca="1" si="55">IF(N58=0,0,YEAR(B57))</f>
        <v>0</v>
      </c>
      <c r="AO58" s="51">
        <f t="shared" ca="1" si="47"/>
        <v>0</v>
      </c>
      <c r="AP58" s="51">
        <f t="shared" ca="1" si="48"/>
        <v>0</v>
      </c>
      <c r="AQ58" s="51">
        <f t="shared" ca="1" si="49"/>
        <v>30</v>
      </c>
      <c r="AR58" s="51">
        <f t="shared" si="50"/>
        <v>20</v>
      </c>
      <c r="AS58" s="51">
        <f t="shared" ref="AS58:AS85" ca="1" si="56">AQ57</f>
        <v>30</v>
      </c>
      <c r="AT58" s="52"/>
      <c r="AU58" s="52"/>
      <c r="AV58" s="52"/>
      <c r="AW58" s="52"/>
      <c r="AX58" s="52"/>
      <c r="AY58" s="51">
        <f t="shared" ca="1" si="23"/>
        <v>0</v>
      </c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 t="str">
        <f t="shared" ca="1" si="51"/>
        <v xml:space="preserve"> </v>
      </c>
      <c r="C59" s="401"/>
      <c r="D59" s="443" t="str">
        <f ca="1">IF(N59=0,IF(N58=1,SUM(D$25:E58)," "),IF(N59=0," ",IF(N60=1,D$25,IF(N60=0,D$10-D$25*(M$14-1)," "))))</f>
        <v xml:space="preserve"> </v>
      </c>
      <c r="E59" s="443"/>
      <c r="F59" s="84" t="str">
        <f ca="1">IF(N59=0,IF(N58=1,SUM(F$25:F58)," "),IF(M$1=1,P59,IF(M$1=2,Q59," ")))</f>
        <v xml:space="preserve"> </v>
      </c>
      <c r="G59" s="84">
        <v>0</v>
      </c>
      <c r="H59" s="84" t="str">
        <f t="shared" ca="1" si="52"/>
        <v xml:space="preserve"> </v>
      </c>
      <c r="I59" s="84">
        <f t="shared" ca="1" si="30"/>
        <v>0</v>
      </c>
      <c r="J59" s="84">
        <f t="shared" ca="1" si="31"/>
        <v>0</v>
      </c>
      <c r="K59" s="84">
        <v>0</v>
      </c>
      <c r="L59" s="84" t="str">
        <f t="shared" ca="1" si="32"/>
        <v xml:space="preserve"> </v>
      </c>
      <c r="M59" s="51">
        <v>35</v>
      </c>
      <c r="N59" s="51">
        <f t="shared" ca="1" si="34"/>
        <v>0</v>
      </c>
      <c r="O59" s="51">
        <f t="shared" ca="1" si="40"/>
        <v>20</v>
      </c>
      <c r="P59" s="56">
        <f t="shared" ca="1" si="41"/>
        <v>0</v>
      </c>
      <c r="Q59" s="56">
        <f t="shared" ca="1" si="42"/>
        <v>0</v>
      </c>
      <c r="R59" s="56">
        <f t="shared" ca="1" si="53"/>
        <v>0</v>
      </c>
      <c r="S59" s="56" t="str">
        <f t="shared" ca="1" si="24"/>
        <v xml:space="preserve"> </v>
      </c>
      <c r="T59" s="56" t="e">
        <f t="shared" ca="1" si="25"/>
        <v>#VALUE!</v>
      </c>
      <c r="U59" s="56">
        <f t="shared" ca="1" si="36"/>
        <v>0</v>
      </c>
      <c r="V59" s="56">
        <f t="shared" ca="1" si="37"/>
        <v>0</v>
      </c>
      <c r="W59" s="56">
        <f t="shared" ca="1" si="26"/>
        <v>0</v>
      </c>
      <c r="X59" s="56">
        <f t="shared" ca="1" si="27"/>
        <v>0</v>
      </c>
      <c r="Y59" s="56">
        <f t="shared" ca="1" si="16"/>
        <v>0</v>
      </c>
      <c r="Z59" s="56">
        <f t="shared" ca="1" si="28"/>
        <v>0</v>
      </c>
      <c r="AA59" s="56">
        <f t="shared" ca="1" si="17"/>
        <v>0</v>
      </c>
      <c r="AB59" s="56">
        <f t="shared" ca="1" si="35"/>
        <v>0</v>
      </c>
      <c r="AC59" s="56">
        <f t="shared" ca="1" si="43"/>
        <v>0</v>
      </c>
      <c r="AD59" s="56">
        <f t="shared" ca="1" si="44"/>
        <v>0</v>
      </c>
      <c r="AE59" s="56">
        <f t="shared" ca="1" si="33"/>
        <v>0</v>
      </c>
      <c r="AF59" s="56">
        <f t="shared" ca="1" si="18"/>
        <v>0</v>
      </c>
      <c r="AG59" s="56">
        <f t="shared" ca="1" si="29"/>
        <v>0</v>
      </c>
      <c r="AH59" s="56">
        <f t="shared" ca="1" si="19"/>
        <v>0</v>
      </c>
      <c r="AI59" s="56">
        <f t="shared" ca="1" si="45"/>
        <v>0</v>
      </c>
      <c r="AJ59" s="56">
        <f t="shared" ca="1" si="38"/>
        <v>0</v>
      </c>
      <c r="AK59" s="56">
        <f t="shared" ca="1" si="39"/>
        <v>0</v>
      </c>
      <c r="AL59" s="57">
        <f t="shared" ca="1" si="54"/>
        <v>0</v>
      </c>
      <c r="AM59" s="57">
        <f t="shared" ca="1" si="46"/>
        <v>0</v>
      </c>
      <c r="AN59" s="51">
        <f t="shared" ca="1" si="55"/>
        <v>0</v>
      </c>
      <c r="AO59" s="51">
        <f t="shared" ca="1" si="47"/>
        <v>0</v>
      </c>
      <c r="AP59" s="51">
        <f t="shared" ca="1" si="48"/>
        <v>0</v>
      </c>
      <c r="AQ59" s="51">
        <f t="shared" ca="1" si="49"/>
        <v>30</v>
      </c>
      <c r="AR59" s="51">
        <f t="shared" si="50"/>
        <v>20</v>
      </c>
      <c r="AS59" s="51">
        <f t="shared" ca="1" si="56"/>
        <v>30</v>
      </c>
      <c r="AT59" s="52"/>
      <c r="AU59" s="52"/>
      <c r="AV59" s="52"/>
      <c r="AW59" s="52"/>
      <c r="AX59" s="52"/>
      <c r="AY59" s="51">
        <f t="shared" ca="1" si="23"/>
        <v>0</v>
      </c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 t="str">
        <f t="shared" ca="1" si="51"/>
        <v xml:space="preserve"> </v>
      </c>
      <c r="C60" s="401"/>
      <c r="D60" s="443" t="str">
        <f ca="1">IF(N60=0,IF(N59=1,SUM(D$25:E59)," "),IF(N60=0," ",IF(N61=1,D$25,IF(N61=0,D$10-D$25*(M$14-1)," "))))</f>
        <v xml:space="preserve"> </v>
      </c>
      <c r="E60" s="443"/>
      <c r="F60" s="84" t="str">
        <f ca="1">IF(N60=0,IF(N59=1,SUM(F$25:F59)," "),IF(M$1=1,P60,IF(M$1=2,Q60," ")))</f>
        <v xml:space="preserve"> </v>
      </c>
      <c r="G60" s="84">
        <v>0</v>
      </c>
      <c r="H60" s="84" t="str">
        <f t="shared" ca="1" si="52"/>
        <v xml:space="preserve"> </v>
      </c>
      <c r="I60" s="84">
        <f t="shared" ca="1" si="30"/>
        <v>0</v>
      </c>
      <c r="J60" s="84">
        <f t="shared" ca="1" si="31"/>
        <v>0</v>
      </c>
      <c r="K60" s="84">
        <v>0</v>
      </c>
      <c r="L60" s="84" t="str">
        <f t="shared" ca="1" si="32"/>
        <v xml:space="preserve"> </v>
      </c>
      <c r="M60" s="51">
        <v>36</v>
      </c>
      <c r="N60" s="51">
        <f t="shared" ca="1" si="34"/>
        <v>0</v>
      </c>
      <c r="O60" s="51">
        <f t="shared" ca="1" si="40"/>
        <v>20</v>
      </c>
      <c r="P60" s="56">
        <f t="shared" ca="1" si="41"/>
        <v>0</v>
      </c>
      <c r="Q60" s="56">
        <f t="shared" ca="1" si="42"/>
        <v>0</v>
      </c>
      <c r="R60" s="56">
        <f t="shared" ca="1" si="53"/>
        <v>0</v>
      </c>
      <c r="S60" s="56" t="str">
        <f t="shared" ca="1" si="24"/>
        <v xml:space="preserve"> </v>
      </c>
      <c r="T60" s="56" t="e">
        <f t="shared" ca="1" si="25"/>
        <v>#VALUE!</v>
      </c>
      <c r="U60" s="56">
        <f t="shared" ca="1" si="36"/>
        <v>0</v>
      </c>
      <c r="V60" s="56">
        <f t="shared" ca="1" si="37"/>
        <v>0</v>
      </c>
      <c r="W60" s="56">
        <f t="shared" ca="1" si="26"/>
        <v>0</v>
      </c>
      <c r="X60" s="56">
        <f t="shared" ca="1" si="27"/>
        <v>0</v>
      </c>
      <c r="Y60" s="56">
        <f t="shared" ca="1" si="16"/>
        <v>0</v>
      </c>
      <c r="Z60" s="56">
        <f t="shared" ca="1" si="28"/>
        <v>0</v>
      </c>
      <c r="AA60" s="56">
        <f t="shared" ca="1" si="17"/>
        <v>0</v>
      </c>
      <c r="AB60" s="56">
        <f t="shared" ca="1" si="35"/>
        <v>0</v>
      </c>
      <c r="AC60" s="56">
        <f t="shared" ca="1" si="43"/>
        <v>0</v>
      </c>
      <c r="AD60" s="56">
        <f t="shared" ca="1" si="44"/>
        <v>0</v>
      </c>
      <c r="AE60" s="56">
        <f t="shared" ca="1" si="33"/>
        <v>0</v>
      </c>
      <c r="AF60" s="56">
        <f t="shared" ca="1" si="18"/>
        <v>0</v>
      </c>
      <c r="AG60" s="56">
        <f t="shared" ca="1" si="29"/>
        <v>0</v>
      </c>
      <c r="AH60" s="56">
        <f t="shared" ca="1" si="19"/>
        <v>0</v>
      </c>
      <c r="AI60" s="56">
        <f t="shared" ca="1" si="45"/>
        <v>0</v>
      </c>
      <c r="AJ60" s="56">
        <f t="shared" ca="1" si="38"/>
        <v>0</v>
      </c>
      <c r="AK60" s="56">
        <f t="shared" ca="1" si="39"/>
        <v>0</v>
      </c>
      <c r="AL60" s="57">
        <f t="shared" ca="1" si="54"/>
        <v>0</v>
      </c>
      <c r="AM60" s="57">
        <f t="shared" ca="1" si="46"/>
        <v>0</v>
      </c>
      <c r="AN60" s="51">
        <f t="shared" ca="1" si="55"/>
        <v>0</v>
      </c>
      <c r="AO60" s="51">
        <f t="shared" ca="1" si="47"/>
        <v>0</v>
      </c>
      <c r="AP60" s="51">
        <f t="shared" ca="1" si="48"/>
        <v>0</v>
      </c>
      <c r="AQ60" s="51">
        <f t="shared" ca="1" si="49"/>
        <v>30</v>
      </c>
      <c r="AR60" s="51">
        <f t="shared" si="50"/>
        <v>20</v>
      </c>
      <c r="AS60" s="51">
        <f t="shared" ca="1" si="56"/>
        <v>30</v>
      </c>
      <c r="AT60" s="52"/>
      <c r="AU60" s="52"/>
      <c r="AV60" s="52"/>
      <c r="AW60" s="52"/>
      <c r="AX60" s="52"/>
      <c r="AY60" s="51">
        <f t="shared" ca="1" si="23"/>
        <v>0</v>
      </c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1"/>
        <v xml:space="preserve"> </v>
      </c>
      <c r="C61" s="401"/>
      <c r="D61" s="443" t="str">
        <f ca="1">IF(N61=0,IF(N60=1,SUM(D$25:E60)," "),IF(N61=0," ",IF(N62=1,D$25,IF(N62=0,D$10-D$25*(M$14-1)," "))))</f>
        <v xml:space="preserve"> </v>
      </c>
      <c r="E61" s="443"/>
      <c r="F61" s="84" t="str">
        <f ca="1">IF(N61=0,IF(N60=1,SUM(F$25:F60)," "),IF(M$1=1,P61,IF(M$1=2,Q61," ")))</f>
        <v xml:space="preserve"> </v>
      </c>
      <c r="G61" s="84">
        <v>0</v>
      </c>
      <c r="H61" s="84" t="str">
        <f t="shared" ca="1" si="52"/>
        <v xml:space="preserve"> </v>
      </c>
      <c r="I61" s="84">
        <f t="shared" ca="1" si="30"/>
        <v>0</v>
      </c>
      <c r="J61" s="84">
        <f t="shared" ca="1" si="31"/>
        <v>0</v>
      </c>
      <c r="K61" s="84">
        <v>0</v>
      </c>
      <c r="L61" s="84" t="str">
        <f t="shared" ca="1" si="32"/>
        <v xml:space="preserve"> </v>
      </c>
      <c r="M61" s="51">
        <v>37</v>
      </c>
      <c r="N61" s="51">
        <f t="shared" ca="1" si="34"/>
        <v>0</v>
      </c>
      <c r="O61" s="51">
        <f t="shared" ca="1" si="40"/>
        <v>20</v>
      </c>
      <c r="P61" s="56">
        <f t="shared" ca="1" si="41"/>
        <v>0</v>
      </c>
      <c r="Q61" s="56">
        <f t="shared" ca="1" si="42"/>
        <v>0</v>
      </c>
      <c r="R61" s="56">
        <f t="shared" ca="1" si="53"/>
        <v>0</v>
      </c>
      <c r="S61" s="56" t="str">
        <f t="shared" ca="1" si="24"/>
        <v xml:space="preserve"> </v>
      </c>
      <c r="T61" s="56" t="e">
        <f t="shared" ca="1" si="25"/>
        <v>#VALUE!</v>
      </c>
      <c r="U61" s="56">
        <f ca="1">IF(N62=1,R60*D$11*20/36000+R61*D$11*10/36000,IF(N62=0,IF(N61=0,0,IF(D$16&gt;20,R60*D$11*20/36000+R61*D$11*(Q$12-20)/36000,R61*D$11*Q$12/36000))))</f>
        <v>0</v>
      </c>
      <c r="V61" s="56">
        <f ca="1">IF(N62=1,R60*D$11*20/36000+R61*D$11*10/36000,IF(N62=0,IF(N61=0,0,IF(D$16&gt;20,R60*D$11*20/36000+R61*D$11*(Q$12-20)/36000,R61*D$11*Q$12/36000))))</f>
        <v>0</v>
      </c>
      <c r="W61" s="56">
        <f t="shared" ca="1" si="26"/>
        <v>0</v>
      </c>
      <c r="X61" s="56">
        <f t="shared" ca="1" si="27"/>
        <v>0</v>
      </c>
      <c r="Y61" s="56">
        <f t="shared" ca="1" si="16"/>
        <v>0</v>
      </c>
      <c r="Z61" s="56">
        <f ca="1">IF(N62=1,Y60*D$11*20/36000+Y61*D$11*10/36000,IF(N62=0,IF(N61=0,0,IF(D$16&gt;20,Y60*D$11*20/36000+Y61*D$11*(Q$12-20)/36000,Y61*D$11*Q$12/36000))))</f>
        <v>0</v>
      </c>
      <c r="AA61" s="56">
        <f t="shared" ca="1" si="17"/>
        <v>0</v>
      </c>
      <c r="AB61" s="56">
        <f t="shared" ca="1" si="35"/>
        <v>0</v>
      </c>
      <c r="AC61" s="56">
        <f t="shared" ca="1" si="43"/>
        <v>0</v>
      </c>
      <c r="AD61" s="56">
        <f t="shared" ca="1" si="44"/>
        <v>0</v>
      </c>
      <c r="AE61" s="56">
        <f t="shared" ca="1" si="33"/>
        <v>0</v>
      </c>
      <c r="AF61" s="56">
        <f t="shared" ca="1" si="18"/>
        <v>0</v>
      </c>
      <c r="AG61" s="56">
        <f t="shared" ca="1" si="29"/>
        <v>0</v>
      </c>
      <c r="AH61" s="56">
        <f t="shared" ca="1" si="19"/>
        <v>0</v>
      </c>
      <c r="AI61" s="56">
        <f t="shared" ca="1" si="45"/>
        <v>0</v>
      </c>
      <c r="AJ61" s="56">
        <f ca="1">IF(N62=1,AI60*G$12*20/36000+AI61*G$12*10/36000,IF(N62=0,IF(N61=0,0,AI61*G$12*Q$12/36000)))</f>
        <v>0</v>
      </c>
      <c r="AK61" s="56">
        <f ca="1">IF(N62=1,AI60*G$12*20/36000+AI61*G$12*10/36000,IF(N62=0,IF(N61=0,0,AI61*G$12*Q$12/36000)))</f>
        <v>0</v>
      </c>
      <c r="AL61" s="57">
        <f t="shared" ca="1" si="54"/>
        <v>0</v>
      </c>
      <c r="AM61" s="57">
        <f t="shared" ca="1" si="46"/>
        <v>0</v>
      </c>
      <c r="AN61" s="51">
        <f t="shared" ca="1" si="55"/>
        <v>0</v>
      </c>
      <c r="AO61" s="51">
        <f t="shared" ca="1" si="47"/>
        <v>0</v>
      </c>
      <c r="AP61" s="51">
        <f t="shared" ca="1" si="48"/>
        <v>0</v>
      </c>
      <c r="AQ61" s="51">
        <f t="shared" ca="1" si="49"/>
        <v>30</v>
      </c>
      <c r="AR61" s="51">
        <f t="shared" si="50"/>
        <v>20</v>
      </c>
      <c r="AS61" s="51">
        <f t="shared" ca="1" si="56"/>
        <v>30</v>
      </c>
      <c r="AT61" s="52"/>
      <c r="AU61" s="52"/>
      <c r="AV61" s="52"/>
      <c r="AW61" s="52"/>
      <c r="AX61" s="52"/>
      <c r="AY61" s="51">
        <f t="shared" ca="1" si="23"/>
        <v>0</v>
      </c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1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2"/>
        <v xml:space="preserve"> </v>
      </c>
      <c r="I62" s="84">
        <f t="shared" ca="1" si="30"/>
        <v>0</v>
      </c>
      <c r="J62" s="84">
        <f t="shared" ca="1" si="31"/>
        <v>0</v>
      </c>
      <c r="K62" s="84">
        <v>0</v>
      </c>
      <c r="L62" s="84" t="str">
        <f t="shared" ca="1" si="32"/>
        <v xml:space="preserve"> </v>
      </c>
      <c r="M62" s="51">
        <v>38</v>
      </c>
      <c r="N62" s="51">
        <f t="shared" ca="1" si="34"/>
        <v>0</v>
      </c>
      <c r="O62" s="51">
        <f t="shared" ca="1" si="40"/>
        <v>20</v>
      </c>
      <c r="P62" s="56">
        <f t="shared" ca="1" si="41"/>
        <v>0</v>
      </c>
      <c r="Q62" s="56">
        <f t="shared" ca="1" si="42"/>
        <v>0</v>
      </c>
      <c r="R62" s="56">
        <f t="shared" ca="1" si="53"/>
        <v>0</v>
      </c>
      <c r="S62" s="56" t="str">
        <f t="shared" ca="1" si="24"/>
        <v xml:space="preserve"> </v>
      </c>
      <c r="T62" s="56" t="e">
        <f t="shared" ca="1" si="25"/>
        <v>#VALUE!</v>
      </c>
      <c r="U62" s="56">
        <f t="shared" ref="U62:U72" ca="1" si="57">IF(N63=1,R61*D$11*20/36000+R62*D$11*10/36000,IF(N63=0,IF(N62=0,0,R62*D$11*Q$12/36000+R61*D$11*20/36000+R62*D$11*10/36000)))</f>
        <v>0</v>
      </c>
      <c r="V62" s="56">
        <f t="shared" ref="V62:V72" ca="1" si="58">IF(N63=1,R61*D$11*20/36000+R62*D$11*10/36000,IF(N63=0,IF(N62=0,0,R62*D$11*Q$12/36000+R61*D$11*20/36000+R62*D$11*10/36000)))</f>
        <v>0</v>
      </c>
      <c r="W62" s="56">
        <f t="shared" ca="1" si="26"/>
        <v>0</v>
      </c>
      <c r="X62" s="56">
        <f t="shared" ca="1" si="27"/>
        <v>0</v>
      </c>
      <c r="Y62" s="56">
        <f t="shared" ca="1" si="16"/>
        <v>0</v>
      </c>
      <c r="Z62" s="56">
        <f t="shared" ca="1" si="28"/>
        <v>0</v>
      </c>
      <c r="AA62" s="56">
        <f t="shared" ca="1" si="17"/>
        <v>0</v>
      </c>
      <c r="AB62" s="56">
        <f t="shared" ca="1" si="35"/>
        <v>0</v>
      </c>
      <c r="AC62" s="56">
        <f t="shared" ca="1" si="43"/>
        <v>0</v>
      </c>
      <c r="AD62" s="56">
        <f t="shared" ca="1" si="44"/>
        <v>0</v>
      </c>
      <c r="AE62" s="56">
        <f t="shared" ca="1" si="33"/>
        <v>0</v>
      </c>
      <c r="AF62" s="56">
        <f t="shared" ca="1" si="18"/>
        <v>0</v>
      </c>
      <c r="AG62" s="56">
        <f t="shared" ca="1" si="29"/>
        <v>0</v>
      </c>
      <c r="AH62" s="56">
        <f t="shared" ca="1" si="19"/>
        <v>0</v>
      </c>
      <c r="AI62" s="56">
        <f t="shared" ca="1" si="45"/>
        <v>0</v>
      </c>
      <c r="AJ62" s="56">
        <f t="shared" ref="AJ62:AJ72" ca="1" si="59">IF(N63=1,AI61*G$12*20/36000+AI62*G$12*10/36000,IF(N63=0,IF(N62=0,0,AI62*G$12*Q$12/36000+AI61*G$12*20/36000+AI62*G$12*10/36000)))</f>
        <v>0</v>
      </c>
      <c r="AK62" s="56">
        <f t="shared" ref="AK62:AK72" ca="1" si="60">IF(N63=1,AI61*G$12*20/36000+AI62*G$12*10/36000,IF(N63=0,IF(N62=0,0,AI62*G$12*Q$12/36000+AI61*G$12*20/36000+AI62*G$12*10/36000)))</f>
        <v>0</v>
      </c>
      <c r="AL62" s="57">
        <f t="shared" ca="1" si="54"/>
        <v>0</v>
      </c>
      <c r="AM62" s="57">
        <f t="shared" ca="1" si="46"/>
        <v>0</v>
      </c>
      <c r="AN62" s="51">
        <f t="shared" ca="1" si="55"/>
        <v>0</v>
      </c>
      <c r="AO62" s="51">
        <f t="shared" ca="1" si="47"/>
        <v>0</v>
      </c>
      <c r="AP62" s="51">
        <f t="shared" ca="1" si="48"/>
        <v>0</v>
      </c>
      <c r="AQ62" s="51">
        <f t="shared" ca="1" si="49"/>
        <v>30</v>
      </c>
      <c r="AR62" s="51">
        <f t="shared" si="50"/>
        <v>20</v>
      </c>
      <c r="AS62" s="51">
        <f t="shared" ca="1" si="56"/>
        <v>30</v>
      </c>
      <c r="AT62" s="52"/>
      <c r="AU62" s="52"/>
      <c r="AV62" s="52"/>
      <c r="AW62" s="52"/>
      <c r="AX62" s="52"/>
      <c r="AY62" s="51">
        <f t="shared" ca="1" si="23"/>
        <v>0</v>
      </c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1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2"/>
        <v xml:space="preserve"> </v>
      </c>
      <c r="I63" s="84">
        <f t="shared" ca="1" si="30"/>
        <v>0</v>
      </c>
      <c r="J63" s="84">
        <f t="shared" ca="1" si="31"/>
        <v>0</v>
      </c>
      <c r="K63" s="84">
        <v>0</v>
      </c>
      <c r="L63" s="84" t="str">
        <f t="shared" ca="1" si="32"/>
        <v xml:space="preserve"> </v>
      </c>
      <c r="M63" s="51">
        <v>39</v>
      </c>
      <c r="N63" s="51">
        <f t="shared" ca="1" si="34"/>
        <v>0</v>
      </c>
      <c r="O63" s="51">
        <f t="shared" ca="1" si="40"/>
        <v>20</v>
      </c>
      <c r="P63" s="56">
        <f t="shared" ca="1" si="41"/>
        <v>0</v>
      </c>
      <c r="Q63" s="56">
        <f t="shared" ca="1" si="42"/>
        <v>0</v>
      </c>
      <c r="R63" s="56">
        <f t="shared" ca="1" si="53"/>
        <v>0</v>
      </c>
      <c r="S63" s="56" t="str">
        <f t="shared" ca="1" si="24"/>
        <v xml:space="preserve"> </v>
      </c>
      <c r="T63" s="56" t="e">
        <f t="shared" ca="1" si="25"/>
        <v>#VALUE!</v>
      </c>
      <c r="U63" s="56">
        <f t="shared" ca="1" si="57"/>
        <v>0</v>
      </c>
      <c r="V63" s="56">
        <f t="shared" ca="1" si="58"/>
        <v>0</v>
      </c>
      <c r="W63" s="56">
        <f t="shared" ca="1" si="26"/>
        <v>0</v>
      </c>
      <c r="X63" s="56">
        <f t="shared" ca="1" si="27"/>
        <v>0</v>
      </c>
      <c r="Y63" s="56">
        <f t="shared" ca="1" si="16"/>
        <v>0</v>
      </c>
      <c r="Z63" s="56">
        <f t="shared" ca="1" si="28"/>
        <v>0</v>
      </c>
      <c r="AA63" s="56">
        <f t="shared" ca="1" si="17"/>
        <v>0</v>
      </c>
      <c r="AB63" s="56">
        <f t="shared" ca="1" si="35"/>
        <v>0</v>
      </c>
      <c r="AC63" s="56">
        <f t="shared" ca="1" si="43"/>
        <v>0</v>
      </c>
      <c r="AD63" s="56">
        <f t="shared" ca="1" si="44"/>
        <v>0</v>
      </c>
      <c r="AE63" s="56">
        <f t="shared" ca="1" si="33"/>
        <v>0</v>
      </c>
      <c r="AF63" s="56">
        <f t="shared" ca="1" si="18"/>
        <v>0</v>
      </c>
      <c r="AG63" s="56">
        <f t="shared" ca="1" si="29"/>
        <v>0</v>
      </c>
      <c r="AH63" s="56">
        <f t="shared" ca="1" si="19"/>
        <v>0</v>
      </c>
      <c r="AI63" s="56">
        <f t="shared" ca="1" si="45"/>
        <v>0</v>
      </c>
      <c r="AJ63" s="56">
        <f t="shared" ca="1" si="59"/>
        <v>0</v>
      </c>
      <c r="AK63" s="56">
        <f t="shared" ca="1" si="60"/>
        <v>0</v>
      </c>
      <c r="AL63" s="57">
        <f t="shared" ca="1" si="54"/>
        <v>0</v>
      </c>
      <c r="AM63" s="57">
        <f t="shared" ca="1" si="46"/>
        <v>0</v>
      </c>
      <c r="AN63" s="51">
        <f t="shared" ca="1" si="55"/>
        <v>0</v>
      </c>
      <c r="AO63" s="51">
        <f t="shared" ca="1" si="47"/>
        <v>0</v>
      </c>
      <c r="AP63" s="51">
        <f t="shared" ca="1" si="48"/>
        <v>0</v>
      </c>
      <c r="AQ63" s="51">
        <f t="shared" ca="1" si="49"/>
        <v>30</v>
      </c>
      <c r="AR63" s="51">
        <f t="shared" si="50"/>
        <v>20</v>
      </c>
      <c r="AS63" s="51">
        <f t="shared" ca="1" si="56"/>
        <v>30</v>
      </c>
      <c r="AT63" s="52"/>
      <c r="AU63" s="52"/>
      <c r="AV63" s="52"/>
      <c r="AW63" s="52"/>
      <c r="AX63" s="52"/>
      <c r="AY63" s="51">
        <f t="shared" ca="1" si="23"/>
        <v>0</v>
      </c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1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2"/>
        <v xml:space="preserve"> </v>
      </c>
      <c r="I64" s="84">
        <f t="shared" ca="1" si="30"/>
        <v>0</v>
      </c>
      <c r="J64" s="84">
        <f t="shared" ca="1" si="31"/>
        <v>0</v>
      </c>
      <c r="K64" s="84">
        <v>0</v>
      </c>
      <c r="L64" s="84" t="str">
        <f t="shared" ca="1" si="32"/>
        <v xml:space="preserve"> </v>
      </c>
      <c r="M64" s="51">
        <v>40</v>
      </c>
      <c r="N64" s="51">
        <f t="shared" ca="1" si="34"/>
        <v>0</v>
      </c>
      <c r="O64" s="51">
        <f t="shared" ca="1" si="40"/>
        <v>20</v>
      </c>
      <c r="P64" s="56">
        <f t="shared" ca="1" si="41"/>
        <v>0</v>
      </c>
      <c r="Q64" s="56">
        <f t="shared" ca="1" si="42"/>
        <v>0</v>
      </c>
      <c r="R64" s="56">
        <f t="shared" ca="1" si="53"/>
        <v>0</v>
      </c>
      <c r="S64" s="56" t="str">
        <f t="shared" ca="1" si="24"/>
        <v xml:space="preserve"> </v>
      </c>
      <c r="T64" s="56" t="e">
        <f t="shared" ca="1" si="25"/>
        <v>#VALUE!</v>
      </c>
      <c r="U64" s="56">
        <f t="shared" ca="1" si="57"/>
        <v>0</v>
      </c>
      <c r="V64" s="56">
        <f t="shared" ca="1" si="58"/>
        <v>0</v>
      </c>
      <c r="W64" s="56">
        <f t="shared" ca="1" si="26"/>
        <v>0</v>
      </c>
      <c r="X64" s="56">
        <f t="shared" ca="1" si="27"/>
        <v>0</v>
      </c>
      <c r="Y64" s="56">
        <f t="shared" ca="1" si="16"/>
        <v>0</v>
      </c>
      <c r="Z64" s="56">
        <f t="shared" ca="1" si="28"/>
        <v>0</v>
      </c>
      <c r="AA64" s="56">
        <f t="shared" ca="1" si="17"/>
        <v>0</v>
      </c>
      <c r="AB64" s="56">
        <f t="shared" ca="1" si="35"/>
        <v>0</v>
      </c>
      <c r="AC64" s="56">
        <f t="shared" ca="1" si="43"/>
        <v>0</v>
      </c>
      <c r="AD64" s="56">
        <f t="shared" ca="1" si="44"/>
        <v>0</v>
      </c>
      <c r="AE64" s="56">
        <f t="shared" ca="1" si="33"/>
        <v>0</v>
      </c>
      <c r="AF64" s="56">
        <f t="shared" ca="1" si="18"/>
        <v>0</v>
      </c>
      <c r="AG64" s="56">
        <f t="shared" ca="1" si="29"/>
        <v>0</v>
      </c>
      <c r="AH64" s="56">
        <f t="shared" ca="1" si="19"/>
        <v>0</v>
      </c>
      <c r="AI64" s="56">
        <f t="shared" ca="1" si="45"/>
        <v>0</v>
      </c>
      <c r="AJ64" s="56">
        <f t="shared" ca="1" si="59"/>
        <v>0</v>
      </c>
      <c r="AK64" s="56">
        <f t="shared" ca="1" si="60"/>
        <v>0</v>
      </c>
      <c r="AL64" s="57">
        <f t="shared" ca="1" si="54"/>
        <v>0</v>
      </c>
      <c r="AM64" s="57">
        <f t="shared" ca="1" si="46"/>
        <v>0</v>
      </c>
      <c r="AN64" s="51">
        <f t="shared" ca="1" si="55"/>
        <v>0</v>
      </c>
      <c r="AO64" s="51">
        <f t="shared" ca="1" si="47"/>
        <v>0</v>
      </c>
      <c r="AP64" s="51">
        <f t="shared" ca="1" si="48"/>
        <v>0</v>
      </c>
      <c r="AQ64" s="51">
        <f t="shared" ca="1" si="49"/>
        <v>30</v>
      </c>
      <c r="AR64" s="51">
        <f t="shared" si="50"/>
        <v>20</v>
      </c>
      <c r="AS64" s="51">
        <f t="shared" ca="1" si="56"/>
        <v>30</v>
      </c>
      <c r="AT64" s="52"/>
      <c r="AU64" s="52"/>
      <c r="AV64" s="52"/>
      <c r="AW64" s="52"/>
      <c r="AX64" s="52"/>
      <c r="AY64" s="51">
        <f t="shared" ca="1" si="23"/>
        <v>0</v>
      </c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1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2"/>
        <v xml:space="preserve"> </v>
      </c>
      <c r="I65" s="84">
        <f t="shared" ca="1" si="30"/>
        <v>0</v>
      </c>
      <c r="J65" s="84">
        <f t="shared" ca="1" si="31"/>
        <v>0</v>
      </c>
      <c r="K65" s="84">
        <v>0</v>
      </c>
      <c r="L65" s="84" t="str">
        <f t="shared" ca="1" si="32"/>
        <v xml:space="preserve"> </v>
      </c>
      <c r="M65" s="51">
        <v>41</v>
      </c>
      <c r="N65" s="51">
        <f t="shared" ca="1" si="34"/>
        <v>0</v>
      </c>
      <c r="O65" s="51">
        <f t="shared" ca="1" si="40"/>
        <v>20</v>
      </c>
      <c r="P65" s="56">
        <f t="shared" ca="1" si="41"/>
        <v>0</v>
      </c>
      <c r="Q65" s="56">
        <f t="shared" ca="1" si="42"/>
        <v>0</v>
      </c>
      <c r="R65" s="56">
        <f t="shared" ca="1" si="53"/>
        <v>0</v>
      </c>
      <c r="S65" s="56" t="str">
        <f t="shared" ca="1" si="24"/>
        <v xml:space="preserve"> </v>
      </c>
      <c r="T65" s="56" t="e">
        <f t="shared" ca="1" si="25"/>
        <v>#VALUE!</v>
      </c>
      <c r="U65" s="56">
        <f t="shared" ca="1" si="57"/>
        <v>0</v>
      </c>
      <c r="V65" s="56">
        <f t="shared" ca="1" si="58"/>
        <v>0</v>
      </c>
      <c r="W65" s="56">
        <f t="shared" ca="1" si="26"/>
        <v>0</v>
      </c>
      <c r="X65" s="56">
        <f t="shared" ca="1" si="27"/>
        <v>0</v>
      </c>
      <c r="Y65" s="56">
        <f t="shared" ca="1" si="16"/>
        <v>0</v>
      </c>
      <c r="Z65" s="56">
        <f t="shared" ca="1" si="28"/>
        <v>0</v>
      </c>
      <c r="AA65" s="56">
        <f t="shared" ca="1" si="17"/>
        <v>0</v>
      </c>
      <c r="AB65" s="56">
        <f t="shared" ca="1" si="35"/>
        <v>0</v>
      </c>
      <c r="AC65" s="56">
        <f t="shared" ca="1" si="43"/>
        <v>0</v>
      </c>
      <c r="AD65" s="56">
        <f t="shared" ca="1" si="44"/>
        <v>0</v>
      </c>
      <c r="AE65" s="56">
        <f t="shared" ca="1" si="33"/>
        <v>0</v>
      </c>
      <c r="AF65" s="56">
        <f t="shared" ca="1" si="18"/>
        <v>0</v>
      </c>
      <c r="AG65" s="56">
        <f t="shared" ca="1" si="29"/>
        <v>0</v>
      </c>
      <c r="AH65" s="56">
        <f t="shared" ca="1" si="19"/>
        <v>0</v>
      </c>
      <c r="AI65" s="56">
        <f t="shared" ca="1" si="45"/>
        <v>0</v>
      </c>
      <c r="AJ65" s="56">
        <f t="shared" ca="1" si="59"/>
        <v>0</v>
      </c>
      <c r="AK65" s="56">
        <f t="shared" ca="1" si="60"/>
        <v>0</v>
      </c>
      <c r="AL65" s="57">
        <f t="shared" ca="1" si="54"/>
        <v>0</v>
      </c>
      <c r="AM65" s="57">
        <f t="shared" ca="1" si="46"/>
        <v>0</v>
      </c>
      <c r="AN65" s="51">
        <f t="shared" ca="1" si="55"/>
        <v>0</v>
      </c>
      <c r="AO65" s="51">
        <f t="shared" ca="1" si="47"/>
        <v>0</v>
      </c>
      <c r="AP65" s="51">
        <f t="shared" ca="1" si="48"/>
        <v>0</v>
      </c>
      <c r="AQ65" s="51">
        <f t="shared" ca="1" si="49"/>
        <v>30</v>
      </c>
      <c r="AR65" s="51">
        <f t="shared" si="50"/>
        <v>20</v>
      </c>
      <c r="AS65" s="51">
        <f t="shared" ca="1" si="56"/>
        <v>30</v>
      </c>
      <c r="AT65" s="52"/>
      <c r="AU65" s="52"/>
      <c r="AV65" s="52"/>
      <c r="AW65" s="52"/>
      <c r="AX65" s="52"/>
      <c r="AY65" s="51">
        <f t="shared" ca="1" si="23"/>
        <v>0</v>
      </c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1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2"/>
        <v xml:space="preserve"> </v>
      </c>
      <c r="I66" s="84">
        <f t="shared" ca="1" si="30"/>
        <v>0</v>
      </c>
      <c r="J66" s="84">
        <f t="shared" ca="1" si="31"/>
        <v>0</v>
      </c>
      <c r="K66" s="84">
        <v>0</v>
      </c>
      <c r="L66" s="84" t="str">
        <f t="shared" ca="1" si="32"/>
        <v xml:space="preserve"> </v>
      </c>
      <c r="M66" s="51">
        <v>42</v>
      </c>
      <c r="N66" s="51">
        <f t="shared" ca="1" si="34"/>
        <v>0</v>
      </c>
      <c r="O66" s="51">
        <f t="shared" ca="1" si="40"/>
        <v>20</v>
      </c>
      <c r="P66" s="56">
        <f t="shared" ca="1" si="41"/>
        <v>0</v>
      </c>
      <c r="Q66" s="56">
        <f t="shared" ca="1" si="42"/>
        <v>0</v>
      </c>
      <c r="R66" s="56">
        <f t="shared" ca="1" si="53"/>
        <v>0</v>
      </c>
      <c r="S66" s="56" t="str">
        <f t="shared" ca="1" si="24"/>
        <v xml:space="preserve"> </v>
      </c>
      <c r="T66" s="56" t="e">
        <f t="shared" ca="1" si="25"/>
        <v>#VALUE!</v>
      </c>
      <c r="U66" s="56">
        <f t="shared" ca="1" si="57"/>
        <v>0</v>
      </c>
      <c r="V66" s="56">
        <f t="shared" ca="1" si="58"/>
        <v>0</v>
      </c>
      <c r="W66" s="56">
        <f t="shared" ca="1" si="26"/>
        <v>0</v>
      </c>
      <c r="X66" s="56">
        <f t="shared" ca="1" si="27"/>
        <v>0</v>
      </c>
      <c r="Y66" s="56">
        <f t="shared" ca="1" si="16"/>
        <v>0</v>
      </c>
      <c r="Z66" s="56">
        <f t="shared" ca="1" si="28"/>
        <v>0</v>
      </c>
      <c r="AA66" s="56">
        <f t="shared" ca="1" si="17"/>
        <v>0</v>
      </c>
      <c r="AB66" s="56">
        <f t="shared" ca="1" si="35"/>
        <v>0</v>
      </c>
      <c r="AC66" s="56">
        <f t="shared" ca="1" si="43"/>
        <v>0</v>
      </c>
      <c r="AD66" s="56">
        <f t="shared" ca="1" si="44"/>
        <v>0</v>
      </c>
      <c r="AE66" s="56">
        <f t="shared" ca="1" si="33"/>
        <v>0</v>
      </c>
      <c r="AF66" s="56">
        <f t="shared" ca="1" si="18"/>
        <v>0</v>
      </c>
      <c r="AG66" s="56">
        <f t="shared" ca="1" si="29"/>
        <v>0</v>
      </c>
      <c r="AH66" s="56">
        <f t="shared" ca="1" si="19"/>
        <v>0</v>
      </c>
      <c r="AI66" s="56">
        <f t="shared" ca="1" si="45"/>
        <v>0</v>
      </c>
      <c r="AJ66" s="56">
        <f t="shared" ca="1" si="59"/>
        <v>0</v>
      </c>
      <c r="AK66" s="56">
        <f t="shared" ca="1" si="60"/>
        <v>0</v>
      </c>
      <c r="AL66" s="57">
        <f t="shared" ca="1" si="54"/>
        <v>0</v>
      </c>
      <c r="AM66" s="57">
        <f t="shared" ca="1" si="46"/>
        <v>0</v>
      </c>
      <c r="AN66" s="51">
        <f t="shared" ca="1" si="55"/>
        <v>0</v>
      </c>
      <c r="AO66" s="51">
        <f t="shared" ca="1" si="47"/>
        <v>0</v>
      </c>
      <c r="AP66" s="51">
        <f t="shared" ca="1" si="48"/>
        <v>0</v>
      </c>
      <c r="AQ66" s="51">
        <f t="shared" ca="1" si="49"/>
        <v>30</v>
      </c>
      <c r="AR66" s="51">
        <f t="shared" si="50"/>
        <v>20</v>
      </c>
      <c r="AS66" s="51">
        <f t="shared" ca="1" si="56"/>
        <v>30</v>
      </c>
      <c r="AT66" s="52"/>
      <c r="AU66" s="52"/>
      <c r="AV66" s="52"/>
      <c r="AW66" s="52"/>
      <c r="AX66" s="52"/>
      <c r="AY66" s="51">
        <f t="shared" ca="1" si="23"/>
        <v>0</v>
      </c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1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2"/>
        <v xml:space="preserve"> </v>
      </c>
      <c r="I67" s="84">
        <f t="shared" ca="1" si="30"/>
        <v>0</v>
      </c>
      <c r="J67" s="84">
        <f t="shared" ca="1" si="31"/>
        <v>0</v>
      </c>
      <c r="K67" s="84">
        <v>0</v>
      </c>
      <c r="L67" s="84" t="str">
        <f t="shared" ca="1" si="32"/>
        <v xml:space="preserve"> </v>
      </c>
      <c r="M67" s="51">
        <v>43</v>
      </c>
      <c r="N67" s="51">
        <f t="shared" ca="1" si="34"/>
        <v>0</v>
      </c>
      <c r="O67" s="51">
        <f t="shared" ca="1" si="40"/>
        <v>20</v>
      </c>
      <c r="P67" s="56">
        <f t="shared" ca="1" si="41"/>
        <v>0</v>
      </c>
      <c r="Q67" s="56">
        <f t="shared" ca="1" si="42"/>
        <v>0</v>
      </c>
      <c r="R67" s="56">
        <f t="shared" ca="1" si="53"/>
        <v>0</v>
      </c>
      <c r="S67" s="56" t="str">
        <f t="shared" ca="1" si="24"/>
        <v xml:space="preserve"> </v>
      </c>
      <c r="T67" s="56" t="e">
        <f t="shared" ca="1" si="25"/>
        <v>#VALUE!</v>
      </c>
      <c r="U67" s="56">
        <f t="shared" ca="1" si="57"/>
        <v>0</v>
      </c>
      <c r="V67" s="56">
        <f t="shared" ca="1" si="58"/>
        <v>0</v>
      </c>
      <c r="W67" s="56">
        <f t="shared" ca="1" si="26"/>
        <v>0</v>
      </c>
      <c r="X67" s="56">
        <f t="shared" ca="1" si="27"/>
        <v>0</v>
      </c>
      <c r="Y67" s="56">
        <f t="shared" ca="1" si="16"/>
        <v>0</v>
      </c>
      <c r="Z67" s="56">
        <f t="shared" ca="1" si="28"/>
        <v>0</v>
      </c>
      <c r="AA67" s="56">
        <f t="shared" ca="1" si="17"/>
        <v>0</v>
      </c>
      <c r="AB67" s="56">
        <f t="shared" ca="1" si="35"/>
        <v>0</v>
      </c>
      <c r="AC67" s="56">
        <f t="shared" ca="1" si="43"/>
        <v>0</v>
      </c>
      <c r="AD67" s="56">
        <f t="shared" ca="1" si="44"/>
        <v>0</v>
      </c>
      <c r="AE67" s="56">
        <f t="shared" ca="1" si="33"/>
        <v>0</v>
      </c>
      <c r="AF67" s="56">
        <f t="shared" ca="1" si="18"/>
        <v>0</v>
      </c>
      <c r="AG67" s="56">
        <f t="shared" ca="1" si="29"/>
        <v>0</v>
      </c>
      <c r="AH67" s="56">
        <f t="shared" ca="1" si="19"/>
        <v>0</v>
      </c>
      <c r="AI67" s="56">
        <f t="shared" ca="1" si="45"/>
        <v>0</v>
      </c>
      <c r="AJ67" s="56">
        <f t="shared" ca="1" si="59"/>
        <v>0</v>
      </c>
      <c r="AK67" s="56">
        <f t="shared" ca="1" si="60"/>
        <v>0</v>
      </c>
      <c r="AL67" s="57">
        <f t="shared" ca="1" si="54"/>
        <v>0</v>
      </c>
      <c r="AM67" s="57">
        <f t="shared" ca="1" si="46"/>
        <v>0</v>
      </c>
      <c r="AN67" s="51">
        <f t="shared" ca="1" si="55"/>
        <v>0</v>
      </c>
      <c r="AO67" s="51">
        <f t="shared" ca="1" si="47"/>
        <v>0</v>
      </c>
      <c r="AP67" s="51">
        <f t="shared" ca="1" si="48"/>
        <v>0</v>
      </c>
      <c r="AQ67" s="51">
        <f t="shared" ca="1" si="49"/>
        <v>30</v>
      </c>
      <c r="AR67" s="51">
        <f t="shared" si="50"/>
        <v>20</v>
      </c>
      <c r="AS67" s="51">
        <f t="shared" ca="1" si="56"/>
        <v>30</v>
      </c>
      <c r="AT67" s="52"/>
      <c r="AU67" s="52"/>
      <c r="AV67" s="52"/>
      <c r="AW67" s="52"/>
      <c r="AX67" s="52"/>
      <c r="AY67" s="51">
        <f t="shared" ca="1" si="23"/>
        <v>0</v>
      </c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1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2"/>
        <v xml:space="preserve"> </v>
      </c>
      <c r="I68" s="84">
        <f t="shared" ca="1" si="30"/>
        <v>0</v>
      </c>
      <c r="J68" s="84">
        <f t="shared" ca="1" si="31"/>
        <v>0</v>
      </c>
      <c r="K68" s="84">
        <v>0</v>
      </c>
      <c r="L68" s="84" t="str">
        <f t="shared" ca="1" si="32"/>
        <v xml:space="preserve"> </v>
      </c>
      <c r="M68" s="51">
        <v>44</v>
      </c>
      <c r="N68" s="51">
        <f t="shared" ca="1" si="34"/>
        <v>0</v>
      </c>
      <c r="O68" s="51">
        <f t="shared" ca="1" si="40"/>
        <v>20</v>
      </c>
      <c r="P68" s="56">
        <f t="shared" ca="1" si="41"/>
        <v>0</v>
      </c>
      <c r="Q68" s="56">
        <f t="shared" ca="1" si="42"/>
        <v>0</v>
      </c>
      <c r="R68" s="56">
        <f t="shared" ca="1" si="53"/>
        <v>0</v>
      </c>
      <c r="S68" s="56" t="str">
        <f t="shared" ca="1" si="24"/>
        <v xml:space="preserve"> </v>
      </c>
      <c r="T68" s="56" t="e">
        <f t="shared" ca="1" si="25"/>
        <v>#VALUE!</v>
      </c>
      <c r="U68" s="56">
        <f t="shared" ca="1" si="57"/>
        <v>0</v>
      </c>
      <c r="V68" s="56">
        <f t="shared" ca="1" si="58"/>
        <v>0</v>
      </c>
      <c r="W68" s="56">
        <f t="shared" ca="1" si="26"/>
        <v>0</v>
      </c>
      <c r="X68" s="56">
        <f t="shared" ca="1" si="27"/>
        <v>0</v>
      </c>
      <c r="Y68" s="56">
        <f t="shared" ca="1" si="16"/>
        <v>0</v>
      </c>
      <c r="Z68" s="56">
        <f t="shared" ca="1" si="28"/>
        <v>0</v>
      </c>
      <c r="AA68" s="56">
        <f t="shared" ca="1" si="17"/>
        <v>0</v>
      </c>
      <c r="AB68" s="56">
        <f t="shared" ca="1" si="35"/>
        <v>0</v>
      </c>
      <c r="AC68" s="56">
        <f t="shared" ca="1" si="43"/>
        <v>0</v>
      </c>
      <c r="AD68" s="56">
        <f t="shared" ca="1" si="44"/>
        <v>0</v>
      </c>
      <c r="AE68" s="56">
        <f t="shared" ca="1" si="33"/>
        <v>0</v>
      </c>
      <c r="AF68" s="56">
        <f t="shared" ca="1" si="18"/>
        <v>0</v>
      </c>
      <c r="AG68" s="56">
        <f t="shared" ca="1" si="29"/>
        <v>0</v>
      </c>
      <c r="AH68" s="56">
        <f t="shared" ca="1" si="19"/>
        <v>0</v>
      </c>
      <c r="AI68" s="56">
        <f t="shared" ca="1" si="45"/>
        <v>0</v>
      </c>
      <c r="AJ68" s="56">
        <f t="shared" ca="1" si="59"/>
        <v>0</v>
      </c>
      <c r="AK68" s="56">
        <f t="shared" ca="1" si="60"/>
        <v>0</v>
      </c>
      <c r="AL68" s="57">
        <f t="shared" ca="1" si="54"/>
        <v>0</v>
      </c>
      <c r="AM68" s="57">
        <f t="shared" ca="1" si="46"/>
        <v>0</v>
      </c>
      <c r="AN68" s="51">
        <f t="shared" ca="1" si="55"/>
        <v>0</v>
      </c>
      <c r="AO68" s="51">
        <f t="shared" ca="1" si="47"/>
        <v>0</v>
      </c>
      <c r="AP68" s="51">
        <f t="shared" ca="1" si="48"/>
        <v>0</v>
      </c>
      <c r="AQ68" s="51">
        <f t="shared" ca="1" si="49"/>
        <v>30</v>
      </c>
      <c r="AR68" s="51">
        <f t="shared" si="50"/>
        <v>20</v>
      </c>
      <c r="AS68" s="51">
        <f t="shared" ca="1" si="56"/>
        <v>30</v>
      </c>
      <c r="AT68" s="52"/>
      <c r="AU68" s="52"/>
      <c r="AV68" s="52"/>
      <c r="AW68" s="52"/>
      <c r="AX68" s="52"/>
      <c r="AY68" s="51">
        <f t="shared" ca="1" si="23"/>
        <v>0</v>
      </c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1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2"/>
        <v xml:space="preserve"> </v>
      </c>
      <c r="I69" s="84">
        <f t="shared" ca="1" si="30"/>
        <v>0</v>
      </c>
      <c r="J69" s="84">
        <f t="shared" ca="1" si="31"/>
        <v>0</v>
      </c>
      <c r="K69" s="84">
        <v>0</v>
      </c>
      <c r="L69" s="84" t="str">
        <f t="shared" ca="1" si="32"/>
        <v xml:space="preserve"> </v>
      </c>
      <c r="M69" s="51">
        <v>45</v>
      </c>
      <c r="N69" s="51">
        <f t="shared" ca="1" si="34"/>
        <v>0</v>
      </c>
      <c r="O69" s="51">
        <f t="shared" ca="1" si="40"/>
        <v>20</v>
      </c>
      <c r="P69" s="56">
        <f t="shared" ca="1" si="41"/>
        <v>0</v>
      </c>
      <c r="Q69" s="56">
        <f t="shared" ca="1" si="42"/>
        <v>0</v>
      </c>
      <c r="R69" s="56">
        <f t="shared" ca="1" si="53"/>
        <v>0</v>
      </c>
      <c r="S69" s="56" t="str">
        <f t="shared" ca="1" si="24"/>
        <v xml:space="preserve"> </v>
      </c>
      <c r="T69" s="56" t="e">
        <f t="shared" ca="1" si="25"/>
        <v>#VALUE!</v>
      </c>
      <c r="U69" s="56">
        <f t="shared" ca="1" si="57"/>
        <v>0</v>
      </c>
      <c r="V69" s="56">
        <f t="shared" ca="1" si="58"/>
        <v>0</v>
      </c>
      <c r="W69" s="56">
        <f t="shared" ca="1" si="26"/>
        <v>0</v>
      </c>
      <c r="X69" s="56">
        <f t="shared" ca="1" si="27"/>
        <v>0</v>
      </c>
      <c r="Y69" s="56">
        <f t="shared" ca="1" si="16"/>
        <v>0</v>
      </c>
      <c r="Z69" s="56">
        <f t="shared" ca="1" si="28"/>
        <v>0</v>
      </c>
      <c r="AA69" s="56">
        <f t="shared" ca="1" si="17"/>
        <v>0</v>
      </c>
      <c r="AB69" s="56">
        <f t="shared" ca="1" si="35"/>
        <v>0</v>
      </c>
      <c r="AC69" s="56">
        <f t="shared" ca="1" si="43"/>
        <v>0</v>
      </c>
      <c r="AD69" s="56">
        <f t="shared" ca="1" si="44"/>
        <v>0</v>
      </c>
      <c r="AE69" s="56">
        <f t="shared" ca="1" si="33"/>
        <v>0</v>
      </c>
      <c r="AF69" s="56">
        <f t="shared" ca="1" si="18"/>
        <v>0</v>
      </c>
      <c r="AG69" s="56">
        <f t="shared" ca="1" si="29"/>
        <v>0</v>
      </c>
      <c r="AH69" s="56">
        <f t="shared" ca="1" si="19"/>
        <v>0</v>
      </c>
      <c r="AI69" s="56">
        <f t="shared" ca="1" si="45"/>
        <v>0</v>
      </c>
      <c r="AJ69" s="56">
        <f t="shared" ca="1" si="59"/>
        <v>0</v>
      </c>
      <c r="AK69" s="56">
        <f t="shared" ca="1" si="60"/>
        <v>0</v>
      </c>
      <c r="AL69" s="57">
        <f t="shared" ca="1" si="54"/>
        <v>0</v>
      </c>
      <c r="AM69" s="57">
        <f t="shared" ca="1" si="46"/>
        <v>0</v>
      </c>
      <c r="AN69" s="51">
        <f t="shared" ca="1" si="55"/>
        <v>0</v>
      </c>
      <c r="AO69" s="51">
        <f t="shared" ca="1" si="47"/>
        <v>0</v>
      </c>
      <c r="AP69" s="51">
        <f t="shared" ca="1" si="48"/>
        <v>0</v>
      </c>
      <c r="AQ69" s="51">
        <f t="shared" ca="1" si="49"/>
        <v>30</v>
      </c>
      <c r="AR69" s="51">
        <f t="shared" si="50"/>
        <v>20</v>
      </c>
      <c r="AS69" s="51">
        <f t="shared" ca="1" si="56"/>
        <v>30</v>
      </c>
      <c r="AT69" s="52"/>
      <c r="AU69" s="52"/>
      <c r="AV69" s="52"/>
      <c r="AW69" s="52"/>
      <c r="AX69" s="52"/>
      <c r="AY69" s="51">
        <f t="shared" ca="1" si="23"/>
        <v>0</v>
      </c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1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2"/>
        <v xml:space="preserve"> </v>
      </c>
      <c r="I70" s="84">
        <f t="shared" ca="1" si="30"/>
        <v>0</v>
      </c>
      <c r="J70" s="84">
        <f t="shared" ca="1" si="31"/>
        <v>0</v>
      </c>
      <c r="K70" s="84">
        <v>0</v>
      </c>
      <c r="L70" s="84" t="str">
        <f t="shared" ca="1" si="32"/>
        <v xml:space="preserve"> </v>
      </c>
      <c r="M70" s="51">
        <v>46</v>
      </c>
      <c r="N70" s="51">
        <f t="shared" ca="1" si="34"/>
        <v>0</v>
      </c>
      <c r="O70" s="51">
        <f t="shared" ca="1" si="40"/>
        <v>20</v>
      </c>
      <c r="P70" s="56">
        <f t="shared" ca="1" si="41"/>
        <v>0</v>
      </c>
      <c r="Q70" s="56">
        <f t="shared" ca="1" si="42"/>
        <v>0</v>
      </c>
      <c r="R70" s="56">
        <f t="shared" ca="1" si="53"/>
        <v>0</v>
      </c>
      <c r="S70" s="56" t="str">
        <f t="shared" ca="1" si="24"/>
        <v xml:space="preserve"> </v>
      </c>
      <c r="T70" s="56" t="e">
        <f t="shared" ca="1" si="25"/>
        <v>#VALUE!</v>
      </c>
      <c r="U70" s="56">
        <f t="shared" ca="1" si="57"/>
        <v>0</v>
      </c>
      <c r="V70" s="56">
        <f t="shared" ca="1" si="58"/>
        <v>0</v>
      </c>
      <c r="W70" s="56">
        <f t="shared" ca="1" si="26"/>
        <v>0</v>
      </c>
      <c r="X70" s="56">
        <f t="shared" ca="1" si="27"/>
        <v>0</v>
      </c>
      <c r="Y70" s="56">
        <f t="shared" ca="1" si="16"/>
        <v>0</v>
      </c>
      <c r="Z70" s="56">
        <f t="shared" ca="1" si="28"/>
        <v>0</v>
      </c>
      <c r="AA70" s="56">
        <f t="shared" ca="1" si="17"/>
        <v>0</v>
      </c>
      <c r="AB70" s="56">
        <f t="shared" ca="1" si="35"/>
        <v>0</v>
      </c>
      <c r="AC70" s="56">
        <f t="shared" ca="1" si="43"/>
        <v>0</v>
      </c>
      <c r="AD70" s="56">
        <f t="shared" ca="1" si="44"/>
        <v>0</v>
      </c>
      <c r="AE70" s="56">
        <f t="shared" ca="1" si="33"/>
        <v>0</v>
      </c>
      <c r="AF70" s="56">
        <f t="shared" ca="1" si="18"/>
        <v>0</v>
      </c>
      <c r="AG70" s="56">
        <f t="shared" ca="1" si="29"/>
        <v>0</v>
      </c>
      <c r="AH70" s="56">
        <f t="shared" ca="1" si="19"/>
        <v>0</v>
      </c>
      <c r="AI70" s="56">
        <f t="shared" ca="1" si="45"/>
        <v>0</v>
      </c>
      <c r="AJ70" s="56">
        <f t="shared" ca="1" si="59"/>
        <v>0</v>
      </c>
      <c r="AK70" s="56">
        <f t="shared" ca="1" si="60"/>
        <v>0</v>
      </c>
      <c r="AL70" s="57">
        <f t="shared" ca="1" si="54"/>
        <v>0</v>
      </c>
      <c r="AM70" s="57">
        <f t="shared" ca="1" si="46"/>
        <v>0</v>
      </c>
      <c r="AN70" s="51">
        <f t="shared" ca="1" si="55"/>
        <v>0</v>
      </c>
      <c r="AO70" s="51">
        <f t="shared" ca="1" si="47"/>
        <v>0</v>
      </c>
      <c r="AP70" s="51">
        <f t="shared" ca="1" si="48"/>
        <v>0</v>
      </c>
      <c r="AQ70" s="51">
        <f t="shared" ca="1" si="49"/>
        <v>30</v>
      </c>
      <c r="AR70" s="51">
        <f t="shared" si="50"/>
        <v>20</v>
      </c>
      <c r="AS70" s="51">
        <f t="shared" ca="1" si="56"/>
        <v>30</v>
      </c>
      <c r="AT70" s="52"/>
      <c r="AU70" s="52"/>
      <c r="AV70" s="52"/>
      <c r="AW70" s="52"/>
      <c r="AX70" s="52"/>
      <c r="AY70" s="51">
        <f t="shared" ca="1" si="23"/>
        <v>0</v>
      </c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1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2"/>
        <v xml:space="preserve"> </v>
      </c>
      <c r="I71" s="84">
        <f t="shared" ca="1" si="30"/>
        <v>0</v>
      </c>
      <c r="J71" s="84">
        <f t="shared" ca="1" si="31"/>
        <v>0</v>
      </c>
      <c r="K71" s="84">
        <v>0</v>
      </c>
      <c r="L71" s="84" t="str">
        <f t="shared" ca="1" si="32"/>
        <v xml:space="preserve"> </v>
      </c>
      <c r="M71" s="51">
        <v>47</v>
      </c>
      <c r="N71" s="51">
        <f t="shared" ca="1" si="34"/>
        <v>0</v>
      </c>
      <c r="O71" s="51">
        <f t="shared" ca="1" si="40"/>
        <v>20</v>
      </c>
      <c r="P71" s="56">
        <f t="shared" ca="1" si="41"/>
        <v>0</v>
      </c>
      <c r="Q71" s="56">
        <f t="shared" ca="1" si="42"/>
        <v>0</v>
      </c>
      <c r="R71" s="56">
        <f t="shared" ca="1" si="53"/>
        <v>0</v>
      </c>
      <c r="S71" s="56" t="str">
        <f t="shared" ca="1" si="24"/>
        <v xml:space="preserve"> </v>
      </c>
      <c r="T71" s="56" t="e">
        <f t="shared" ca="1" si="25"/>
        <v>#VALUE!</v>
      </c>
      <c r="U71" s="56">
        <f t="shared" ca="1" si="57"/>
        <v>0</v>
      </c>
      <c r="V71" s="56">
        <f t="shared" ca="1" si="58"/>
        <v>0</v>
      </c>
      <c r="W71" s="56">
        <f t="shared" ca="1" si="26"/>
        <v>0</v>
      </c>
      <c r="X71" s="56">
        <f t="shared" ca="1" si="27"/>
        <v>0</v>
      </c>
      <c r="Y71" s="56">
        <f t="shared" ca="1" si="16"/>
        <v>0</v>
      </c>
      <c r="Z71" s="56">
        <f t="shared" ca="1" si="28"/>
        <v>0</v>
      </c>
      <c r="AA71" s="56">
        <f t="shared" ca="1" si="17"/>
        <v>0</v>
      </c>
      <c r="AB71" s="56">
        <f t="shared" ca="1" si="35"/>
        <v>0</v>
      </c>
      <c r="AC71" s="56">
        <f t="shared" ca="1" si="43"/>
        <v>0</v>
      </c>
      <c r="AD71" s="56">
        <f t="shared" ca="1" si="44"/>
        <v>0</v>
      </c>
      <c r="AE71" s="56">
        <f t="shared" ca="1" si="33"/>
        <v>0</v>
      </c>
      <c r="AF71" s="56">
        <f t="shared" ca="1" si="18"/>
        <v>0</v>
      </c>
      <c r="AG71" s="56">
        <f t="shared" ca="1" si="29"/>
        <v>0</v>
      </c>
      <c r="AH71" s="56">
        <f t="shared" ca="1" si="19"/>
        <v>0</v>
      </c>
      <c r="AI71" s="56">
        <f t="shared" ca="1" si="45"/>
        <v>0</v>
      </c>
      <c r="AJ71" s="56">
        <f t="shared" ca="1" si="59"/>
        <v>0</v>
      </c>
      <c r="AK71" s="56">
        <f t="shared" ca="1" si="60"/>
        <v>0</v>
      </c>
      <c r="AL71" s="57">
        <f t="shared" ca="1" si="54"/>
        <v>0</v>
      </c>
      <c r="AM71" s="57">
        <f t="shared" ca="1" si="46"/>
        <v>0</v>
      </c>
      <c r="AN71" s="51">
        <f t="shared" ca="1" si="55"/>
        <v>0</v>
      </c>
      <c r="AO71" s="51">
        <f t="shared" ca="1" si="47"/>
        <v>0</v>
      </c>
      <c r="AP71" s="51">
        <f t="shared" ca="1" si="48"/>
        <v>0</v>
      </c>
      <c r="AQ71" s="51">
        <f t="shared" ca="1" si="49"/>
        <v>30</v>
      </c>
      <c r="AR71" s="51">
        <f t="shared" si="50"/>
        <v>20</v>
      </c>
      <c r="AS71" s="51">
        <f t="shared" ca="1" si="56"/>
        <v>30</v>
      </c>
      <c r="AT71" s="52"/>
      <c r="AU71" s="52"/>
      <c r="AV71" s="52"/>
      <c r="AW71" s="52"/>
      <c r="AX71" s="52"/>
      <c r="AY71" s="51">
        <f t="shared" ca="1" si="23"/>
        <v>0</v>
      </c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1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2"/>
        <v xml:space="preserve"> </v>
      </c>
      <c r="I72" s="84">
        <f t="shared" ca="1" si="30"/>
        <v>0</v>
      </c>
      <c r="J72" s="84">
        <f t="shared" ca="1" si="31"/>
        <v>0</v>
      </c>
      <c r="K72" s="84">
        <v>0</v>
      </c>
      <c r="L72" s="84" t="str">
        <f t="shared" ca="1" si="32"/>
        <v xml:space="preserve"> </v>
      </c>
      <c r="M72" s="51">
        <v>48</v>
      </c>
      <c r="N72" s="51">
        <f t="shared" ca="1" si="34"/>
        <v>0</v>
      </c>
      <c r="O72" s="51">
        <f t="shared" ca="1" si="40"/>
        <v>20</v>
      </c>
      <c r="P72" s="56">
        <f t="shared" ca="1" si="41"/>
        <v>0</v>
      </c>
      <c r="Q72" s="56">
        <f t="shared" ca="1" si="42"/>
        <v>0</v>
      </c>
      <c r="R72" s="56">
        <f t="shared" ca="1" si="53"/>
        <v>0</v>
      </c>
      <c r="S72" s="56" t="str">
        <f t="shared" ca="1" si="24"/>
        <v xml:space="preserve"> </v>
      </c>
      <c r="T72" s="56" t="e">
        <f t="shared" ca="1" si="25"/>
        <v>#VALUE!</v>
      </c>
      <c r="U72" s="56">
        <f t="shared" ca="1" si="57"/>
        <v>0</v>
      </c>
      <c r="V72" s="56">
        <f t="shared" ca="1" si="58"/>
        <v>0</v>
      </c>
      <c r="W72" s="56">
        <f t="shared" ca="1" si="26"/>
        <v>0</v>
      </c>
      <c r="X72" s="56">
        <f t="shared" ca="1" si="27"/>
        <v>0</v>
      </c>
      <c r="Y72" s="56">
        <f t="shared" ca="1" si="16"/>
        <v>0</v>
      </c>
      <c r="Z72" s="56">
        <f t="shared" ca="1" si="28"/>
        <v>0</v>
      </c>
      <c r="AA72" s="56">
        <f t="shared" ca="1" si="17"/>
        <v>0</v>
      </c>
      <c r="AB72" s="56">
        <f t="shared" ca="1" si="35"/>
        <v>0</v>
      </c>
      <c r="AC72" s="56">
        <f t="shared" ca="1" si="43"/>
        <v>0</v>
      </c>
      <c r="AD72" s="56">
        <f t="shared" ca="1" si="44"/>
        <v>0</v>
      </c>
      <c r="AE72" s="56">
        <f t="shared" ca="1" si="33"/>
        <v>0</v>
      </c>
      <c r="AF72" s="56">
        <f t="shared" ca="1" si="18"/>
        <v>0</v>
      </c>
      <c r="AG72" s="56">
        <f t="shared" ca="1" si="29"/>
        <v>0</v>
      </c>
      <c r="AH72" s="56">
        <f t="shared" ca="1" si="19"/>
        <v>0</v>
      </c>
      <c r="AI72" s="56">
        <f t="shared" ca="1" si="45"/>
        <v>0</v>
      </c>
      <c r="AJ72" s="56">
        <f t="shared" ca="1" si="59"/>
        <v>0</v>
      </c>
      <c r="AK72" s="56">
        <f t="shared" ca="1" si="60"/>
        <v>0</v>
      </c>
      <c r="AL72" s="57">
        <f t="shared" ca="1" si="54"/>
        <v>0</v>
      </c>
      <c r="AM72" s="57">
        <f t="shared" ca="1" si="46"/>
        <v>0</v>
      </c>
      <c r="AN72" s="51">
        <f t="shared" ca="1" si="55"/>
        <v>0</v>
      </c>
      <c r="AO72" s="51">
        <f t="shared" ca="1" si="47"/>
        <v>0</v>
      </c>
      <c r="AP72" s="51">
        <f t="shared" ca="1" si="48"/>
        <v>0</v>
      </c>
      <c r="AQ72" s="51">
        <f t="shared" ca="1" si="49"/>
        <v>30</v>
      </c>
      <c r="AR72" s="51">
        <f t="shared" si="50"/>
        <v>20</v>
      </c>
      <c r="AS72" s="51">
        <f t="shared" ca="1" si="56"/>
        <v>30</v>
      </c>
      <c r="AT72" s="52"/>
      <c r="AU72" s="52"/>
      <c r="AV72" s="52"/>
      <c r="AW72" s="52"/>
      <c r="AX72" s="52"/>
      <c r="AY72" s="51">
        <f t="shared" ca="1" si="23"/>
        <v>0</v>
      </c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1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2"/>
        <v xml:space="preserve"> </v>
      </c>
      <c r="I73" s="84">
        <f t="shared" ca="1" si="30"/>
        <v>0</v>
      </c>
      <c r="J73" s="84">
        <f t="shared" ca="1" si="31"/>
        <v>0</v>
      </c>
      <c r="K73" s="84">
        <v>0</v>
      </c>
      <c r="L73" s="84" t="str">
        <f t="shared" ca="1" si="32"/>
        <v xml:space="preserve"> </v>
      </c>
      <c r="M73" s="51">
        <v>49</v>
      </c>
      <c r="N73" s="51">
        <f t="shared" ca="1" si="34"/>
        <v>0</v>
      </c>
      <c r="O73" s="51">
        <f t="shared" ca="1" si="40"/>
        <v>20</v>
      </c>
      <c r="P73" s="56">
        <f t="shared" ca="1" si="41"/>
        <v>0</v>
      </c>
      <c r="Q73" s="56">
        <f t="shared" ca="1" si="42"/>
        <v>0</v>
      </c>
      <c r="R73" s="56">
        <f t="shared" ca="1" si="53"/>
        <v>0</v>
      </c>
      <c r="S73" s="56" t="str">
        <f t="shared" ca="1" si="24"/>
        <v xml:space="preserve"> </v>
      </c>
      <c r="T73" s="56" t="e">
        <f t="shared" ca="1" si="25"/>
        <v>#VALUE!</v>
      </c>
      <c r="U73" s="56">
        <f ca="1">IF(N74=1,R72*D$11*20/36000+R73*D$11*10/36000,IF(N74=0,IF(N73=0,0,IF(D$16&gt;20,R72*D$11*20/36000+R73*D$11*(Q$12-20)/36000,R73*D$11*Q$12/36000))))</f>
        <v>0</v>
      </c>
      <c r="V73" s="56">
        <f ca="1">IF(N74=1,R72*D$11*20/36000+R73*D$11*10/36000,IF(N74=0,IF(N73=0,0,IF(D$16&gt;20,R72*D$11*20/36000+R73*D$11*(Q$12-20)/36000,R73*D$11*Q$12/36000))))</f>
        <v>0</v>
      </c>
      <c r="W73" s="56">
        <f t="shared" ca="1" si="26"/>
        <v>0</v>
      </c>
      <c r="X73" s="56">
        <f t="shared" ca="1" si="27"/>
        <v>0</v>
      </c>
      <c r="Y73" s="56">
        <f t="shared" ca="1" si="16"/>
        <v>0</v>
      </c>
      <c r="Z73" s="56">
        <f ca="1">IF(N74=1,Y72*D$11*20/36000+Y73*D$11*10/36000,IF(N74=0,IF(N73=0,0,IF(D$16&gt;20,Y72*D$11*20/36000+Y73*D$11*(Q$12-20)/36000,Y73*D$11*Q$12/36000))))</f>
        <v>0</v>
      </c>
      <c r="AA73" s="56">
        <f t="shared" ca="1" si="17"/>
        <v>0</v>
      </c>
      <c r="AB73" s="56">
        <f ca="1">IF(R74=0,R73*Q$12,(R72*20+R73*10))</f>
        <v>0</v>
      </c>
      <c r="AC73" s="56">
        <f t="shared" ca="1" si="43"/>
        <v>0</v>
      </c>
      <c r="AD73" s="56">
        <f t="shared" ca="1" si="44"/>
        <v>0</v>
      </c>
      <c r="AE73" s="56">
        <f t="shared" ca="1" si="33"/>
        <v>0</v>
      </c>
      <c r="AF73" s="56">
        <f t="shared" ca="1" si="18"/>
        <v>0</v>
      </c>
      <c r="AG73" s="56">
        <f t="shared" ca="1" si="29"/>
        <v>0</v>
      </c>
      <c r="AH73" s="56">
        <f t="shared" ca="1" si="19"/>
        <v>0</v>
      </c>
      <c r="AI73" s="56">
        <f t="shared" ca="1" si="45"/>
        <v>0</v>
      </c>
      <c r="AJ73" s="56">
        <f ca="1">IF(N74=1,AI72*G$12*20/36000+AI73*G$12*10/36000,IF(N74=0,IF(N73=0,0,AI73*G$12*Q$12/36000)))</f>
        <v>0</v>
      </c>
      <c r="AK73" s="56">
        <f ca="1">IF(N74=1,AI72*G$12*20/36000+AI73*G$12*10/36000,IF(N74=0,IF(N73=0,0,AI73*G$12*Q$12/36000)))</f>
        <v>0</v>
      </c>
      <c r="AL73" s="57">
        <f t="shared" ca="1" si="54"/>
        <v>0</v>
      </c>
      <c r="AM73" s="57">
        <f t="shared" ca="1" si="46"/>
        <v>0</v>
      </c>
      <c r="AN73" s="51">
        <f t="shared" ca="1" si="55"/>
        <v>0</v>
      </c>
      <c r="AO73" s="51">
        <f t="shared" ca="1" si="47"/>
        <v>0</v>
      </c>
      <c r="AP73" s="51">
        <f t="shared" ca="1" si="48"/>
        <v>0</v>
      </c>
      <c r="AQ73" s="51">
        <f t="shared" ca="1" si="49"/>
        <v>30</v>
      </c>
      <c r="AR73" s="51">
        <f t="shared" si="50"/>
        <v>20</v>
      </c>
      <c r="AS73" s="51">
        <f t="shared" ca="1" si="56"/>
        <v>30</v>
      </c>
      <c r="AT73" s="52"/>
      <c r="AU73" s="52"/>
      <c r="AV73" s="52"/>
      <c r="AW73" s="52"/>
      <c r="AX73" s="52"/>
      <c r="AY73" s="51">
        <f t="shared" ca="1" si="23"/>
        <v>0</v>
      </c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1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2"/>
        <v xml:space="preserve"> </v>
      </c>
      <c r="I74" s="84">
        <f t="shared" ca="1" si="30"/>
        <v>0</v>
      </c>
      <c r="J74" s="84">
        <f t="shared" ca="1" si="31"/>
        <v>0</v>
      </c>
      <c r="K74" s="84">
        <v>0</v>
      </c>
      <c r="L74" s="84" t="str">
        <f t="shared" ca="1" si="32"/>
        <v xml:space="preserve"> </v>
      </c>
      <c r="M74" s="51">
        <v>50</v>
      </c>
      <c r="N74" s="51">
        <f t="shared" ca="1" si="34"/>
        <v>0</v>
      </c>
      <c r="O74" s="51">
        <f t="shared" ca="1" si="40"/>
        <v>20</v>
      </c>
      <c r="P74" s="56">
        <f t="shared" ca="1" si="41"/>
        <v>0</v>
      </c>
      <c r="Q74" s="56">
        <f t="shared" ca="1" si="42"/>
        <v>0</v>
      </c>
      <c r="R74" s="56">
        <f t="shared" ca="1" si="53"/>
        <v>0</v>
      </c>
      <c r="S74" s="56" t="str">
        <f t="shared" ca="1" si="24"/>
        <v xml:space="preserve"> </v>
      </c>
      <c r="T74" s="56" t="e">
        <f t="shared" ca="1" si="25"/>
        <v>#VALUE!</v>
      </c>
      <c r="U74" s="56">
        <f t="shared" ref="U74:U84" ca="1" si="61">IF(N75=1,R73*D$11*20/36000+R74*D$11*10/36000,IF(N75=0,IF(N74=0,0,R74*D$11*Q$12/36000+R73*D$11*20/36000+R74*D$11*10/36000)))</f>
        <v>0</v>
      </c>
      <c r="V74" s="56">
        <f t="shared" ref="V74:V84" ca="1" si="62">IF(N75=1,R73*D$11*20/36000+R74*D$11*10/36000,IF(N75=0,IF(N74=0,0,R74*D$11*Q$12/36000+R73*D$11*20/36000+R74*D$11*10/36000)))</f>
        <v>0</v>
      </c>
      <c r="W74" s="56">
        <f t="shared" ca="1" si="26"/>
        <v>0</v>
      </c>
      <c r="X74" s="56">
        <f t="shared" ca="1" si="27"/>
        <v>0</v>
      </c>
      <c r="Y74" s="56">
        <f t="shared" ca="1" si="16"/>
        <v>0</v>
      </c>
      <c r="Z74" s="56">
        <f t="shared" ca="1" si="28"/>
        <v>0</v>
      </c>
      <c r="AA74" s="56">
        <f t="shared" ca="1" si="17"/>
        <v>0</v>
      </c>
      <c r="AB74" s="56">
        <f t="shared" ref="AB74:AB84" ca="1" si="63">IF(R75=0,R74*Q$12,(R73*20+R74*10))</f>
        <v>0</v>
      </c>
      <c r="AC74" s="56">
        <f t="shared" ca="1" si="43"/>
        <v>0</v>
      </c>
      <c r="AD74" s="56">
        <f t="shared" ca="1" si="44"/>
        <v>0</v>
      </c>
      <c r="AE74" s="56">
        <f t="shared" ca="1" si="33"/>
        <v>0</v>
      </c>
      <c r="AF74" s="56">
        <f t="shared" ca="1" si="18"/>
        <v>0</v>
      </c>
      <c r="AG74" s="56">
        <f t="shared" ca="1" si="29"/>
        <v>0</v>
      </c>
      <c r="AH74" s="56">
        <f t="shared" ca="1" si="19"/>
        <v>0</v>
      </c>
      <c r="AI74" s="56">
        <f t="shared" ca="1" si="45"/>
        <v>0</v>
      </c>
      <c r="AJ74" s="56">
        <f t="shared" ref="AJ74:AJ84" ca="1" si="64">IF(N75=1,AI73*G$12*20/36000+AI74*G$12*10/36000,IF(N75=0,IF(N74=0,0,AI74*G$12*Q$12/36000+AI73*G$12*20/36000+AI74*G$12*10/36000)))</f>
        <v>0</v>
      </c>
      <c r="AK74" s="56">
        <f t="shared" ref="AK74:AK84" ca="1" si="65">IF(N75=1,AI73*G$12*20/36000+AI74*G$12*10/36000,IF(N75=0,IF(N74=0,0,AI74*G$12*Q$12/36000+AI73*G$12*20/36000+AI74*G$12*10/36000)))</f>
        <v>0</v>
      </c>
      <c r="AL74" s="57">
        <f t="shared" ca="1" si="54"/>
        <v>0</v>
      </c>
      <c r="AM74" s="57">
        <f t="shared" ca="1" si="46"/>
        <v>0</v>
      </c>
      <c r="AN74" s="51">
        <f t="shared" ca="1" si="55"/>
        <v>0</v>
      </c>
      <c r="AO74" s="51">
        <f t="shared" ca="1" si="47"/>
        <v>0</v>
      </c>
      <c r="AP74" s="51">
        <f t="shared" ca="1" si="48"/>
        <v>0</v>
      </c>
      <c r="AQ74" s="51">
        <f t="shared" ca="1" si="49"/>
        <v>30</v>
      </c>
      <c r="AR74" s="51">
        <f t="shared" si="50"/>
        <v>20</v>
      </c>
      <c r="AS74" s="51">
        <f t="shared" ca="1" si="56"/>
        <v>30</v>
      </c>
      <c r="AT74" s="52"/>
      <c r="AU74" s="52"/>
      <c r="AV74" s="52"/>
      <c r="AW74" s="52"/>
      <c r="AX74" s="52"/>
      <c r="AY74" s="51">
        <f t="shared" ca="1" si="23"/>
        <v>0</v>
      </c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1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2"/>
        <v xml:space="preserve"> </v>
      </c>
      <c r="I75" s="84">
        <f t="shared" ca="1" si="30"/>
        <v>0</v>
      </c>
      <c r="J75" s="84">
        <f t="shared" ca="1" si="31"/>
        <v>0</v>
      </c>
      <c r="K75" s="84">
        <v>0</v>
      </c>
      <c r="L75" s="84" t="str">
        <f t="shared" ca="1" si="32"/>
        <v xml:space="preserve"> </v>
      </c>
      <c r="M75" s="51">
        <v>51</v>
      </c>
      <c r="N75" s="51">
        <f t="shared" ca="1" si="34"/>
        <v>0</v>
      </c>
      <c r="O75" s="51">
        <f t="shared" ca="1" si="40"/>
        <v>20</v>
      </c>
      <c r="P75" s="56">
        <f t="shared" ca="1" si="41"/>
        <v>0</v>
      </c>
      <c r="Q75" s="56">
        <f t="shared" ca="1" si="42"/>
        <v>0</v>
      </c>
      <c r="R75" s="56">
        <f t="shared" ca="1" si="53"/>
        <v>0</v>
      </c>
      <c r="S75" s="56" t="str">
        <f t="shared" ca="1" si="24"/>
        <v xml:space="preserve"> </v>
      </c>
      <c r="T75" s="56" t="e">
        <f t="shared" ca="1" si="25"/>
        <v>#VALUE!</v>
      </c>
      <c r="U75" s="56">
        <f t="shared" ca="1" si="61"/>
        <v>0</v>
      </c>
      <c r="V75" s="56">
        <f t="shared" ca="1" si="62"/>
        <v>0</v>
      </c>
      <c r="W75" s="56">
        <f t="shared" ca="1" si="26"/>
        <v>0</v>
      </c>
      <c r="X75" s="56">
        <f t="shared" ca="1" si="27"/>
        <v>0</v>
      </c>
      <c r="Y75" s="56">
        <f t="shared" ca="1" si="16"/>
        <v>0</v>
      </c>
      <c r="Z75" s="56">
        <f t="shared" ca="1" si="28"/>
        <v>0</v>
      </c>
      <c r="AA75" s="56">
        <f t="shared" ca="1" si="17"/>
        <v>0</v>
      </c>
      <c r="AB75" s="56">
        <f t="shared" ca="1" si="63"/>
        <v>0</v>
      </c>
      <c r="AC75" s="56">
        <f t="shared" ca="1" si="43"/>
        <v>0</v>
      </c>
      <c r="AD75" s="56">
        <f t="shared" ca="1" si="44"/>
        <v>0</v>
      </c>
      <c r="AE75" s="56">
        <f t="shared" ca="1" si="33"/>
        <v>0</v>
      </c>
      <c r="AF75" s="56">
        <f t="shared" ca="1" si="18"/>
        <v>0</v>
      </c>
      <c r="AG75" s="56">
        <f t="shared" ca="1" si="29"/>
        <v>0</v>
      </c>
      <c r="AH75" s="56">
        <f t="shared" ca="1" si="19"/>
        <v>0</v>
      </c>
      <c r="AI75" s="56">
        <f t="shared" ca="1" si="45"/>
        <v>0</v>
      </c>
      <c r="AJ75" s="56">
        <f t="shared" ca="1" si="64"/>
        <v>0</v>
      </c>
      <c r="AK75" s="56">
        <f t="shared" ca="1" si="65"/>
        <v>0</v>
      </c>
      <c r="AL75" s="57">
        <f t="shared" ca="1" si="54"/>
        <v>0</v>
      </c>
      <c r="AM75" s="57">
        <f t="shared" ca="1" si="46"/>
        <v>0</v>
      </c>
      <c r="AN75" s="51">
        <f t="shared" ca="1" si="55"/>
        <v>0</v>
      </c>
      <c r="AO75" s="51">
        <f t="shared" ca="1" si="47"/>
        <v>0</v>
      </c>
      <c r="AP75" s="51">
        <f t="shared" ca="1" si="48"/>
        <v>0</v>
      </c>
      <c r="AQ75" s="51">
        <f t="shared" ca="1" si="49"/>
        <v>30</v>
      </c>
      <c r="AR75" s="51">
        <f t="shared" si="50"/>
        <v>20</v>
      </c>
      <c r="AS75" s="51">
        <f t="shared" ca="1" si="56"/>
        <v>30</v>
      </c>
      <c r="AT75" s="52"/>
      <c r="AU75" s="52"/>
      <c r="AV75" s="52"/>
      <c r="AW75" s="52"/>
      <c r="AX75" s="52"/>
      <c r="AY75" s="51">
        <f t="shared" ca="1" si="23"/>
        <v>0</v>
      </c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1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2"/>
        <v xml:space="preserve"> </v>
      </c>
      <c r="I76" s="84">
        <f t="shared" ca="1" si="30"/>
        <v>0</v>
      </c>
      <c r="J76" s="84">
        <f t="shared" ca="1" si="31"/>
        <v>0</v>
      </c>
      <c r="K76" s="84">
        <v>0</v>
      </c>
      <c r="L76" s="84" t="str">
        <f t="shared" ca="1" si="32"/>
        <v xml:space="preserve"> </v>
      </c>
      <c r="M76" s="51">
        <v>52</v>
      </c>
      <c r="N76" s="51">
        <f t="shared" ca="1" si="34"/>
        <v>0</v>
      </c>
      <c r="O76" s="51">
        <f t="shared" ca="1" si="40"/>
        <v>20</v>
      </c>
      <c r="P76" s="56">
        <f t="shared" ca="1" si="41"/>
        <v>0</v>
      </c>
      <c r="Q76" s="56">
        <f t="shared" ca="1" si="42"/>
        <v>0</v>
      </c>
      <c r="R76" s="56">
        <f t="shared" ca="1" si="53"/>
        <v>0</v>
      </c>
      <c r="S76" s="56" t="str">
        <f t="shared" ca="1" si="24"/>
        <v xml:space="preserve"> </v>
      </c>
      <c r="T76" s="56" t="e">
        <f t="shared" ca="1" si="25"/>
        <v>#VALUE!</v>
      </c>
      <c r="U76" s="56">
        <f t="shared" ca="1" si="61"/>
        <v>0</v>
      </c>
      <c r="V76" s="56">
        <f t="shared" ca="1" si="62"/>
        <v>0</v>
      </c>
      <c r="W76" s="56">
        <f t="shared" ca="1" si="26"/>
        <v>0</v>
      </c>
      <c r="X76" s="56">
        <f t="shared" ca="1" si="27"/>
        <v>0</v>
      </c>
      <c r="Y76" s="56">
        <f t="shared" ca="1" si="16"/>
        <v>0</v>
      </c>
      <c r="Z76" s="56">
        <f t="shared" ca="1" si="28"/>
        <v>0</v>
      </c>
      <c r="AA76" s="56">
        <f t="shared" ca="1" si="17"/>
        <v>0</v>
      </c>
      <c r="AB76" s="56">
        <f t="shared" ca="1" si="63"/>
        <v>0</v>
      </c>
      <c r="AC76" s="56">
        <f t="shared" ca="1" si="43"/>
        <v>0</v>
      </c>
      <c r="AD76" s="56">
        <f t="shared" ca="1" si="44"/>
        <v>0</v>
      </c>
      <c r="AE76" s="56">
        <f t="shared" ca="1" si="33"/>
        <v>0</v>
      </c>
      <c r="AF76" s="56">
        <f t="shared" ca="1" si="18"/>
        <v>0</v>
      </c>
      <c r="AG76" s="56">
        <f t="shared" ca="1" si="29"/>
        <v>0</v>
      </c>
      <c r="AH76" s="56">
        <f t="shared" ca="1" si="19"/>
        <v>0</v>
      </c>
      <c r="AI76" s="56">
        <f t="shared" ca="1" si="45"/>
        <v>0</v>
      </c>
      <c r="AJ76" s="56">
        <f t="shared" ca="1" si="64"/>
        <v>0</v>
      </c>
      <c r="AK76" s="56">
        <f t="shared" ca="1" si="65"/>
        <v>0</v>
      </c>
      <c r="AL76" s="57">
        <f t="shared" ca="1" si="54"/>
        <v>0</v>
      </c>
      <c r="AM76" s="57">
        <f t="shared" ca="1" si="46"/>
        <v>0</v>
      </c>
      <c r="AN76" s="51">
        <f t="shared" ca="1" si="55"/>
        <v>0</v>
      </c>
      <c r="AO76" s="51">
        <f t="shared" ca="1" si="47"/>
        <v>0</v>
      </c>
      <c r="AP76" s="51">
        <f t="shared" ca="1" si="48"/>
        <v>0</v>
      </c>
      <c r="AQ76" s="51">
        <f t="shared" ca="1" si="49"/>
        <v>30</v>
      </c>
      <c r="AR76" s="51">
        <f t="shared" si="50"/>
        <v>20</v>
      </c>
      <c r="AS76" s="51">
        <f t="shared" ca="1" si="56"/>
        <v>30</v>
      </c>
      <c r="AT76" s="52"/>
      <c r="AU76" s="52"/>
      <c r="AV76" s="52"/>
      <c r="AW76" s="52"/>
      <c r="AX76" s="52"/>
      <c r="AY76" s="51">
        <f t="shared" ca="1" si="23"/>
        <v>0</v>
      </c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1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2"/>
        <v xml:space="preserve"> </v>
      </c>
      <c r="I77" s="84">
        <f t="shared" ca="1" si="30"/>
        <v>0</v>
      </c>
      <c r="J77" s="84">
        <f t="shared" ca="1" si="31"/>
        <v>0</v>
      </c>
      <c r="K77" s="84">
        <v>0</v>
      </c>
      <c r="L77" s="84" t="str">
        <f t="shared" ca="1" si="32"/>
        <v xml:space="preserve"> </v>
      </c>
      <c r="M77" s="51">
        <v>53</v>
      </c>
      <c r="N77" s="51">
        <f t="shared" ca="1" si="34"/>
        <v>0</v>
      </c>
      <c r="O77" s="51">
        <f t="shared" ca="1" si="40"/>
        <v>20</v>
      </c>
      <c r="P77" s="56">
        <f t="shared" ca="1" si="41"/>
        <v>0</v>
      </c>
      <c r="Q77" s="56">
        <f t="shared" ca="1" si="42"/>
        <v>0</v>
      </c>
      <c r="R77" s="56">
        <f t="shared" ca="1" si="53"/>
        <v>0</v>
      </c>
      <c r="S77" s="56" t="str">
        <f t="shared" ca="1" si="24"/>
        <v xml:space="preserve"> </v>
      </c>
      <c r="T77" s="56" t="e">
        <f t="shared" ca="1" si="25"/>
        <v>#VALUE!</v>
      </c>
      <c r="U77" s="56">
        <f t="shared" ca="1" si="61"/>
        <v>0</v>
      </c>
      <c r="V77" s="56">
        <f t="shared" ca="1" si="62"/>
        <v>0</v>
      </c>
      <c r="W77" s="56">
        <f t="shared" ca="1" si="26"/>
        <v>0</v>
      </c>
      <c r="X77" s="56">
        <f t="shared" ca="1" si="27"/>
        <v>0</v>
      </c>
      <c r="Y77" s="56">
        <f t="shared" ca="1" si="16"/>
        <v>0</v>
      </c>
      <c r="Z77" s="56">
        <f t="shared" ca="1" si="28"/>
        <v>0</v>
      </c>
      <c r="AA77" s="56">
        <f t="shared" ca="1" si="17"/>
        <v>0</v>
      </c>
      <c r="AB77" s="56">
        <f t="shared" ca="1" si="63"/>
        <v>0</v>
      </c>
      <c r="AC77" s="56">
        <f t="shared" ca="1" si="43"/>
        <v>0</v>
      </c>
      <c r="AD77" s="56">
        <f t="shared" ca="1" si="44"/>
        <v>0</v>
      </c>
      <c r="AE77" s="56">
        <f t="shared" ca="1" si="33"/>
        <v>0</v>
      </c>
      <c r="AF77" s="56">
        <f t="shared" ca="1" si="18"/>
        <v>0</v>
      </c>
      <c r="AG77" s="56">
        <f t="shared" ca="1" si="29"/>
        <v>0</v>
      </c>
      <c r="AH77" s="56">
        <f t="shared" ca="1" si="19"/>
        <v>0</v>
      </c>
      <c r="AI77" s="56">
        <f t="shared" ca="1" si="45"/>
        <v>0</v>
      </c>
      <c r="AJ77" s="56">
        <f t="shared" ca="1" si="64"/>
        <v>0</v>
      </c>
      <c r="AK77" s="56">
        <f t="shared" ca="1" si="65"/>
        <v>0</v>
      </c>
      <c r="AL77" s="57">
        <f t="shared" ca="1" si="54"/>
        <v>0</v>
      </c>
      <c r="AM77" s="57">
        <f t="shared" ca="1" si="46"/>
        <v>0</v>
      </c>
      <c r="AN77" s="51">
        <f t="shared" ca="1" si="55"/>
        <v>0</v>
      </c>
      <c r="AO77" s="51">
        <f t="shared" ca="1" si="47"/>
        <v>0</v>
      </c>
      <c r="AP77" s="51">
        <f t="shared" ca="1" si="48"/>
        <v>0</v>
      </c>
      <c r="AQ77" s="51">
        <f t="shared" ca="1" si="49"/>
        <v>30</v>
      </c>
      <c r="AR77" s="51">
        <f t="shared" si="50"/>
        <v>20</v>
      </c>
      <c r="AS77" s="51">
        <f t="shared" ca="1" si="56"/>
        <v>30</v>
      </c>
      <c r="AT77" s="52"/>
      <c r="AU77" s="52"/>
      <c r="AV77" s="52"/>
      <c r="AW77" s="52"/>
      <c r="AX77" s="52"/>
      <c r="AY77" s="51">
        <f t="shared" ca="1" si="23"/>
        <v>0</v>
      </c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1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2"/>
        <v xml:space="preserve"> </v>
      </c>
      <c r="I78" s="84">
        <f t="shared" ca="1" si="30"/>
        <v>0</v>
      </c>
      <c r="J78" s="84">
        <f t="shared" ca="1" si="31"/>
        <v>0</v>
      </c>
      <c r="K78" s="84">
        <v>0</v>
      </c>
      <c r="L78" s="84" t="str">
        <f t="shared" ca="1" si="32"/>
        <v xml:space="preserve"> </v>
      </c>
      <c r="M78" s="51">
        <v>54</v>
      </c>
      <c r="N78" s="51">
        <f t="shared" ca="1" si="34"/>
        <v>0</v>
      </c>
      <c r="O78" s="51">
        <f t="shared" ca="1" si="40"/>
        <v>20</v>
      </c>
      <c r="P78" s="56">
        <f t="shared" ca="1" si="41"/>
        <v>0</v>
      </c>
      <c r="Q78" s="56">
        <f t="shared" ca="1" si="42"/>
        <v>0</v>
      </c>
      <c r="R78" s="56">
        <f t="shared" ca="1" si="53"/>
        <v>0</v>
      </c>
      <c r="S78" s="56" t="str">
        <f t="shared" ca="1" si="24"/>
        <v xml:space="preserve"> </v>
      </c>
      <c r="T78" s="56" t="e">
        <f t="shared" ca="1" si="25"/>
        <v>#VALUE!</v>
      </c>
      <c r="U78" s="56">
        <f t="shared" ca="1" si="61"/>
        <v>0</v>
      </c>
      <c r="V78" s="56">
        <f t="shared" ca="1" si="62"/>
        <v>0</v>
      </c>
      <c r="W78" s="56">
        <f t="shared" ca="1" si="26"/>
        <v>0</v>
      </c>
      <c r="X78" s="56">
        <f t="shared" ca="1" si="27"/>
        <v>0</v>
      </c>
      <c r="Y78" s="56">
        <f t="shared" ca="1" si="16"/>
        <v>0</v>
      </c>
      <c r="Z78" s="56">
        <f t="shared" ca="1" si="28"/>
        <v>0</v>
      </c>
      <c r="AA78" s="56">
        <f t="shared" ca="1" si="17"/>
        <v>0</v>
      </c>
      <c r="AB78" s="56">
        <f t="shared" ca="1" si="63"/>
        <v>0</v>
      </c>
      <c r="AC78" s="56">
        <f t="shared" ca="1" si="43"/>
        <v>0</v>
      </c>
      <c r="AD78" s="56">
        <f t="shared" ca="1" si="44"/>
        <v>0</v>
      </c>
      <c r="AE78" s="56">
        <f t="shared" ca="1" si="33"/>
        <v>0</v>
      </c>
      <c r="AF78" s="56">
        <f t="shared" ca="1" si="18"/>
        <v>0</v>
      </c>
      <c r="AG78" s="56">
        <f t="shared" ca="1" si="29"/>
        <v>0</v>
      </c>
      <c r="AH78" s="56">
        <f t="shared" ca="1" si="19"/>
        <v>0</v>
      </c>
      <c r="AI78" s="56">
        <f t="shared" ca="1" si="45"/>
        <v>0</v>
      </c>
      <c r="AJ78" s="56">
        <f t="shared" ca="1" si="64"/>
        <v>0</v>
      </c>
      <c r="AK78" s="56">
        <f t="shared" ca="1" si="65"/>
        <v>0</v>
      </c>
      <c r="AL78" s="57">
        <f t="shared" ca="1" si="54"/>
        <v>0</v>
      </c>
      <c r="AM78" s="57">
        <f t="shared" ca="1" si="46"/>
        <v>0</v>
      </c>
      <c r="AN78" s="51">
        <f t="shared" ca="1" si="55"/>
        <v>0</v>
      </c>
      <c r="AO78" s="51">
        <f t="shared" ca="1" si="47"/>
        <v>0</v>
      </c>
      <c r="AP78" s="51">
        <f t="shared" ca="1" si="48"/>
        <v>0</v>
      </c>
      <c r="AQ78" s="51">
        <f t="shared" ca="1" si="49"/>
        <v>30</v>
      </c>
      <c r="AR78" s="51">
        <f t="shared" si="50"/>
        <v>20</v>
      </c>
      <c r="AS78" s="51">
        <f t="shared" ca="1" si="56"/>
        <v>30</v>
      </c>
      <c r="AT78" s="52"/>
      <c r="AU78" s="52"/>
      <c r="AV78" s="52"/>
      <c r="AW78" s="52"/>
      <c r="AX78" s="52"/>
      <c r="AY78" s="51">
        <f t="shared" ca="1" si="23"/>
        <v>0</v>
      </c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1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2"/>
        <v xml:space="preserve"> </v>
      </c>
      <c r="I79" s="84">
        <f t="shared" ca="1" si="30"/>
        <v>0</v>
      </c>
      <c r="J79" s="84">
        <f t="shared" ca="1" si="31"/>
        <v>0</v>
      </c>
      <c r="K79" s="84">
        <v>0</v>
      </c>
      <c r="L79" s="84" t="str">
        <f t="shared" ca="1" si="32"/>
        <v xml:space="preserve"> </v>
      </c>
      <c r="M79" s="51">
        <v>55</v>
      </c>
      <c r="N79" s="51">
        <f t="shared" ca="1" si="34"/>
        <v>0</v>
      </c>
      <c r="O79" s="51">
        <f t="shared" ca="1" si="40"/>
        <v>20</v>
      </c>
      <c r="P79" s="56">
        <f t="shared" ca="1" si="41"/>
        <v>0</v>
      </c>
      <c r="Q79" s="56">
        <f t="shared" ca="1" si="42"/>
        <v>0</v>
      </c>
      <c r="R79" s="56">
        <f t="shared" ca="1" si="53"/>
        <v>0</v>
      </c>
      <c r="S79" s="56" t="str">
        <f t="shared" ca="1" si="24"/>
        <v xml:space="preserve"> </v>
      </c>
      <c r="T79" s="56" t="e">
        <f t="shared" ca="1" si="25"/>
        <v>#VALUE!</v>
      </c>
      <c r="U79" s="56">
        <f t="shared" ca="1" si="61"/>
        <v>0</v>
      </c>
      <c r="V79" s="56">
        <f t="shared" ca="1" si="62"/>
        <v>0</v>
      </c>
      <c r="W79" s="56">
        <f t="shared" ca="1" si="26"/>
        <v>0</v>
      </c>
      <c r="X79" s="56">
        <f t="shared" ca="1" si="27"/>
        <v>0</v>
      </c>
      <c r="Y79" s="56">
        <f t="shared" ca="1" si="16"/>
        <v>0</v>
      </c>
      <c r="Z79" s="56">
        <f t="shared" ca="1" si="28"/>
        <v>0</v>
      </c>
      <c r="AA79" s="56">
        <f t="shared" ca="1" si="17"/>
        <v>0</v>
      </c>
      <c r="AB79" s="56">
        <f t="shared" ca="1" si="63"/>
        <v>0</v>
      </c>
      <c r="AC79" s="56">
        <f t="shared" ca="1" si="43"/>
        <v>0</v>
      </c>
      <c r="AD79" s="56">
        <f t="shared" ca="1" si="44"/>
        <v>0</v>
      </c>
      <c r="AE79" s="56">
        <f t="shared" ca="1" si="33"/>
        <v>0</v>
      </c>
      <c r="AF79" s="56">
        <f t="shared" ca="1" si="18"/>
        <v>0</v>
      </c>
      <c r="AG79" s="56">
        <f t="shared" ca="1" si="29"/>
        <v>0</v>
      </c>
      <c r="AH79" s="56">
        <f t="shared" ca="1" si="19"/>
        <v>0</v>
      </c>
      <c r="AI79" s="56">
        <f t="shared" ca="1" si="45"/>
        <v>0</v>
      </c>
      <c r="AJ79" s="56">
        <f t="shared" ca="1" si="64"/>
        <v>0</v>
      </c>
      <c r="AK79" s="56">
        <f t="shared" ca="1" si="65"/>
        <v>0</v>
      </c>
      <c r="AL79" s="57">
        <f t="shared" ca="1" si="54"/>
        <v>0</v>
      </c>
      <c r="AM79" s="57">
        <f t="shared" ca="1" si="46"/>
        <v>0</v>
      </c>
      <c r="AN79" s="51">
        <f t="shared" ca="1" si="55"/>
        <v>0</v>
      </c>
      <c r="AO79" s="51">
        <f t="shared" ca="1" si="47"/>
        <v>0</v>
      </c>
      <c r="AP79" s="51">
        <f t="shared" ca="1" si="48"/>
        <v>0</v>
      </c>
      <c r="AQ79" s="51">
        <f t="shared" ca="1" si="49"/>
        <v>30</v>
      </c>
      <c r="AR79" s="51">
        <f t="shared" si="50"/>
        <v>20</v>
      </c>
      <c r="AS79" s="51">
        <f t="shared" ca="1" si="56"/>
        <v>30</v>
      </c>
      <c r="AT79" s="52"/>
      <c r="AU79" s="52"/>
      <c r="AV79" s="52"/>
      <c r="AW79" s="52"/>
      <c r="AX79" s="52"/>
      <c r="AY79" s="51">
        <f t="shared" ca="1" si="23"/>
        <v>0</v>
      </c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1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2"/>
        <v xml:space="preserve"> </v>
      </c>
      <c r="I80" s="84">
        <f t="shared" ca="1" si="30"/>
        <v>0</v>
      </c>
      <c r="J80" s="84">
        <f t="shared" ca="1" si="31"/>
        <v>0</v>
      </c>
      <c r="K80" s="84">
        <v>0</v>
      </c>
      <c r="L80" s="84" t="str">
        <f t="shared" ca="1" si="32"/>
        <v xml:space="preserve"> </v>
      </c>
      <c r="M80" s="51">
        <v>56</v>
      </c>
      <c r="N80" s="51">
        <f t="shared" ca="1" si="34"/>
        <v>0</v>
      </c>
      <c r="O80" s="51">
        <f t="shared" ca="1" si="40"/>
        <v>20</v>
      </c>
      <c r="P80" s="56">
        <f t="shared" ca="1" si="41"/>
        <v>0</v>
      </c>
      <c r="Q80" s="56">
        <f t="shared" ca="1" si="42"/>
        <v>0</v>
      </c>
      <c r="R80" s="56">
        <f t="shared" ca="1" si="53"/>
        <v>0</v>
      </c>
      <c r="S80" s="56" t="str">
        <f t="shared" ca="1" si="24"/>
        <v xml:space="preserve"> </v>
      </c>
      <c r="T80" s="56" t="e">
        <f t="shared" ca="1" si="25"/>
        <v>#VALUE!</v>
      </c>
      <c r="U80" s="56">
        <f t="shared" ca="1" si="61"/>
        <v>0</v>
      </c>
      <c r="V80" s="56">
        <f t="shared" ca="1" si="62"/>
        <v>0</v>
      </c>
      <c r="W80" s="56">
        <f t="shared" ca="1" si="26"/>
        <v>0</v>
      </c>
      <c r="X80" s="56">
        <f t="shared" ca="1" si="27"/>
        <v>0</v>
      </c>
      <c r="Y80" s="56">
        <f t="shared" ca="1" si="16"/>
        <v>0</v>
      </c>
      <c r="Z80" s="56">
        <f t="shared" ca="1" si="28"/>
        <v>0</v>
      </c>
      <c r="AA80" s="56">
        <f t="shared" ca="1" si="17"/>
        <v>0</v>
      </c>
      <c r="AB80" s="56">
        <f t="shared" ca="1" si="63"/>
        <v>0</v>
      </c>
      <c r="AC80" s="56">
        <f t="shared" ca="1" si="43"/>
        <v>0</v>
      </c>
      <c r="AD80" s="56">
        <f t="shared" ca="1" si="44"/>
        <v>0</v>
      </c>
      <c r="AE80" s="56">
        <f t="shared" ca="1" si="33"/>
        <v>0</v>
      </c>
      <c r="AF80" s="56">
        <f t="shared" ca="1" si="18"/>
        <v>0</v>
      </c>
      <c r="AG80" s="56">
        <f t="shared" ca="1" si="29"/>
        <v>0</v>
      </c>
      <c r="AH80" s="56">
        <f t="shared" ca="1" si="19"/>
        <v>0</v>
      </c>
      <c r="AI80" s="56">
        <f t="shared" ca="1" si="45"/>
        <v>0</v>
      </c>
      <c r="AJ80" s="56">
        <f t="shared" ca="1" si="64"/>
        <v>0</v>
      </c>
      <c r="AK80" s="56">
        <f t="shared" ca="1" si="65"/>
        <v>0</v>
      </c>
      <c r="AL80" s="57">
        <f t="shared" ca="1" si="54"/>
        <v>0</v>
      </c>
      <c r="AM80" s="57">
        <f t="shared" ca="1" si="46"/>
        <v>0</v>
      </c>
      <c r="AN80" s="51">
        <f t="shared" ca="1" si="55"/>
        <v>0</v>
      </c>
      <c r="AO80" s="51">
        <f t="shared" ca="1" si="47"/>
        <v>0</v>
      </c>
      <c r="AP80" s="51">
        <f t="shared" ca="1" si="48"/>
        <v>0</v>
      </c>
      <c r="AQ80" s="51">
        <f t="shared" ca="1" si="49"/>
        <v>30</v>
      </c>
      <c r="AR80" s="51">
        <f t="shared" si="50"/>
        <v>20</v>
      </c>
      <c r="AS80" s="51">
        <f t="shared" ca="1" si="56"/>
        <v>30</v>
      </c>
      <c r="AT80" s="52"/>
      <c r="AU80" s="52"/>
      <c r="AV80" s="52"/>
      <c r="AW80" s="52"/>
      <c r="AX80" s="52"/>
      <c r="AY80" s="51">
        <f t="shared" ca="1" si="23"/>
        <v>0</v>
      </c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1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2"/>
        <v xml:space="preserve"> </v>
      </c>
      <c r="I81" s="84">
        <f t="shared" ca="1" si="30"/>
        <v>0</v>
      </c>
      <c r="J81" s="84">
        <f t="shared" ca="1" si="31"/>
        <v>0</v>
      </c>
      <c r="K81" s="84">
        <v>0</v>
      </c>
      <c r="L81" s="84" t="str">
        <f t="shared" ca="1" si="32"/>
        <v xml:space="preserve"> </v>
      </c>
      <c r="M81" s="51">
        <v>57</v>
      </c>
      <c r="N81" s="51">
        <f t="shared" ca="1" si="34"/>
        <v>0</v>
      </c>
      <c r="O81" s="51">
        <f t="shared" ca="1" si="40"/>
        <v>20</v>
      </c>
      <c r="P81" s="56">
        <f t="shared" ca="1" si="41"/>
        <v>0</v>
      </c>
      <c r="Q81" s="56">
        <f t="shared" ca="1" si="42"/>
        <v>0</v>
      </c>
      <c r="R81" s="56">
        <f t="shared" ca="1" si="53"/>
        <v>0</v>
      </c>
      <c r="S81" s="56" t="str">
        <f t="shared" ca="1" si="24"/>
        <v xml:space="preserve"> </v>
      </c>
      <c r="T81" s="56" t="e">
        <f t="shared" ca="1" si="25"/>
        <v>#VALUE!</v>
      </c>
      <c r="U81" s="56">
        <f t="shared" ca="1" si="61"/>
        <v>0</v>
      </c>
      <c r="V81" s="56">
        <f t="shared" ca="1" si="62"/>
        <v>0</v>
      </c>
      <c r="W81" s="56">
        <f t="shared" ca="1" si="26"/>
        <v>0</v>
      </c>
      <c r="X81" s="56">
        <f t="shared" ca="1" si="27"/>
        <v>0</v>
      </c>
      <c r="Y81" s="56">
        <f t="shared" ca="1" si="16"/>
        <v>0</v>
      </c>
      <c r="Z81" s="56">
        <f t="shared" ca="1" si="28"/>
        <v>0</v>
      </c>
      <c r="AA81" s="56">
        <f t="shared" ca="1" si="17"/>
        <v>0</v>
      </c>
      <c r="AB81" s="56">
        <f t="shared" ca="1" si="63"/>
        <v>0</v>
      </c>
      <c r="AC81" s="56">
        <f t="shared" ca="1" si="43"/>
        <v>0</v>
      </c>
      <c r="AD81" s="56">
        <f t="shared" ca="1" si="44"/>
        <v>0</v>
      </c>
      <c r="AE81" s="56">
        <f t="shared" ca="1" si="33"/>
        <v>0</v>
      </c>
      <c r="AF81" s="56">
        <f t="shared" ca="1" si="18"/>
        <v>0</v>
      </c>
      <c r="AG81" s="56">
        <f t="shared" ca="1" si="29"/>
        <v>0</v>
      </c>
      <c r="AH81" s="56">
        <f t="shared" ca="1" si="19"/>
        <v>0</v>
      </c>
      <c r="AI81" s="56">
        <f t="shared" ca="1" si="45"/>
        <v>0</v>
      </c>
      <c r="AJ81" s="56">
        <f t="shared" ca="1" si="64"/>
        <v>0</v>
      </c>
      <c r="AK81" s="56">
        <f t="shared" ca="1" si="65"/>
        <v>0</v>
      </c>
      <c r="AL81" s="57">
        <f t="shared" ca="1" si="54"/>
        <v>0</v>
      </c>
      <c r="AM81" s="57">
        <f t="shared" ca="1" si="46"/>
        <v>0</v>
      </c>
      <c r="AN81" s="51">
        <f t="shared" ca="1" si="55"/>
        <v>0</v>
      </c>
      <c r="AO81" s="51">
        <f t="shared" ca="1" si="47"/>
        <v>0</v>
      </c>
      <c r="AP81" s="51">
        <f t="shared" ca="1" si="48"/>
        <v>0</v>
      </c>
      <c r="AQ81" s="51">
        <f t="shared" ca="1" si="49"/>
        <v>30</v>
      </c>
      <c r="AR81" s="51">
        <f t="shared" si="50"/>
        <v>20</v>
      </c>
      <c r="AS81" s="51">
        <f t="shared" ca="1" si="56"/>
        <v>30</v>
      </c>
      <c r="AT81" s="52"/>
      <c r="AU81" s="52"/>
      <c r="AV81" s="52"/>
      <c r="AW81" s="52"/>
      <c r="AX81" s="52"/>
      <c r="AY81" s="51">
        <f t="shared" ca="1" si="23"/>
        <v>0</v>
      </c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1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2"/>
        <v xml:space="preserve"> </v>
      </c>
      <c r="I82" s="84">
        <f t="shared" ca="1" si="30"/>
        <v>0</v>
      </c>
      <c r="J82" s="84">
        <f t="shared" ca="1" si="31"/>
        <v>0</v>
      </c>
      <c r="K82" s="84">
        <v>0</v>
      </c>
      <c r="L82" s="84" t="str">
        <f t="shared" ca="1" si="32"/>
        <v xml:space="preserve"> </v>
      </c>
      <c r="M82" s="51">
        <v>58</v>
      </c>
      <c r="N82" s="51">
        <f t="shared" ca="1" si="34"/>
        <v>0</v>
      </c>
      <c r="O82" s="51">
        <f t="shared" ca="1" si="40"/>
        <v>20</v>
      </c>
      <c r="P82" s="56">
        <f t="shared" ca="1" si="41"/>
        <v>0</v>
      </c>
      <c r="Q82" s="56">
        <f t="shared" ca="1" si="42"/>
        <v>0</v>
      </c>
      <c r="R82" s="56">
        <f t="shared" ca="1" si="53"/>
        <v>0</v>
      </c>
      <c r="S82" s="56" t="str">
        <f t="shared" ca="1" si="24"/>
        <v xml:space="preserve"> </v>
      </c>
      <c r="T82" s="56" t="e">
        <f t="shared" ca="1" si="25"/>
        <v>#VALUE!</v>
      </c>
      <c r="U82" s="56">
        <f t="shared" ca="1" si="61"/>
        <v>0</v>
      </c>
      <c r="V82" s="56">
        <f t="shared" ca="1" si="62"/>
        <v>0</v>
      </c>
      <c r="W82" s="56">
        <f t="shared" ca="1" si="26"/>
        <v>0</v>
      </c>
      <c r="X82" s="56">
        <f t="shared" ca="1" si="27"/>
        <v>0</v>
      </c>
      <c r="Y82" s="56">
        <f t="shared" ca="1" si="16"/>
        <v>0</v>
      </c>
      <c r="Z82" s="56">
        <f t="shared" ca="1" si="28"/>
        <v>0</v>
      </c>
      <c r="AA82" s="56">
        <f t="shared" ca="1" si="17"/>
        <v>0</v>
      </c>
      <c r="AB82" s="56">
        <f t="shared" ca="1" si="63"/>
        <v>0</v>
      </c>
      <c r="AC82" s="56">
        <f t="shared" ca="1" si="43"/>
        <v>0</v>
      </c>
      <c r="AD82" s="56">
        <f t="shared" ca="1" si="44"/>
        <v>0</v>
      </c>
      <c r="AE82" s="56">
        <f t="shared" ca="1" si="33"/>
        <v>0</v>
      </c>
      <c r="AF82" s="56">
        <f t="shared" ca="1" si="18"/>
        <v>0</v>
      </c>
      <c r="AG82" s="56">
        <f t="shared" ca="1" si="29"/>
        <v>0</v>
      </c>
      <c r="AH82" s="56">
        <f t="shared" ca="1" si="19"/>
        <v>0</v>
      </c>
      <c r="AI82" s="56">
        <f t="shared" ca="1" si="45"/>
        <v>0</v>
      </c>
      <c r="AJ82" s="56">
        <f t="shared" ca="1" si="64"/>
        <v>0</v>
      </c>
      <c r="AK82" s="56">
        <f t="shared" ca="1" si="65"/>
        <v>0</v>
      </c>
      <c r="AL82" s="57">
        <f t="shared" ca="1" si="54"/>
        <v>0</v>
      </c>
      <c r="AM82" s="57">
        <f t="shared" ca="1" si="46"/>
        <v>0</v>
      </c>
      <c r="AN82" s="51">
        <f t="shared" ca="1" si="55"/>
        <v>0</v>
      </c>
      <c r="AO82" s="51">
        <f t="shared" ca="1" si="47"/>
        <v>0</v>
      </c>
      <c r="AP82" s="51">
        <f t="shared" ca="1" si="48"/>
        <v>0</v>
      </c>
      <c r="AQ82" s="51">
        <f t="shared" ca="1" si="49"/>
        <v>30</v>
      </c>
      <c r="AR82" s="51">
        <f t="shared" si="50"/>
        <v>20</v>
      </c>
      <c r="AS82" s="51">
        <f t="shared" ca="1" si="56"/>
        <v>30</v>
      </c>
      <c r="AT82" s="52"/>
      <c r="AU82" s="52"/>
      <c r="AV82" s="52"/>
      <c r="AW82" s="52"/>
      <c r="AX82" s="52"/>
      <c r="AY82" s="51">
        <f t="shared" ca="1" si="23"/>
        <v>0</v>
      </c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1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2"/>
        <v xml:space="preserve"> </v>
      </c>
      <c r="I83" s="84">
        <f t="shared" ca="1" si="30"/>
        <v>0</v>
      </c>
      <c r="J83" s="84">
        <f t="shared" ca="1" si="31"/>
        <v>0</v>
      </c>
      <c r="K83" s="84">
        <v>0</v>
      </c>
      <c r="L83" s="84" t="str">
        <f t="shared" ca="1" si="32"/>
        <v xml:space="preserve"> </v>
      </c>
      <c r="M83" s="51">
        <v>59</v>
      </c>
      <c r="N83" s="51">
        <f t="shared" ca="1" si="34"/>
        <v>0</v>
      </c>
      <c r="O83" s="51">
        <f t="shared" ca="1" si="40"/>
        <v>20</v>
      </c>
      <c r="P83" s="56">
        <f t="shared" ca="1" si="41"/>
        <v>0</v>
      </c>
      <c r="Q83" s="56">
        <f t="shared" ca="1" si="42"/>
        <v>0</v>
      </c>
      <c r="R83" s="56">
        <f t="shared" ca="1" si="53"/>
        <v>0</v>
      </c>
      <c r="S83" s="56" t="str">
        <f t="shared" ca="1" si="24"/>
        <v xml:space="preserve"> </v>
      </c>
      <c r="T83" s="56" t="e">
        <f t="shared" ca="1" si="25"/>
        <v>#VALUE!</v>
      </c>
      <c r="U83" s="56">
        <f t="shared" ca="1" si="61"/>
        <v>0</v>
      </c>
      <c r="V83" s="56">
        <f t="shared" ca="1" si="62"/>
        <v>0</v>
      </c>
      <c r="W83" s="56">
        <f t="shared" ca="1" si="26"/>
        <v>0</v>
      </c>
      <c r="X83" s="56">
        <f t="shared" ca="1" si="27"/>
        <v>0</v>
      </c>
      <c r="Y83" s="56">
        <f t="shared" ca="1" si="16"/>
        <v>0</v>
      </c>
      <c r="Z83" s="56">
        <f t="shared" ca="1" si="28"/>
        <v>0</v>
      </c>
      <c r="AA83" s="56">
        <f t="shared" ca="1" si="17"/>
        <v>0</v>
      </c>
      <c r="AB83" s="56">
        <f t="shared" ca="1" si="63"/>
        <v>0</v>
      </c>
      <c r="AC83" s="56">
        <f t="shared" ca="1" si="43"/>
        <v>0</v>
      </c>
      <c r="AD83" s="56">
        <f t="shared" ca="1" si="44"/>
        <v>0</v>
      </c>
      <c r="AE83" s="56">
        <f t="shared" ca="1" si="33"/>
        <v>0</v>
      </c>
      <c r="AF83" s="56">
        <f t="shared" ca="1" si="18"/>
        <v>0</v>
      </c>
      <c r="AG83" s="56">
        <f t="shared" ca="1" si="29"/>
        <v>0</v>
      </c>
      <c r="AH83" s="56">
        <f t="shared" ca="1" si="19"/>
        <v>0</v>
      </c>
      <c r="AI83" s="56">
        <f t="shared" ca="1" si="45"/>
        <v>0</v>
      </c>
      <c r="AJ83" s="56">
        <f t="shared" ca="1" si="64"/>
        <v>0</v>
      </c>
      <c r="AK83" s="56">
        <f t="shared" ca="1" si="65"/>
        <v>0</v>
      </c>
      <c r="AL83" s="57">
        <f t="shared" ca="1" si="54"/>
        <v>0</v>
      </c>
      <c r="AM83" s="57">
        <f t="shared" ca="1" si="46"/>
        <v>0</v>
      </c>
      <c r="AN83" s="51">
        <f t="shared" ca="1" si="55"/>
        <v>0</v>
      </c>
      <c r="AO83" s="51">
        <f t="shared" ca="1" si="47"/>
        <v>0</v>
      </c>
      <c r="AP83" s="51">
        <f t="shared" ca="1" si="48"/>
        <v>0</v>
      </c>
      <c r="AQ83" s="51">
        <f t="shared" ca="1" si="49"/>
        <v>30</v>
      </c>
      <c r="AR83" s="51">
        <f t="shared" si="50"/>
        <v>20</v>
      </c>
      <c r="AS83" s="51">
        <f t="shared" ca="1" si="56"/>
        <v>30</v>
      </c>
      <c r="AT83" s="52"/>
      <c r="AU83" s="52"/>
      <c r="AV83" s="52"/>
      <c r="AW83" s="52"/>
      <c r="AX83" s="52"/>
      <c r="AY83" s="51">
        <f t="shared" ca="1" si="23"/>
        <v>0</v>
      </c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1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2"/>
        <v xml:space="preserve"> </v>
      </c>
      <c r="I84" s="84">
        <f t="shared" ca="1" si="30"/>
        <v>0</v>
      </c>
      <c r="J84" s="84">
        <f t="shared" ca="1" si="31"/>
        <v>0</v>
      </c>
      <c r="K84" s="84">
        <v>0</v>
      </c>
      <c r="L84" s="84" t="str">
        <f t="shared" ca="1" si="32"/>
        <v xml:space="preserve"> </v>
      </c>
      <c r="M84" s="51">
        <v>60</v>
      </c>
      <c r="N84" s="51">
        <f t="shared" ca="1" si="34"/>
        <v>0</v>
      </c>
      <c r="O84" s="51">
        <f t="shared" ca="1" si="40"/>
        <v>20</v>
      </c>
      <c r="P84" s="56">
        <f t="shared" ca="1" si="41"/>
        <v>0</v>
      </c>
      <c r="Q84" s="56">
        <f t="shared" ca="1" si="42"/>
        <v>0</v>
      </c>
      <c r="R84" s="56">
        <f t="shared" ca="1" si="53"/>
        <v>0</v>
      </c>
      <c r="S84" s="56" t="str">
        <f t="shared" ca="1" si="24"/>
        <v xml:space="preserve"> </v>
      </c>
      <c r="T84" s="56" t="e">
        <f t="shared" ca="1" si="25"/>
        <v>#VALUE!</v>
      </c>
      <c r="U84" s="56">
        <f t="shared" ca="1" si="61"/>
        <v>0</v>
      </c>
      <c r="V84" s="56">
        <f t="shared" ca="1" si="62"/>
        <v>0</v>
      </c>
      <c r="W84" s="56">
        <f t="shared" ca="1" si="26"/>
        <v>0</v>
      </c>
      <c r="X84" s="56">
        <f t="shared" ca="1" si="27"/>
        <v>0</v>
      </c>
      <c r="Y84" s="56">
        <f t="shared" ca="1" si="16"/>
        <v>0</v>
      </c>
      <c r="Z84" s="56">
        <f t="shared" ca="1" si="28"/>
        <v>0</v>
      </c>
      <c r="AA84" s="56">
        <f t="shared" ca="1" si="17"/>
        <v>0</v>
      </c>
      <c r="AB84" s="56">
        <f t="shared" ca="1" si="63"/>
        <v>0</v>
      </c>
      <c r="AC84" s="56">
        <f t="shared" ca="1" si="43"/>
        <v>0</v>
      </c>
      <c r="AD84" s="56">
        <f t="shared" ca="1" si="44"/>
        <v>0</v>
      </c>
      <c r="AE84" s="56">
        <f t="shared" ca="1" si="33"/>
        <v>0</v>
      </c>
      <c r="AF84" s="56">
        <f t="shared" ca="1" si="18"/>
        <v>0</v>
      </c>
      <c r="AG84" s="56">
        <f t="shared" ca="1" si="29"/>
        <v>0</v>
      </c>
      <c r="AH84" s="56">
        <f t="shared" ca="1" si="19"/>
        <v>0</v>
      </c>
      <c r="AI84" s="56">
        <f t="shared" ca="1" si="45"/>
        <v>0</v>
      </c>
      <c r="AJ84" s="56">
        <f t="shared" ca="1" si="64"/>
        <v>0</v>
      </c>
      <c r="AK84" s="56">
        <f t="shared" ca="1" si="65"/>
        <v>0</v>
      </c>
      <c r="AL84" s="57">
        <f t="shared" ca="1" si="54"/>
        <v>0</v>
      </c>
      <c r="AM84" s="57">
        <f t="shared" ca="1" si="46"/>
        <v>0</v>
      </c>
      <c r="AN84" s="51">
        <f t="shared" ca="1" si="55"/>
        <v>0</v>
      </c>
      <c r="AO84" s="51">
        <f t="shared" ca="1" si="47"/>
        <v>0</v>
      </c>
      <c r="AP84" s="51">
        <f t="shared" ca="1" si="48"/>
        <v>0</v>
      </c>
      <c r="AQ84" s="51">
        <f t="shared" ca="1" si="49"/>
        <v>30</v>
      </c>
      <c r="AR84" s="51">
        <f t="shared" si="50"/>
        <v>20</v>
      </c>
      <c r="AS84" s="51">
        <f t="shared" ca="1" si="56"/>
        <v>30</v>
      </c>
      <c r="AT84" s="52"/>
      <c r="AU84" s="52"/>
      <c r="AV84" s="52"/>
      <c r="AW84" s="52"/>
      <c r="AX84" s="52"/>
      <c r="AY84" s="51">
        <f t="shared" ca="1" si="23"/>
        <v>0</v>
      </c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1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2"/>
        <v xml:space="preserve"> </v>
      </c>
      <c r="I85" s="84">
        <f t="shared" ca="1" si="30"/>
        <v>0</v>
      </c>
      <c r="J85" s="84">
        <f t="shared" ca="1" si="31"/>
        <v>0</v>
      </c>
      <c r="K85" s="84">
        <v>0</v>
      </c>
      <c r="L85" s="84" t="str">
        <f t="shared" ca="1" si="32"/>
        <v xml:space="preserve"> </v>
      </c>
      <c r="M85" s="51">
        <v>61</v>
      </c>
      <c r="N85" s="51">
        <f t="shared" ca="1" si="34"/>
        <v>0</v>
      </c>
      <c r="O85" s="51">
        <f t="shared" ca="1" si="40"/>
        <v>20</v>
      </c>
      <c r="P85" s="56">
        <f t="shared" ca="1" si="41"/>
        <v>0</v>
      </c>
      <c r="Q85" s="56">
        <f t="shared" ca="1" si="42"/>
        <v>0</v>
      </c>
      <c r="R85" s="56">
        <f t="shared" ca="1" si="53"/>
        <v>0</v>
      </c>
      <c r="S85" s="56" t="str">
        <f t="shared" ca="1" si="24"/>
        <v xml:space="preserve"> </v>
      </c>
      <c r="T85" s="56" t="e">
        <f t="shared" ca="1" si="25"/>
        <v>#VALUE!</v>
      </c>
      <c r="U85" s="56">
        <f ca="1">IF(N86=1,R84*D$11*20/36000+R85*D$11*10/36000,IF(N86=0,IF(N85=0,0,IF(D$16&gt;20,R84*D$11*20/36000+R85*D$11*(Q$12-20)/36000,R85*D$11*Q$12/36000))))</f>
        <v>0</v>
      </c>
      <c r="V85" s="56">
        <f ca="1">IF(N86=1,R84*D$11*20/36000+R85*D$11*10/36000,IF(N86=0,IF(N85=0,0,IF(D$16&gt;20,R84*D$11*20/36000+R85*D$11*(Q$12-20)/36000,R85*D$11*Q$12/36000))))</f>
        <v>0</v>
      </c>
      <c r="W85" s="56">
        <f ca="1">IF(N86=1,D10*D$11*20/36000+D10*D$11*10/36000,IF(N86=0,IF(N85=0,0,D10*D$11*Q$12/36000)))</f>
        <v>0</v>
      </c>
      <c r="X85" s="56">
        <f t="shared" ca="1" si="27"/>
        <v>0</v>
      </c>
      <c r="Y85" s="56">
        <f t="shared" ca="1" si="16"/>
        <v>0</v>
      </c>
      <c r="Z85" s="56">
        <f ca="1">IF(N86=1,Y84*D$11*20/36000+Y85*D$11*10/36000,IF(N86=0,IF(N85=0,0,IF(D$16&gt;20,Y84*D$11*20/36000+Y85*D$11*(Q$12-20)/36000,Y85*D$11*Q$12/36000))))</f>
        <v>0</v>
      </c>
      <c r="AA85" s="56">
        <f t="shared" ca="1" si="17"/>
        <v>0</v>
      </c>
      <c r="AB85" s="56">
        <f ca="1">R85*Q$12</f>
        <v>0</v>
      </c>
      <c r="AC85" s="56">
        <f t="shared" ca="1" si="43"/>
        <v>0</v>
      </c>
      <c r="AD85" s="56">
        <f t="shared" ca="1" si="44"/>
        <v>0</v>
      </c>
      <c r="AE85" s="56">
        <f ca="1">IF(N86=1,D10*G$12*20/36000+D10*G$12*10/36000,IF(N86=0,IF(N85=0,0,D10*G$12*Q$12/36000)))</f>
        <v>0</v>
      </c>
      <c r="AF85" s="56">
        <f t="shared" ca="1" si="18"/>
        <v>0</v>
      </c>
      <c r="AG85" s="56">
        <f ca="1">IF(N86=1,Y85*G$12*20/36000+Y85*G$12*10/36000,IF(N86=0,IF(N85=0,0,Y85*G$12*Q$12/36000)))</f>
        <v>0</v>
      </c>
      <c r="AH85" s="56">
        <f t="shared" ca="1" si="19"/>
        <v>0</v>
      </c>
      <c r="AI85" s="56">
        <f t="shared" ca="1" si="45"/>
        <v>0</v>
      </c>
      <c r="AJ85" s="56">
        <f ca="1">IF(N86=1,AI84*G$12*20/36000+AI85*G$12*10/36000,IF(N86=0,IF(N85=0,0,AI85*G$12*Q$12/36000)))</f>
        <v>0</v>
      </c>
      <c r="AK85" s="56">
        <f ca="1">IF(N86=1,AI84*G$12*20/36000+AI85*G$12*10/36000,IF(N86=0,IF(N85=0,0,AI85*G$12*Q$12/36000)))</f>
        <v>0</v>
      </c>
      <c r="AL85" s="57">
        <f t="shared" ca="1" si="54"/>
        <v>0</v>
      </c>
      <c r="AM85" s="57">
        <f t="shared" ca="1" si="46"/>
        <v>0</v>
      </c>
      <c r="AN85" s="51">
        <f t="shared" ca="1" si="55"/>
        <v>0</v>
      </c>
      <c r="AO85" s="51">
        <f t="shared" ca="1" si="47"/>
        <v>0</v>
      </c>
      <c r="AP85" s="51">
        <f t="shared" ca="1" si="48"/>
        <v>0</v>
      </c>
      <c r="AQ85" s="51">
        <f t="shared" ca="1" si="49"/>
        <v>30</v>
      </c>
      <c r="AR85" s="51">
        <f t="shared" si="50"/>
        <v>20</v>
      </c>
      <c r="AS85" s="51">
        <f t="shared" ca="1" si="56"/>
        <v>30</v>
      </c>
      <c r="AT85" s="52"/>
      <c r="AU85" s="52"/>
      <c r="AV85" s="52"/>
      <c r="AW85" s="52"/>
      <c r="AX85" s="52"/>
      <c r="AY85" s="51">
        <f t="shared" ca="1" si="23"/>
        <v>0</v>
      </c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2"/>
        <v xml:space="preserve"> </v>
      </c>
      <c r="I86" s="66"/>
      <c r="J86" s="66"/>
      <c r="K86" s="66"/>
      <c r="L86" s="66"/>
      <c r="M86" s="58">
        <f>IF(A94=0,0,62000)</f>
        <v>0</v>
      </c>
      <c r="N86" s="58"/>
      <c r="O86" s="58"/>
      <c r="P86" s="59">
        <f t="shared" ref="P86:AK86" ca="1" si="66">SUM(P25:P85)</f>
        <v>9940260</v>
      </c>
      <c r="Q86" s="59">
        <f t="shared" ca="1" si="66"/>
        <v>9940260</v>
      </c>
      <c r="R86" s="59">
        <f t="shared" ca="1" si="66"/>
        <v>129999780</v>
      </c>
      <c r="S86" s="59"/>
      <c r="T86" s="59"/>
      <c r="U86" s="59">
        <f t="shared" ca="1" si="66"/>
        <v>9940263.7527777795</v>
      </c>
      <c r="V86" s="59">
        <f t="shared" ca="1" si="66"/>
        <v>9940263.7527777795</v>
      </c>
      <c r="W86" s="59">
        <f t="shared" ca="1" si="66"/>
        <v>16952777.777777776</v>
      </c>
      <c r="X86" s="59">
        <f t="shared" ca="1" si="66"/>
        <v>16952810</v>
      </c>
      <c r="Y86" s="59"/>
      <c r="Z86" s="59"/>
      <c r="AA86" s="59"/>
      <c r="AB86" s="59">
        <f t="shared" ca="1" si="66"/>
        <v>4126661760</v>
      </c>
      <c r="AC86" s="59">
        <f t="shared" ca="1" si="66"/>
        <v>0</v>
      </c>
      <c r="AD86" s="59">
        <f t="shared" ca="1" si="66"/>
        <v>0</v>
      </c>
      <c r="AE86" s="59">
        <f t="shared" ca="1" si="66"/>
        <v>0</v>
      </c>
      <c r="AF86" s="59">
        <f t="shared" ca="1" si="66"/>
        <v>0</v>
      </c>
      <c r="AG86" s="59"/>
      <c r="AH86" s="59"/>
      <c r="AI86" s="59">
        <f t="shared" ca="1" si="66"/>
        <v>129999780</v>
      </c>
      <c r="AJ86" s="59">
        <f t="shared" ca="1" si="66"/>
        <v>0</v>
      </c>
      <c r="AK86" s="59">
        <f t="shared" ca="1" si="66"/>
        <v>0</v>
      </c>
      <c r="AL86" s="59"/>
      <c r="AM86" s="58"/>
      <c r="AN86" s="58"/>
      <c r="AO86" s="58"/>
      <c r="AP86" s="58"/>
      <c r="AQ86" s="58"/>
      <c r="AR86" s="58"/>
      <c r="AS86" s="58"/>
      <c r="AT86" s="60"/>
      <c r="AU86" s="60"/>
      <c r="AV86" s="60"/>
      <c r="AW86" s="60"/>
      <c r="AX86" s="60"/>
      <c r="AY86" s="58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</row>
    <row r="87" spans="1:141" ht="67.5" hidden="1" customHeight="1">
      <c r="A87" s="99">
        <v>0</v>
      </c>
      <c r="B87" s="301" t="str">
        <f>IF(M1=2,IF(F10="USD",O87,IF(F10="бел. рублей",N87)),IF(H8=1,N93," "))</f>
        <v xml:space="preserve"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карт-счета для пополнения карт-счета;   
2. путем внесения наличных денежных средств в кассу Банка;
3. путем оплаты через систему "РАСЧЕТ" наличным или безналичным способом. 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129</v>
      </c>
      <c r="O87" s="28" t="s">
        <v>129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6.2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107"/>
      <c r="L93" s="107"/>
      <c r="M93" s="4"/>
      <c r="N93" s="28" t="s">
        <v>129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</row>
    <row r="96" spans="1:141" s="50" customFormat="1" ht="25.5" hidden="1" customHeight="1">
      <c r="A96" s="32">
        <f t="shared" ref="A96:A103" si="67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Y96" s="49"/>
    </row>
    <row r="97" spans="1:63" s="50" customFormat="1" ht="25.5" hidden="1" customHeight="1">
      <c r="A97" s="105">
        <f t="shared" si="67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49"/>
      <c r="N97" s="62" t="s">
        <v>44</v>
      </c>
      <c r="O97" s="62" t="s">
        <v>120</v>
      </c>
      <c r="P97" s="62" t="s">
        <v>44</v>
      </c>
      <c r="Q97" s="62" t="s">
        <v>120</v>
      </c>
      <c r="R97" s="62" t="s">
        <v>119</v>
      </c>
      <c r="S97" s="62"/>
      <c r="T97" s="62"/>
      <c r="U97" s="62" t="s">
        <v>45</v>
      </c>
      <c r="V97" s="62" t="s">
        <v>45</v>
      </c>
      <c r="W97" s="62"/>
      <c r="X97" s="62"/>
      <c r="Y97" s="62"/>
      <c r="Z97" s="62"/>
      <c r="AA97" s="62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34"/>
      <c r="AU97" s="34"/>
      <c r="AV97" s="34"/>
      <c r="AW97" s="34"/>
      <c r="AX97" s="34"/>
      <c r="AY97" s="65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</row>
    <row r="98" spans="1:63" s="34" customFormat="1" ht="25.5" hidden="1" customHeight="1">
      <c r="A98" s="105">
        <f t="shared" si="67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67"/>
      <c r="J98" s="67"/>
      <c r="K98" s="67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61" t="s">
        <v>48</v>
      </c>
      <c r="V98" s="61" t="s">
        <v>48</v>
      </c>
      <c r="W98" s="61"/>
      <c r="X98" s="61"/>
      <c r="Y98" s="61"/>
      <c r="Z98" s="61"/>
      <c r="AA98" s="61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</row>
    <row r="99" spans="1:63" s="34" customFormat="1" ht="25.5" hidden="1" customHeight="1">
      <c r="A99" s="32">
        <f t="shared" si="67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62" t="s">
        <v>99</v>
      </c>
      <c r="V99" s="62" t="s">
        <v>99</v>
      </c>
      <c r="W99" s="62"/>
      <c r="X99" s="62"/>
      <c r="Y99" s="62"/>
      <c r="Z99" s="62"/>
      <c r="AA99" s="62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</row>
    <row r="100" spans="1:63" s="50" customFormat="1" ht="25.5" hidden="1" customHeight="1">
      <c r="A100" s="32">
        <f t="shared" si="67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Y100" s="49"/>
    </row>
    <row r="101" spans="1:63" s="50" customFormat="1" ht="25.5" hidden="1" customHeight="1">
      <c r="A101" s="105">
        <f t="shared" si="67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49"/>
      <c r="N101" s="62" t="s">
        <v>57</v>
      </c>
      <c r="O101" s="62" t="s">
        <v>57</v>
      </c>
      <c r="P101" s="62" t="s">
        <v>56</v>
      </c>
      <c r="Q101" s="62" t="s">
        <v>57</v>
      </c>
      <c r="R101" s="62" t="s">
        <v>53</v>
      </c>
      <c r="S101" s="62"/>
      <c r="T101" s="62"/>
      <c r="U101" s="62" t="s">
        <v>106</v>
      </c>
      <c r="V101" s="62" t="s">
        <v>106</v>
      </c>
      <c r="W101" s="62"/>
      <c r="X101" s="62"/>
      <c r="Y101" s="62"/>
      <c r="Z101" s="62"/>
      <c r="AA101" s="62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34"/>
      <c r="AU101" s="34"/>
      <c r="AV101" s="34"/>
      <c r="AW101" s="34"/>
      <c r="AX101" s="34"/>
      <c r="AY101" s="65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</row>
    <row r="102" spans="1:63" s="34" customFormat="1" ht="25.5" hidden="1" customHeight="1">
      <c r="A102" s="105">
        <f t="shared" si="67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61" t="s">
        <v>61</v>
      </c>
      <c r="V102" s="61" t="s">
        <v>62</v>
      </c>
      <c r="W102" s="61"/>
      <c r="X102" s="61"/>
      <c r="Y102" s="61"/>
      <c r="Z102" s="61"/>
      <c r="AA102" s="61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</row>
    <row r="103" spans="1:63" s="34" customFormat="1" ht="25.5" hidden="1" customHeight="1">
      <c r="A103" s="32">
        <f t="shared" si="67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61" t="s">
        <v>61</v>
      </c>
      <c r="W103" s="61"/>
      <c r="X103" s="61"/>
      <c r="Y103" s="61"/>
      <c r="Z103" s="61"/>
      <c r="AA103" s="61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</row>
    <row r="104" spans="1:63" s="34" customFormat="1" ht="25.5" hidden="1" customHeight="1">
      <c r="A104" s="32"/>
      <c r="B104" s="299" t="str">
        <f t="shared" ref="B104:B119" si="68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61"/>
      <c r="W104" s="61"/>
      <c r="X104" s="61"/>
      <c r="Y104" s="61"/>
      <c r="Z104" s="61"/>
      <c r="AA104" s="61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</row>
    <row r="105" spans="1:63" s="50" customFormat="1" ht="25.5" hidden="1" customHeight="1">
      <c r="A105" s="32">
        <f t="shared" ref="A105:A119" si="69">IF(LEFT(B105,1)="I",1,0)</f>
        <v>0</v>
      </c>
      <c r="B105" s="299" t="str">
        <f t="shared" si="68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Y105" s="49"/>
    </row>
    <row r="106" spans="1:63" s="50" customFormat="1" ht="25.5" hidden="1" customHeight="1">
      <c r="A106" s="105">
        <f t="shared" si="69"/>
        <v>0</v>
      </c>
      <c r="B106" s="299" t="str">
        <f t="shared" si="68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49"/>
      <c r="N106" s="62" t="s">
        <v>122</v>
      </c>
      <c r="O106" s="62" t="s">
        <v>122</v>
      </c>
      <c r="P106" s="62" t="s">
        <v>122</v>
      </c>
      <c r="Q106" s="62" t="s">
        <v>122</v>
      </c>
      <c r="R106" s="62" t="s">
        <v>127</v>
      </c>
      <c r="S106" s="62"/>
      <c r="T106" s="62"/>
      <c r="U106" s="62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34"/>
      <c r="AU106" s="34"/>
      <c r="AV106" s="34"/>
      <c r="AW106" s="34"/>
      <c r="AX106" s="34"/>
      <c r="AY106" s="65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</row>
    <row r="107" spans="1:63" s="34" customFormat="1" ht="25.5" hidden="1" customHeight="1">
      <c r="A107" s="105">
        <f t="shared" si="69"/>
        <v>0</v>
      </c>
      <c r="B107" s="299" t="str">
        <f t="shared" si="68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61" t="s">
        <v>48</v>
      </c>
      <c r="S107" s="61"/>
      <c r="T107" s="61"/>
      <c r="U107" s="62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</row>
    <row r="108" spans="1:63" s="50" customFormat="1" ht="25.5" hidden="1" customHeight="1">
      <c r="A108" s="32">
        <f t="shared" si="69"/>
        <v>0</v>
      </c>
      <c r="B108" s="299" t="str">
        <f t="shared" si="68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Y108" s="49"/>
    </row>
    <row r="109" spans="1:63" s="34" customFormat="1" ht="25.5" hidden="1" customHeight="1">
      <c r="A109" s="105">
        <f t="shared" si="69"/>
        <v>0</v>
      </c>
      <c r="B109" s="299" t="str">
        <f t="shared" si="68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49"/>
      <c r="N109" s="62" t="s">
        <v>65</v>
      </c>
      <c r="O109" s="62" t="s">
        <v>125</v>
      </c>
      <c r="P109" s="62" t="s">
        <v>65</v>
      </c>
      <c r="Q109" s="62" t="s">
        <v>125</v>
      </c>
      <c r="R109" s="62" t="s">
        <v>66</v>
      </c>
      <c r="S109" s="62"/>
      <c r="T109" s="62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0"/>
      <c r="AV109" s="50"/>
      <c r="AW109" s="50"/>
      <c r="AX109" s="50"/>
      <c r="AY109" s="49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</row>
    <row r="110" spans="1:63" s="34" customFormat="1" ht="25.5" hidden="1" customHeight="1">
      <c r="A110" s="32">
        <f t="shared" si="69"/>
        <v>0</v>
      </c>
      <c r="B110" s="299" t="str">
        <f t="shared" si="68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49"/>
      <c r="N110" s="62" t="s">
        <v>67</v>
      </c>
      <c r="O110" s="62" t="s">
        <v>126</v>
      </c>
      <c r="P110" s="62" t="s">
        <v>67</v>
      </c>
      <c r="Q110" s="62" t="s">
        <v>126</v>
      </c>
      <c r="R110" s="62" t="s">
        <v>106</v>
      </c>
      <c r="S110" s="62"/>
      <c r="T110" s="62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50"/>
      <c r="AU110" s="50"/>
      <c r="AV110" s="50"/>
      <c r="AW110" s="50"/>
      <c r="AX110" s="50"/>
      <c r="AY110" s="49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</row>
    <row r="111" spans="1:63" s="50" customFormat="1" ht="25.5" hidden="1" customHeight="1">
      <c r="A111" s="32">
        <f t="shared" si="69"/>
        <v>0</v>
      </c>
      <c r="B111" s="299" t="str">
        <f t="shared" si="68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49"/>
      <c r="N111" s="62" t="s">
        <v>68</v>
      </c>
      <c r="O111" s="62" t="s">
        <v>127</v>
      </c>
      <c r="P111" s="62" t="s">
        <v>68</v>
      </c>
      <c r="Q111" s="62" t="s">
        <v>127</v>
      </c>
      <c r="R111" s="33" t="s">
        <v>61</v>
      </c>
      <c r="S111" s="33"/>
      <c r="T111" s="33"/>
      <c r="U111" s="49" t="s">
        <v>36</v>
      </c>
      <c r="V111" s="62" t="s">
        <v>54</v>
      </c>
      <c r="W111" s="62"/>
      <c r="X111" s="62"/>
      <c r="Y111" s="62"/>
      <c r="Z111" s="62"/>
      <c r="AA111" s="62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34"/>
      <c r="AU111" s="34"/>
      <c r="AV111" s="34"/>
      <c r="AW111" s="34"/>
      <c r="AX111" s="34"/>
      <c r="AY111" s="65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</row>
    <row r="112" spans="1:63" s="34" customFormat="1" ht="25.5" hidden="1" customHeight="1">
      <c r="A112" s="105">
        <f t="shared" si="69"/>
        <v>0</v>
      </c>
      <c r="B112" s="299" t="str">
        <f t="shared" si="68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49" t="s">
        <v>36</v>
      </c>
      <c r="S112" s="49"/>
      <c r="T112" s="49"/>
      <c r="U112" s="49" t="s">
        <v>36</v>
      </c>
      <c r="V112" s="62" t="s">
        <v>73</v>
      </c>
      <c r="W112" s="62"/>
      <c r="X112" s="62"/>
      <c r="Y112" s="62"/>
      <c r="Z112" s="62"/>
      <c r="AA112" s="62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</row>
    <row r="113" spans="1:63" s="50" customFormat="1" ht="25.5" hidden="1" customHeight="1">
      <c r="A113" s="32">
        <f t="shared" si="69"/>
        <v>0</v>
      </c>
      <c r="B113" s="299" t="str">
        <f t="shared" si="68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Y113" s="49"/>
    </row>
    <row r="114" spans="1:63" s="34" customFormat="1" ht="25.5" hidden="1" customHeight="1">
      <c r="A114" s="105">
        <f t="shared" si="69"/>
        <v>0</v>
      </c>
      <c r="B114" s="299" t="str">
        <f t="shared" si="68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49"/>
      <c r="N114" s="62" t="s">
        <v>115</v>
      </c>
      <c r="O114" s="62" t="s">
        <v>94</v>
      </c>
      <c r="P114" s="62" t="s">
        <v>115</v>
      </c>
      <c r="Q114" s="62" t="s">
        <v>94</v>
      </c>
      <c r="R114" s="33" t="s">
        <v>36</v>
      </c>
      <c r="S114" s="33"/>
      <c r="T114" s="33"/>
      <c r="U114" s="33" t="s">
        <v>36</v>
      </c>
      <c r="V114" s="49" t="s">
        <v>36</v>
      </c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50"/>
      <c r="AU114" s="50"/>
      <c r="AV114" s="50"/>
      <c r="AW114" s="50"/>
      <c r="AX114" s="50"/>
      <c r="AY114" s="49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</row>
    <row r="115" spans="1:63" s="50" customFormat="1" ht="25.5" hidden="1" customHeight="1">
      <c r="A115" s="32">
        <f t="shared" si="69"/>
        <v>1</v>
      </c>
      <c r="B115" s="299" t="str">
        <f t="shared" si="68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49"/>
      <c r="N115" s="61" t="s">
        <v>48</v>
      </c>
      <c r="O115" s="61" t="s">
        <v>48</v>
      </c>
      <c r="P115" s="61" t="s">
        <v>48</v>
      </c>
      <c r="Q115" s="61" t="s">
        <v>48</v>
      </c>
      <c r="R115" s="61" t="s">
        <v>36</v>
      </c>
      <c r="S115" s="61"/>
      <c r="T115" s="61"/>
      <c r="U115" s="61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34"/>
      <c r="AU115" s="34"/>
      <c r="AV115" s="34"/>
      <c r="AW115" s="34"/>
      <c r="AX115" s="34"/>
      <c r="AY115" s="65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</row>
    <row r="116" spans="1:63" s="34" customFormat="1" ht="25.5" hidden="1" customHeight="1">
      <c r="A116" s="105">
        <f t="shared" si="69"/>
        <v>0</v>
      </c>
      <c r="B116" s="299" t="str">
        <f t="shared" si="68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61" t="s">
        <v>36</v>
      </c>
      <c r="S116" s="61"/>
      <c r="T116" s="61"/>
      <c r="U116" s="61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</row>
    <row r="117" spans="1:63" s="34" customFormat="1" ht="25.5" hidden="1" customHeight="1">
      <c r="A117" s="32">
        <f t="shared" si="69"/>
        <v>0</v>
      </c>
      <c r="B117" s="299" t="str">
        <f t="shared" si="68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61" t="s">
        <v>36</v>
      </c>
      <c r="S117" s="61"/>
      <c r="T117" s="61"/>
      <c r="U117" s="61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</row>
    <row r="118" spans="1:63" s="34" customFormat="1" ht="25.5" hidden="1" customHeight="1">
      <c r="A118" s="32">
        <f t="shared" si="69"/>
        <v>0</v>
      </c>
      <c r="B118" s="299" t="str">
        <f t="shared" si="68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61" t="s">
        <v>36</v>
      </c>
      <c r="S118" s="61"/>
      <c r="T118" s="61"/>
      <c r="U118" s="61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</row>
    <row r="119" spans="1:63" s="34" customFormat="1" ht="25.5" hidden="1" customHeight="1">
      <c r="A119" s="32">
        <f t="shared" si="69"/>
        <v>0</v>
      </c>
      <c r="B119" s="299" t="str">
        <f t="shared" si="68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61" t="s">
        <v>61</v>
      </c>
      <c r="Q119" s="61" t="s">
        <v>61</v>
      </c>
      <c r="R119" s="61" t="s">
        <v>36</v>
      </c>
      <c r="S119" s="61"/>
      <c r="T119" s="61"/>
      <c r="U119" s="61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</row>
    <row r="120" spans="1:63" s="34" customFormat="1" ht="30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61"/>
      <c r="Q120" s="61"/>
      <c r="R120" s="61"/>
      <c r="S120" s="61"/>
      <c r="T120" s="61"/>
      <c r="U120" s="61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</row>
    <row r="121" spans="1:63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61"/>
      <c r="Q121" s="61"/>
      <c r="R121" s="61"/>
      <c r="S121" s="61"/>
      <c r="T121" s="61"/>
      <c r="U121" s="61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</row>
    <row r="122" spans="1:63" s="34" customFormat="1" ht="31.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61"/>
      <c r="Q122" s="61"/>
      <c r="R122" s="61"/>
      <c r="S122" s="61"/>
      <c r="T122" s="61"/>
      <c r="U122" s="61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</row>
    <row r="123" spans="1:63" s="34" customFormat="1" ht="51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61"/>
      <c r="Q123" s="61"/>
      <c r="R123" s="61"/>
      <c r="S123" s="61"/>
      <c r="T123" s="61"/>
      <c r="U123" s="61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</row>
    <row r="124" spans="1:63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61"/>
      <c r="Q124" s="61"/>
      <c r="R124" s="61"/>
      <c r="S124" s="61"/>
      <c r="T124" s="61"/>
      <c r="U124" s="61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</row>
    <row r="125" spans="1:63" s="34" customFormat="1" ht="33.75" customHeight="1">
      <c r="A125" s="32"/>
      <c r="B125" s="456" t="s">
        <v>156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61"/>
      <c r="Q125" s="61"/>
      <c r="R125" s="61"/>
      <c r="S125" s="61"/>
      <c r="T125" s="61"/>
      <c r="U125" s="61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</row>
    <row r="126" spans="1:63" s="34" customFormat="1" ht="48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61"/>
      <c r="Q126" s="61"/>
      <c r="R126" s="61"/>
      <c r="S126" s="61"/>
      <c r="T126" s="61"/>
      <c r="U126" s="61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</row>
    <row r="127" spans="1:63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61"/>
      <c r="Q127" s="61"/>
      <c r="R127" s="61"/>
      <c r="S127" s="61"/>
      <c r="T127" s="61"/>
      <c r="U127" s="61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</row>
    <row r="128" spans="1:63" s="34" customFormat="1" ht="36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61"/>
      <c r="Q128" s="61"/>
      <c r="R128" s="61"/>
      <c r="S128" s="61"/>
      <c r="T128" s="61"/>
      <c r="U128" s="61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</row>
    <row r="129" spans="1:51" s="34" customFormat="1" ht="26.2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61"/>
      <c r="Q129" s="61"/>
      <c r="R129" s="61"/>
      <c r="S129" s="61"/>
      <c r="T129" s="61"/>
      <c r="U129" s="61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</row>
    <row r="130" spans="1:51" s="34" customFormat="1" ht="36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61"/>
      <c r="Q130" s="61"/>
      <c r="R130" s="61"/>
      <c r="S130" s="61"/>
      <c r="T130" s="61"/>
      <c r="U130" s="61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</row>
    <row r="131" spans="1:51" s="34" customFormat="1" ht="36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61"/>
      <c r="Q131" s="61"/>
      <c r="R131" s="61"/>
      <c r="S131" s="61"/>
      <c r="T131" s="61"/>
      <c r="U131" s="61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</row>
    <row r="132" spans="1:51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61"/>
      <c r="Q132" s="61"/>
      <c r="R132" s="61"/>
      <c r="S132" s="61"/>
      <c r="T132" s="61"/>
      <c r="U132" s="61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</row>
    <row r="133" spans="1:51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61"/>
      <c r="Q133" s="61"/>
      <c r="R133" s="61"/>
      <c r="S133" s="61"/>
      <c r="T133" s="61"/>
      <c r="U133" s="61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</row>
    <row r="134" spans="1:51" s="34" customFormat="1" ht="14.2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61"/>
      <c r="Q134" s="61"/>
      <c r="R134" s="61"/>
      <c r="S134" s="61"/>
      <c r="T134" s="61"/>
      <c r="U134" s="61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</row>
    <row r="135" spans="1:51" s="34" customFormat="1" ht="31.5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61"/>
      <c r="Q135" s="61"/>
      <c r="R135" s="61"/>
      <c r="S135" s="61"/>
      <c r="T135" s="61"/>
      <c r="U135" s="61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</row>
    <row r="136" spans="1:51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61"/>
      <c r="Q136" s="61"/>
      <c r="R136" s="61"/>
      <c r="S136" s="61"/>
      <c r="T136" s="61"/>
      <c r="U136" s="61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</row>
    <row r="137" spans="1:51" s="34" customFormat="1" ht="53.2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61"/>
      <c r="Q137" s="61"/>
      <c r="R137" s="61"/>
      <c r="S137" s="61"/>
      <c r="T137" s="61"/>
      <c r="U137" s="61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</row>
    <row r="138" spans="1:51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61"/>
      <c r="Q138" s="61"/>
      <c r="R138" s="61"/>
      <c r="S138" s="61"/>
      <c r="T138" s="61"/>
      <c r="U138" s="61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</row>
    <row r="139" spans="1:51" s="34" customFormat="1" ht="12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61"/>
      <c r="Q139" s="61"/>
      <c r="R139" s="61"/>
      <c r="S139" s="61"/>
      <c r="T139" s="61"/>
      <c r="U139" s="61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</row>
    <row r="140" spans="1:51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61"/>
      <c r="Q140" s="61"/>
      <c r="R140" s="61"/>
      <c r="S140" s="61"/>
      <c r="T140" s="61"/>
      <c r="U140" s="61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</row>
    <row r="141" spans="1:51" s="34" customFormat="1" ht="11.2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61"/>
      <c r="Q141" s="61"/>
      <c r="R141" s="61"/>
      <c r="S141" s="61"/>
      <c r="T141" s="61"/>
      <c r="U141" s="61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</row>
    <row r="142" spans="1:51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61"/>
      <c r="Q142" s="61"/>
      <c r="R142" s="61"/>
      <c r="S142" s="61"/>
      <c r="T142" s="61"/>
      <c r="U142" s="61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</row>
    <row r="143" spans="1:51" s="34" customFormat="1" ht="39.7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61"/>
      <c r="Q143" s="61"/>
      <c r="R143" s="61"/>
      <c r="S143" s="61"/>
      <c r="T143" s="61"/>
      <c r="U143" s="61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</row>
    <row r="144" spans="1:51" s="34" customFormat="1" ht="43.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61"/>
      <c r="Q144" s="61"/>
      <c r="R144" s="61"/>
      <c r="S144" s="61"/>
      <c r="T144" s="61"/>
      <c r="U144" s="61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</row>
    <row r="145" spans="1:51" s="34" customFormat="1" ht="53.2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61"/>
      <c r="Q145" s="61"/>
      <c r="R145" s="61"/>
      <c r="S145" s="61"/>
      <c r="T145" s="61"/>
      <c r="U145" s="61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</row>
    <row r="146" spans="1:51" s="34" customFormat="1" ht="19.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61"/>
      <c r="Q146" s="61"/>
      <c r="R146" s="61"/>
      <c r="S146" s="61"/>
      <c r="T146" s="61"/>
      <c r="U146" s="61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</row>
    <row r="147" spans="1:51" s="34" customFormat="1" ht="81.7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61"/>
      <c r="Q147" s="61"/>
      <c r="R147" s="61"/>
      <c r="S147" s="61"/>
      <c r="T147" s="61"/>
      <c r="U147" s="61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</row>
    <row r="148" spans="1:51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61"/>
      <c r="Q148" s="61"/>
      <c r="R148" s="61"/>
      <c r="S148" s="61"/>
      <c r="T148" s="61"/>
      <c r="U148" s="61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</row>
    <row r="149" spans="1:51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1" ht="16.5" thickBot="1">
      <c r="A150" s="2"/>
      <c r="B150" s="465">
        <f ca="1">IF(A150=0,TODAY(),A150)</f>
        <v>45294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150:C150"/>
    <mergeCell ref="D150:F150"/>
    <mergeCell ref="G150:H150"/>
    <mergeCell ref="I146:L146"/>
    <mergeCell ref="B137:H137"/>
    <mergeCell ref="B134:L134"/>
    <mergeCell ref="I136:L136"/>
    <mergeCell ref="B131:L131"/>
    <mergeCell ref="B133:L133"/>
    <mergeCell ref="B132:L132"/>
    <mergeCell ref="B135:H135"/>
    <mergeCell ref="I135:L135"/>
    <mergeCell ref="B140:L140"/>
    <mergeCell ref="B141:L141"/>
    <mergeCell ref="B142:H142"/>
    <mergeCell ref="I142:L142"/>
    <mergeCell ref="B145:H145"/>
    <mergeCell ref="B139:L139"/>
    <mergeCell ref="I138:L138"/>
    <mergeCell ref="B136:H136"/>
    <mergeCell ref="B138:H138"/>
    <mergeCell ref="I137:L137"/>
    <mergeCell ref="B128:L128"/>
    <mergeCell ref="B113:K113"/>
    <mergeCell ref="B123:L123"/>
    <mergeCell ref="B121:L121"/>
    <mergeCell ref="B119:K119"/>
    <mergeCell ref="B124:L124"/>
    <mergeCell ref="B125:L125"/>
    <mergeCell ref="B122:L122"/>
    <mergeCell ref="B126:L126"/>
    <mergeCell ref="B127:L127"/>
    <mergeCell ref="B120:L120"/>
    <mergeCell ref="B115:K115"/>
    <mergeCell ref="B116:K116"/>
    <mergeCell ref="B117:K117"/>
    <mergeCell ref="B118:K118"/>
    <mergeCell ref="B114:K114"/>
    <mergeCell ref="B129:L129"/>
    <mergeCell ref="B130:L130"/>
    <mergeCell ref="B149:L149"/>
    <mergeCell ref="B147:L147"/>
    <mergeCell ref="B148:L148"/>
    <mergeCell ref="B143:H143"/>
    <mergeCell ref="I143:L143"/>
    <mergeCell ref="B144:H144"/>
    <mergeCell ref="I144:L144"/>
    <mergeCell ref="I145:L145"/>
    <mergeCell ref="B146:H146"/>
    <mergeCell ref="B112:K112"/>
    <mergeCell ref="B93:J93"/>
    <mergeCell ref="B78:C78"/>
    <mergeCell ref="D78:E78"/>
    <mergeCell ref="B87:K87"/>
    <mergeCell ref="B86:C86"/>
    <mergeCell ref="D86:E86"/>
    <mergeCell ref="B82:C82"/>
    <mergeCell ref="B110:K110"/>
    <mergeCell ref="B97:K97"/>
    <mergeCell ref="B103:K103"/>
    <mergeCell ref="B104:K104"/>
    <mergeCell ref="B98:H98"/>
    <mergeCell ref="B105:K105"/>
    <mergeCell ref="B106:K106"/>
    <mergeCell ref="B107:K107"/>
    <mergeCell ref="B111:K111"/>
    <mergeCell ref="B100:K100"/>
    <mergeCell ref="B108:K108"/>
    <mergeCell ref="B109:K109"/>
    <mergeCell ref="B101:K101"/>
    <mergeCell ref="B102:K102"/>
    <mergeCell ref="B99:K99"/>
    <mergeCell ref="B96:H96"/>
    <mergeCell ref="B89:H89"/>
    <mergeCell ref="B77:C77"/>
    <mergeCell ref="B79:C79"/>
    <mergeCell ref="D79:E79"/>
    <mergeCell ref="D85:E85"/>
    <mergeCell ref="D82:E82"/>
    <mergeCell ref="B84:C84"/>
    <mergeCell ref="D84:E84"/>
    <mergeCell ref="B85:C85"/>
    <mergeCell ref="D77:E77"/>
    <mergeCell ref="D81:E81"/>
    <mergeCell ref="B81:C81"/>
    <mergeCell ref="B80:C80"/>
    <mergeCell ref="D80:E80"/>
    <mergeCell ref="P94:Q94"/>
    <mergeCell ref="B83:C83"/>
    <mergeCell ref="D83:E83"/>
    <mergeCell ref="N94:O94"/>
    <mergeCell ref="B92:J92"/>
    <mergeCell ref="B65:C65"/>
    <mergeCell ref="D65:E65"/>
    <mergeCell ref="D76:E76"/>
    <mergeCell ref="B73:C73"/>
    <mergeCell ref="D73:E73"/>
    <mergeCell ref="B66:C66"/>
    <mergeCell ref="D66:E66"/>
    <mergeCell ref="B67:C67"/>
    <mergeCell ref="D67:E67"/>
    <mergeCell ref="B69:C69"/>
    <mergeCell ref="B72:C72"/>
    <mergeCell ref="D72:E72"/>
    <mergeCell ref="B71:C71"/>
    <mergeCell ref="D71:E71"/>
    <mergeCell ref="D74:E74"/>
    <mergeCell ref="B74:C74"/>
    <mergeCell ref="D68:E68"/>
    <mergeCell ref="D69:E69"/>
    <mergeCell ref="B68:C68"/>
    <mergeCell ref="D75:E75"/>
    <mergeCell ref="B70:C70"/>
    <mergeCell ref="D70:E70"/>
    <mergeCell ref="B75:C75"/>
    <mergeCell ref="B76:C76"/>
    <mergeCell ref="D57:E57"/>
    <mergeCell ref="B62:C62"/>
    <mergeCell ref="D62:E62"/>
    <mergeCell ref="D61:E61"/>
    <mergeCell ref="B58:C58"/>
    <mergeCell ref="B61:C61"/>
    <mergeCell ref="B63:C63"/>
    <mergeCell ref="D63:E63"/>
    <mergeCell ref="B64:C64"/>
    <mergeCell ref="D64:E64"/>
    <mergeCell ref="B49:C49"/>
    <mergeCell ref="B48:C48"/>
    <mergeCell ref="D48:E48"/>
    <mergeCell ref="D49:E49"/>
    <mergeCell ref="B55:C55"/>
    <mergeCell ref="D55:E55"/>
    <mergeCell ref="B54:C54"/>
    <mergeCell ref="D54:E54"/>
    <mergeCell ref="B60:C60"/>
    <mergeCell ref="D60:E60"/>
    <mergeCell ref="D59:E59"/>
    <mergeCell ref="D58:E58"/>
    <mergeCell ref="B59:C59"/>
    <mergeCell ref="B57:C57"/>
    <mergeCell ref="B50:C50"/>
    <mergeCell ref="B51:C51"/>
    <mergeCell ref="D51:E51"/>
    <mergeCell ref="B56:C56"/>
    <mergeCell ref="D56:E56"/>
    <mergeCell ref="B52:C52"/>
    <mergeCell ref="D52:E52"/>
    <mergeCell ref="B53:C53"/>
    <mergeCell ref="D53:E53"/>
    <mergeCell ref="D50:E50"/>
    <mergeCell ref="B47:C47"/>
    <mergeCell ref="D47:E47"/>
    <mergeCell ref="B43:C43"/>
    <mergeCell ref="D43:E43"/>
    <mergeCell ref="B44:C44"/>
    <mergeCell ref="B45:C45"/>
    <mergeCell ref="D45:E45"/>
    <mergeCell ref="B46:C46"/>
    <mergeCell ref="D46:E46"/>
    <mergeCell ref="D44:E44"/>
    <mergeCell ref="M11:P11"/>
    <mergeCell ref="B12:C12"/>
    <mergeCell ref="D12:E12"/>
    <mergeCell ref="M12:P12"/>
    <mergeCell ref="B11:C11"/>
    <mergeCell ref="D11:E11"/>
    <mergeCell ref="B18:C18"/>
    <mergeCell ref="D22:E22"/>
    <mergeCell ref="D24:E24"/>
    <mergeCell ref="D13:F13"/>
    <mergeCell ref="B14:C14"/>
    <mergeCell ref="D14:E14"/>
    <mergeCell ref="B15:C15"/>
    <mergeCell ref="D15:E15"/>
    <mergeCell ref="D19:F19"/>
    <mergeCell ref="N1:Q1"/>
    <mergeCell ref="B7:C7"/>
    <mergeCell ref="D7:F7"/>
    <mergeCell ref="B5:I5"/>
    <mergeCell ref="F1:H4"/>
    <mergeCell ref="B41:C41"/>
    <mergeCell ref="D41:E41"/>
    <mergeCell ref="D39:E39"/>
    <mergeCell ref="D31:E31"/>
    <mergeCell ref="B31:C31"/>
    <mergeCell ref="B37:C37"/>
    <mergeCell ref="D38:E38"/>
    <mergeCell ref="B33:C33"/>
    <mergeCell ref="D30:E30"/>
    <mergeCell ref="B38:C38"/>
    <mergeCell ref="D33:E33"/>
    <mergeCell ref="B36:C36"/>
    <mergeCell ref="D36:E36"/>
    <mergeCell ref="B34:C34"/>
    <mergeCell ref="D34:E34"/>
    <mergeCell ref="B35:C35"/>
    <mergeCell ref="D35:E35"/>
    <mergeCell ref="B28:C28"/>
    <mergeCell ref="D28:E28"/>
    <mergeCell ref="B29:C29"/>
    <mergeCell ref="D37:E37"/>
    <mergeCell ref="B32:C32"/>
    <mergeCell ref="D32:E32"/>
    <mergeCell ref="D29:E29"/>
    <mergeCell ref="B40:C40"/>
    <mergeCell ref="D40:E40"/>
    <mergeCell ref="B42:C42"/>
    <mergeCell ref="B39:C39"/>
    <mergeCell ref="B30:C30"/>
    <mergeCell ref="D42:E42"/>
    <mergeCell ref="D26:E26"/>
    <mergeCell ref="B27:C27"/>
    <mergeCell ref="D27:E27"/>
    <mergeCell ref="B25:C25"/>
    <mergeCell ref="B23:C24"/>
    <mergeCell ref="D23:H23"/>
    <mergeCell ref="B26:C26"/>
    <mergeCell ref="I23:L23"/>
    <mergeCell ref="B8:C8"/>
    <mergeCell ref="D8:F8"/>
    <mergeCell ref="D10:E10"/>
    <mergeCell ref="B10:C10"/>
    <mergeCell ref="B16:C16"/>
    <mergeCell ref="D17:F17"/>
    <mergeCell ref="D18:F18"/>
    <mergeCell ref="D20:F20"/>
    <mergeCell ref="D21:F21"/>
    <mergeCell ref="B17:C17"/>
    <mergeCell ref="D16:E16"/>
    <mergeCell ref="B13:C13"/>
    <mergeCell ref="D25:E25"/>
  </mergeCells>
  <phoneticPr fontId="22" type="noConversion"/>
  <conditionalFormatting sqref="A11 A14:A15">
    <cfRule type="cellIs" dxfId="514" priority="34" stopIfTrue="1" operator="greaterThan">
      <formula>61</formula>
    </cfRule>
    <cfRule type="expression" dxfId="513" priority="35" stopIfTrue="1">
      <formula>$A$24</formula>
    </cfRule>
  </conditionalFormatting>
  <conditionalFormatting sqref="B26:C85 D48:F85 H48:H85">
    <cfRule type="expression" dxfId="512" priority="1" stopIfTrue="1">
      <formula>$N26</formula>
    </cfRule>
  </conditionalFormatting>
  <conditionalFormatting sqref="B18:F18">
    <cfRule type="expression" dxfId="511" priority="26" stopIfTrue="1">
      <formula>$M$8</formula>
    </cfRule>
  </conditionalFormatting>
  <conditionalFormatting sqref="B25:H25">
    <cfRule type="expression" dxfId="510" priority="7" stopIfTrue="1">
      <formula>$N$25</formula>
    </cfRule>
  </conditionalFormatting>
  <conditionalFormatting sqref="B96:I119">
    <cfRule type="expression" dxfId="509" priority="4" stopIfTrue="1">
      <formula>A96</formula>
    </cfRule>
  </conditionalFormatting>
  <conditionalFormatting sqref="D12:E12">
    <cfRule type="expression" dxfId="508" priority="33" stopIfTrue="1">
      <formula>$A$24</formula>
    </cfRule>
  </conditionalFormatting>
  <conditionalFormatting sqref="D39:F39 H39">
    <cfRule type="expression" dxfId="507" priority="21" stopIfTrue="1">
      <formula>$N$39</formula>
    </cfRule>
  </conditionalFormatting>
  <conditionalFormatting sqref="D40:F40 H40">
    <cfRule type="expression" dxfId="506" priority="22" stopIfTrue="1">
      <formula>$N$40</formula>
    </cfRule>
  </conditionalFormatting>
  <conditionalFormatting sqref="D41:F41 H41">
    <cfRule type="expression" dxfId="505" priority="23" stopIfTrue="1">
      <formula>$N$41</formula>
    </cfRule>
  </conditionalFormatting>
  <conditionalFormatting sqref="D42:F42 H42">
    <cfRule type="expression" dxfId="504" priority="24" stopIfTrue="1">
      <formula>$N$42</formula>
    </cfRule>
  </conditionalFormatting>
  <conditionalFormatting sqref="D43:F43 H43">
    <cfRule type="expression" dxfId="503" priority="28" stopIfTrue="1">
      <formula>$N$43</formula>
    </cfRule>
  </conditionalFormatting>
  <conditionalFormatting sqref="D44:F44 H44">
    <cfRule type="expression" dxfId="502" priority="29" stopIfTrue="1">
      <formula>$N$44</formula>
    </cfRule>
  </conditionalFormatting>
  <conditionalFormatting sqref="D45:F45 H45">
    <cfRule type="expression" dxfId="501" priority="30" stopIfTrue="1">
      <formula>$N$45</formula>
    </cfRule>
  </conditionalFormatting>
  <conditionalFormatting sqref="D46:F46 H46">
    <cfRule type="expression" dxfId="500" priority="31" stopIfTrue="1">
      <formula>$N$46</formula>
    </cfRule>
  </conditionalFormatting>
  <conditionalFormatting sqref="D47:F47 H47">
    <cfRule type="expression" dxfId="499" priority="32" stopIfTrue="1">
      <formula>$N$47</formula>
    </cfRule>
  </conditionalFormatting>
  <conditionalFormatting sqref="D26:H26">
    <cfRule type="expression" dxfId="498" priority="8" stopIfTrue="1">
      <formula>$N$26</formula>
    </cfRule>
  </conditionalFormatting>
  <conditionalFormatting sqref="D27:H27">
    <cfRule type="expression" dxfId="497" priority="9" stopIfTrue="1">
      <formula>$N$27</formula>
    </cfRule>
  </conditionalFormatting>
  <conditionalFormatting sqref="D28:H28">
    <cfRule type="expression" dxfId="496" priority="10" stopIfTrue="1">
      <formula>$N$28</formula>
    </cfRule>
  </conditionalFormatting>
  <conditionalFormatting sqref="D29:H29">
    <cfRule type="expression" dxfId="495" priority="11" stopIfTrue="1">
      <formula>$N$29</formula>
    </cfRule>
  </conditionalFormatting>
  <conditionalFormatting sqref="D30:H30">
    <cfRule type="expression" dxfId="494" priority="12" stopIfTrue="1">
      <formula>$N$30</formula>
    </cfRule>
  </conditionalFormatting>
  <conditionalFormatting sqref="D31:H31">
    <cfRule type="expression" dxfId="493" priority="13" stopIfTrue="1">
      <formula>$N$31</formula>
    </cfRule>
  </conditionalFormatting>
  <conditionalFormatting sqref="D32:H32">
    <cfRule type="expression" dxfId="492" priority="14" stopIfTrue="1">
      <formula>$N$32</formula>
    </cfRule>
  </conditionalFormatting>
  <conditionalFormatting sqref="D33:H33">
    <cfRule type="expression" dxfId="491" priority="15" stopIfTrue="1">
      <formula>$N$33</formula>
    </cfRule>
  </conditionalFormatting>
  <conditionalFormatting sqref="D34:H34">
    <cfRule type="expression" dxfId="490" priority="16" stopIfTrue="1">
      <formula>$N$34</formula>
    </cfRule>
  </conditionalFormatting>
  <conditionalFormatting sqref="D35:H35">
    <cfRule type="expression" dxfId="489" priority="17" stopIfTrue="1">
      <formula>$N$35</formula>
    </cfRule>
  </conditionalFormatting>
  <conditionalFormatting sqref="D36:H36">
    <cfRule type="expression" dxfId="488" priority="18" stopIfTrue="1">
      <formula>$N$36</formula>
    </cfRule>
  </conditionalFormatting>
  <conditionalFormatting sqref="D37:H37">
    <cfRule type="expression" dxfId="487" priority="19" stopIfTrue="1">
      <formula>$N$37</formula>
    </cfRule>
  </conditionalFormatting>
  <conditionalFormatting sqref="D38:H38 G39:G85">
    <cfRule type="expression" dxfId="486" priority="20" stopIfTrue="1">
      <formula>$N$38</formula>
    </cfRule>
  </conditionalFormatting>
  <conditionalFormatting sqref="F10 D11:E11">
    <cfRule type="expression" dxfId="485" priority="25" stopIfTrue="1">
      <formula>$M$5</formula>
    </cfRule>
  </conditionalFormatting>
  <conditionalFormatting sqref="G10:L10">
    <cfRule type="expression" dxfId="484" priority="27" stopIfTrue="1">
      <formula>$A$1</formula>
    </cfRule>
  </conditionalFormatting>
  <conditionalFormatting sqref="I24:K24">
    <cfRule type="expression" dxfId="483" priority="38" stopIfTrue="1">
      <formula>$D$15</formula>
    </cfRule>
  </conditionalFormatting>
  <conditionalFormatting sqref="I23:L23 L24">
    <cfRule type="expression" dxfId="482" priority="39" stopIfTrue="1">
      <formula>$D$15</formula>
    </cfRule>
  </conditionalFormatting>
  <conditionalFormatting sqref="I25:L85">
    <cfRule type="expression" dxfId="481" priority="6" stopIfTrue="1">
      <formula>$AY25</formula>
    </cfRule>
  </conditionalFormatting>
  <conditionalFormatting sqref="J96:J119">
    <cfRule type="expression" dxfId="480" priority="5" stopIfTrue="1">
      <formula>H96</formula>
    </cfRule>
  </conditionalFormatting>
  <conditionalFormatting sqref="K96:K119">
    <cfRule type="expression" dxfId="479" priority="3" stopIfTrue="1">
      <formula>H96</formula>
    </cfRule>
  </conditionalFormatting>
  <conditionalFormatting sqref="L96:L119">
    <cfRule type="expression" dxfId="478" priority="2" stopIfTrue="1">
      <formula>H96</formula>
    </cfRule>
  </conditionalFormatting>
  <dataValidations count="2">
    <dataValidation type="list" allowBlank="1" showInputMessage="1" showErrorMessage="1" sqref="D14:E14" xr:uid="{00000000-0002-0000-0700-000000000000}">
      <formula1>$W$12:$W$17</formula1>
    </dataValidation>
    <dataValidation type="list" allowBlank="1" showInputMessage="1" showErrorMessage="1" sqref="D15:E15" xr:uid="{00000000-0002-0000-0700-000001000000}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K175"/>
  <sheetViews>
    <sheetView zoomScale="90" zoomScaleNormal="90" workbookViewId="0">
      <selection activeCell="B5" sqref="B5:I5"/>
    </sheetView>
  </sheetViews>
  <sheetFormatPr defaultRowHeight="12.75"/>
  <cols>
    <col min="1" max="1" width="26.42578125" style="21" customWidth="1"/>
    <col min="2" max="2" width="19.28515625" style="21" customWidth="1"/>
    <col min="3" max="3" width="4.28515625" style="21" customWidth="1"/>
    <col min="4" max="4" width="7.42578125" style="21" customWidth="1"/>
    <col min="5" max="5" width="10" style="21" customWidth="1"/>
    <col min="6" max="6" width="16.5703125" style="21" customWidth="1"/>
    <col min="7" max="7" width="16.5703125" style="21" hidden="1" customWidth="1"/>
    <col min="8" max="8" width="19.85546875" style="21" customWidth="1"/>
    <col min="9" max="10" width="16.5703125" style="21" customWidth="1"/>
    <col min="11" max="11" width="16.5703125" style="21" hidden="1" customWidth="1"/>
    <col min="12" max="12" width="22.28515625" style="21" customWidth="1"/>
    <col min="13" max="13" width="9.42578125" style="4" customWidth="1"/>
    <col min="14" max="15" width="9.42578125" style="4" bestFit="1" customWidth="1"/>
    <col min="16" max="45" width="20.7109375" style="4" customWidth="1"/>
    <col min="46" max="46" width="0" style="19" hidden="1" customWidth="1"/>
    <col min="47" max="47" width="7.7109375" style="19" bestFit="1" customWidth="1"/>
    <col min="48" max="48" width="11" style="19" bestFit="1" customWidth="1"/>
    <col min="49" max="49" width="2.140625" style="19" bestFit="1" customWidth="1"/>
    <col min="50" max="50" width="3.28515625" style="19" bestFit="1" customWidth="1"/>
    <col min="51" max="51" width="2.140625" style="4" bestFit="1" customWidth="1"/>
    <col min="52" max="52" width="9.140625" style="19"/>
    <col min="53" max="54" width="9.140625" style="24"/>
    <col min="55" max="58" width="9.140625" style="19"/>
    <col min="59" max="141" width="9.140625" style="20"/>
    <col min="142" max="16384" width="9.140625" style="21"/>
  </cols>
  <sheetData>
    <row r="1" spans="1:24" ht="4.5" customHeight="1">
      <c r="A1" s="1">
        <v>1</v>
      </c>
      <c r="B1" s="2"/>
      <c r="C1" s="2"/>
      <c r="D1" s="2"/>
      <c r="E1" s="2"/>
      <c r="F1" s="342"/>
      <c r="G1" s="342"/>
      <c r="H1" s="342"/>
      <c r="I1" s="77"/>
      <c r="J1" s="77"/>
      <c r="K1" s="77"/>
      <c r="L1" s="77"/>
      <c r="M1" s="3">
        <f>IF(H8=1,1,IF(M8=1,2,IF(N8=1,1,0)))</f>
        <v>2</v>
      </c>
      <c r="N1" s="407" t="s">
        <v>0</v>
      </c>
      <c r="O1" s="407"/>
      <c r="P1" s="407"/>
      <c r="Q1" s="407"/>
    </row>
    <row r="2" spans="1:24" ht="3" hidden="1" customHeight="1">
      <c r="A2" s="4"/>
      <c r="B2" s="2"/>
      <c r="C2" s="2"/>
      <c r="D2" s="2"/>
      <c r="E2" s="2"/>
      <c r="F2" s="342"/>
      <c r="G2" s="342"/>
      <c r="H2" s="342"/>
      <c r="I2" s="77"/>
      <c r="J2" s="77"/>
      <c r="K2" s="77"/>
      <c r="L2" s="77"/>
      <c r="M2" s="5"/>
    </row>
    <row r="3" spans="1:24" ht="9.75" hidden="1" customHeight="1">
      <c r="A3" s="4"/>
      <c r="B3" s="2"/>
      <c r="C3" s="2"/>
      <c r="D3" s="2"/>
      <c r="E3" s="2"/>
      <c r="F3" s="342"/>
      <c r="G3" s="342"/>
      <c r="H3" s="342"/>
      <c r="I3" s="77"/>
      <c r="J3" s="77"/>
      <c r="K3" s="77"/>
      <c r="L3" s="77"/>
      <c r="M3" s="5"/>
    </row>
    <row r="4" spans="1:24" ht="2.25" hidden="1" customHeight="1">
      <c r="A4" s="4"/>
      <c r="B4" s="2"/>
      <c r="C4" s="2"/>
      <c r="D4" s="2"/>
      <c r="E4" s="2"/>
      <c r="F4" s="342"/>
      <c r="G4" s="342"/>
      <c r="H4" s="342"/>
      <c r="I4" s="77"/>
      <c r="J4" s="77"/>
      <c r="K4" s="77"/>
      <c r="L4" s="77"/>
      <c r="M4" s="5"/>
    </row>
    <row r="5" spans="1:24" ht="14.25" customHeight="1">
      <c r="A5" s="6" t="str">
        <f>IF(H8=1,"СП - КП",IF(M8=1,"Экспресс",IF(N8=1,"Спецпроцедура"," ")))</f>
        <v>Экспресс</v>
      </c>
      <c r="B5" s="341" t="s">
        <v>1</v>
      </c>
      <c r="C5" s="341"/>
      <c r="D5" s="341"/>
      <c r="E5" s="341"/>
      <c r="F5" s="341"/>
      <c r="G5" s="341"/>
      <c r="H5" s="341"/>
      <c r="I5" s="341"/>
      <c r="J5" s="102"/>
      <c r="K5" s="78"/>
      <c r="L5" s="78"/>
      <c r="M5" s="4">
        <f>IF(M1=0,1,0)</f>
        <v>0</v>
      </c>
    </row>
    <row r="6" spans="1:24" ht="2.25" customHeight="1" thickBot="1">
      <c r="A6" s="4"/>
      <c r="B6" s="2"/>
      <c r="C6" s="2"/>
      <c r="D6" s="2"/>
      <c r="E6" s="2"/>
      <c r="F6" s="2"/>
      <c r="G6" s="2"/>
      <c r="H6" s="4"/>
      <c r="I6" s="4"/>
      <c r="J6" s="4"/>
      <c r="K6" s="4"/>
      <c r="L6" s="4"/>
    </row>
    <row r="7" spans="1:24" ht="15" customHeight="1">
      <c r="A7" s="7"/>
      <c r="B7" s="424" t="s">
        <v>2</v>
      </c>
      <c r="C7" s="425"/>
      <c r="D7" s="451" t="s">
        <v>3</v>
      </c>
      <c r="E7" s="451"/>
      <c r="F7" s="452"/>
      <c r="G7" s="4"/>
      <c r="H7" s="4" t="s">
        <v>4</v>
      </c>
      <c r="I7" s="4"/>
      <c r="J7" s="4"/>
      <c r="K7" s="4"/>
      <c r="L7" s="4"/>
      <c r="M7" s="4" t="s">
        <v>5</v>
      </c>
      <c r="N7" s="4" t="s">
        <v>6</v>
      </c>
    </row>
    <row r="8" spans="1:24" ht="15" customHeight="1" thickBot="1">
      <c r="A8" s="7"/>
      <c r="B8" s="426" t="str">
        <f>IF(M1=1,"№ кредитного договора:",IF(M1=2,"№ соглашения:"," "))</f>
        <v>№ соглашения:</v>
      </c>
      <c r="C8" s="427"/>
      <c r="D8" s="428">
        <v>123</v>
      </c>
      <c r="E8" s="429"/>
      <c r="F8" s="430"/>
      <c r="G8" s="4"/>
      <c r="H8" s="4">
        <f>IF(D8&gt;288450000000,IF(D8&lt;288499999999,1,IF(D8&gt;288997000000,IF(D8&lt;288997999999,1,0),0)),0)</f>
        <v>0</v>
      </c>
      <c r="I8" s="4"/>
      <c r="J8" s="4"/>
      <c r="K8" s="4"/>
      <c r="L8" s="4"/>
      <c r="M8" s="4">
        <v>1</v>
      </c>
      <c r="N8" s="4">
        <v>0</v>
      </c>
      <c r="O8" s="4">
        <v>0</v>
      </c>
    </row>
    <row r="9" spans="1:24" ht="6.75" customHeight="1" thickBot="1">
      <c r="A9" s="8"/>
      <c r="B9" s="9"/>
      <c r="C9" s="9"/>
      <c r="D9" s="2"/>
      <c r="E9" s="2"/>
      <c r="F9" s="2"/>
      <c r="G9" s="10"/>
      <c r="H9" s="10"/>
      <c r="I9" s="10"/>
      <c r="J9" s="10"/>
      <c r="K9" s="10"/>
      <c r="L9" s="10"/>
      <c r="O9" s="54"/>
    </row>
    <row r="10" spans="1:24" ht="15" customHeight="1" thickBot="1">
      <c r="A10" s="16" t="s">
        <v>97</v>
      </c>
      <c r="B10" s="424" t="str">
        <f>IF(M1=1,"Сумма кредита:",IF(M1=2,"Лимит овердрафта:"," "))</f>
        <v>Лимит овердрафта:</v>
      </c>
      <c r="C10" s="431"/>
      <c r="D10" s="449">
        <v>20000000</v>
      </c>
      <c r="E10" s="450"/>
      <c r="F10" s="11" t="s">
        <v>189</v>
      </c>
      <c r="G10" s="12" t="s">
        <v>7</v>
      </c>
      <c r="H10" s="13">
        <f ca="1">F22+G22+A92+D10</f>
        <v>46352290</v>
      </c>
      <c r="I10" s="40"/>
      <c r="J10" s="40"/>
      <c r="K10" s="40"/>
      <c r="L10" s="40"/>
    </row>
    <row r="11" spans="1:24" ht="15" customHeight="1">
      <c r="A11" s="17">
        <v>23.5</v>
      </c>
      <c r="B11" s="408" t="s">
        <v>8</v>
      </c>
      <c r="C11" s="409"/>
      <c r="D11" s="413">
        <f>IF(D14&lt;=12,75,83)</f>
        <v>83</v>
      </c>
      <c r="E11" s="414"/>
      <c r="F11" s="14" t="str">
        <f>IF(D11=0," ","% годовых")</f>
        <v>% годовых</v>
      </c>
      <c r="G11" s="4"/>
      <c r="H11" s="4"/>
      <c r="I11" s="4"/>
      <c r="J11" s="4"/>
      <c r="K11" s="4"/>
      <c r="L11" s="4"/>
      <c r="M11" s="407" t="s">
        <v>9</v>
      </c>
      <c r="N11" s="407"/>
      <c r="O11" s="407"/>
      <c r="P11" s="407"/>
      <c r="Q11" s="15">
        <f ca="1">R11-Q12-1</f>
        <v>27</v>
      </c>
      <c r="R11" s="4">
        <f ca="1">IF(DAY(D16)=31,31,30)</f>
        <v>30</v>
      </c>
    </row>
    <row r="12" spans="1:24" ht="15" hidden="1" customHeight="1">
      <c r="A12" s="7"/>
      <c r="B12" s="408" t="s">
        <v>10</v>
      </c>
      <c r="C12" s="409"/>
      <c r="D12" s="413">
        <v>0</v>
      </c>
      <c r="E12" s="414"/>
      <c r="F12" s="14" t="str">
        <f>IF(D12=0," ","% в месяц")</f>
        <v xml:space="preserve"> </v>
      </c>
      <c r="G12" s="4">
        <f>D12*12</f>
        <v>0</v>
      </c>
      <c r="H12" s="4"/>
      <c r="I12" s="4"/>
      <c r="J12" s="4"/>
      <c r="K12" s="4"/>
      <c r="L12" s="4"/>
      <c r="M12" s="407" t="s">
        <v>11</v>
      </c>
      <c r="N12" s="407"/>
      <c r="O12" s="407"/>
      <c r="P12" s="407"/>
      <c r="Q12" s="15">
        <f ca="1">DATE(YEAR(0),MONTH(0),DAY(D16)-1)</f>
        <v>2</v>
      </c>
      <c r="W12" s="4">
        <v>6</v>
      </c>
      <c r="X12" s="4">
        <v>1</v>
      </c>
    </row>
    <row r="13" spans="1:24" ht="30.75" customHeight="1">
      <c r="A13" s="16" t="s">
        <v>12</v>
      </c>
      <c r="B13" s="345" t="s">
        <v>181</v>
      </c>
      <c r="C13" s="346"/>
      <c r="D13" s="415" t="s">
        <v>183</v>
      </c>
      <c r="E13" s="416"/>
      <c r="F13" s="417"/>
      <c r="G13" s="4"/>
      <c r="H13" s="4"/>
      <c r="I13" s="4"/>
      <c r="J13" s="4"/>
      <c r="K13" s="4"/>
      <c r="L13" s="4"/>
      <c r="M13" s="63"/>
      <c r="N13" s="63"/>
      <c r="O13" s="63"/>
      <c r="P13" s="63"/>
      <c r="Q13" s="15"/>
      <c r="W13" s="4">
        <v>12</v>
      </c>
      <c r="X13" s="4">
        <v>0</v>
      </c>
    </row>
    <row r="14" spans="1:24" ht="15" customHeight="1">
      <c r="A14" s="17">
        <f ca="1">IF(DAY(D16)&lt;=21,D14,D14+1)</f>
        <v>36</v>
      </c>
      <c r="B14" s="408" t="s">
        <v>13</v>
      </c>
      <c r="C14" s="409"/>
      <c r="D14" s="413">
        <v>36</v>
      </c>
      <c r="E14" s="414"/>
      <c r="F14" s="14" t="str">
        <f>IF(D14=0," ","месяцев")</f>
        <v>месяцев</v>
      </c>
      <c r="G14" s="4"/>
      <c r="H14" s="4"/>
      <c r="I14" s="4"/>
      <c r="J14" s="4"/>
      <c r="K14" s="4"/>
      <c r="L14" s="4"/>
      <c r="M14" s="4">
        <f ca="1">IF(M1=1,IF(F10="USD",0,A14),IF(M1=2,A14," "))</f>
        <v>36</v>
      </c>
      <c r="W14" s="4">
        <v>24</v>
      </c>
      <c r="X14" s="4">
        <v>1</v>
      </c>
    </row>
    <row r="15" spans="1:24" ht="15" customHeight="1">
      <c r="A15" s="82"/>
      <c r="B15" s="309" t="s">
        <v>139</v>
      </c>
      <c r="C15" s="310"/>
      <c r="D15" s="355">
        <v>3</v>
      </c>
      <c r="E15" s="356"/>
      <c r="F15" s="14" t="str">
        <f>IF(D15&gt;4,"месяцев",IF(D15&gt;1,"месяца",IF(D15=1,"месяц","месяцев")))</f>
        <v>месяца</v>
      </c>
      <c r="G15" s="4"/>
      <c r="H15" s="4"/>
      <c r="I15" s="4"/>
      <c r="J15" s="4"/>
      <c r="K15" s="4"/>
      <c r="L15" s="4"/>
      <c r="W15" s="4">
        <v>36</v>
      </c>
      <c r="X15" s="4">
        <v>3</v>
      </c>
    </row>
    <row r="16" spans="1:24" ht="15" customHeight="1">
      <c r="A16" s="7"/>
      <c r="B16" s="408" t="s">
        <v>14</v>
      </c>
      <c r="C16" s="409"/>
      <c r="D16" s="418">
        <f ca="1">TODAY()</f>
        <v>45294</v>
      </c>
      <c r="E16" s="419"/>
      <c r="F16" s="14" t="s">
        <v>15</v>
      </c>
      <c r="G16" s="10"/>
      <c r="H16" s="10"/>
      <c r="I16" s="10"/>
      <c r="J16" s="10"/>
      <c r="K16" s="10"/>
      <c r="L16" s="10"/>
      <c r="M16" s="69">
        <f ca="1">A14-D15</f>
        <v>33</v>
      </c>
      <c r="W16" s="4">
        <v>48</v>
      </c>
      <c r="X16" s="4">
        <v>6</v>
      </c>
    </row>
    <row r="17" spans="1:141" ht="15" customHeight="1" thickBot="1">
      <c r="A17" s="4">
        <f ca="1">IF(A14&gt;61,1,0)</f>
        <v>0</v>
      </c>
      <c r="B17" s="343" t="s">
        <v>16</v>
      </c>
      <c r="C17" s="344"/>
      <c r="D17" s="376" t="s">
        <v>79</v>
      </c>
      <c r="E17" s="377"/>
      <c r="F17" s="378"/>
      <c r="G17" s="10"/>
      <c r="H17" s="18"/>
      <c r="I17" s="18"/>
      <c r="J17" s="18"/>
      <c r="K17" s="18"/>
      <c r="L17" s="18"/>
      <c r="W17" s="4">
        <v>60</v>
      </c>
      <c r="X17" s="4">
        <v>12</v>
      </c>
    </row>
    <row r="18" spans="1:141" ht="13.5" thickBot="1">
      <c r="A18" s="4"/>
      <c r="B18" s="444" t="s">
        <v>18</v>
      </c>
      <c r="C18" s="445"/>
      <c r="D18" s="446" t="s">
        <v>19</v>
      </c>
      <c r="E18" s="447"/>
      <c r="F18" s="448"/>
      <c r="G18" s="4"/>
      <c r="H18" s="4"/>
      <c r="I18" s="4"/>
      <c r="J18" s="4"/>
      <c r="K18" s="4"/>
      <c r="L18" s="4"/>
    </row>
    <row r="19" spans="1:141" hidden="1">
      <c r="A19" s="4"/>
      <c r="B19" s="4"/>
      <c r="C19" s="4"/>
      <c r="D19" s="272" t="s">
        <v>79</v>
      </c>
      <c r="E19" s="272"/>
      <c r="F19" s="272"/>
      <c r="G19" s="4"/>
      <c r="H19" s="4"/>
      <c r="I19" s="4"/>
      <c r="J19" s="4"/>
      <c r="K19" s="4"/>
      <c r="L19" s="4"/>
    </row>
    <row r="20" spans="1:141" hidden="1">
      <c r="A20" s="4"/>
      <c r="B20" s="4"/>
      <c r="C20" s="4"/>
      <c r="D20" s="272" t="s">
        <v>79</v>
      </c>
      <c r="E20" s="272"/>
      <c r="F20" s="272"/>
      <c r="G20" s="4"/>
      <c r="H20" s="4"/>
      <c r="I20" s="4"/>
      <c r="J20" s="4"/>
      <c r="K20" s="4"/>
      <c r="L20" s="4"/>
    </row>
    <row r="21" spans="1:141" hidden="1">
      <c r="A21" s="4"/>
      <c r="B21" s="4"/>
      <c r="C21" s="4"/>
      <c r="D21" s="272" t="s">
        <v>79</v>
      </c>
      <c r="E21" s="272"/>
      <c r="F21" s="272"/>
      <c r="G21" s="4"/>
      <c r="H21" s="4"/>
      <c r="I21" s="4"/>
      <c r="J21" s="4"/>
      <c r="K21" s="4"/>
      <c r="L21" s="4"/>
    </row>
    <row r="22" spans="1:141" ht="4.5" customHeight="1">
      <c r="A22" s="4"/>
      <c r="B22" s="4"/>
      <c r="C22" s="4"/>
      <c r="D22" s="404">
        <f ca="1">SUM(D25:E85)</f>
        <v>40000000</v>
      </c>
      <c r="E22" s="272"/>
      <c r="F22" s="22">
        <f ca="1">SUM(F25:F86)/2</f>
        <v>26352290</v>
      </c>
      <c r="G22" s="22">
        <v>0</v>
      </c>
      <c r="H22" s="22">
        <f ca="1">SUM(H25:H72)</f>
        <v>92704580</v>
      </c>
      <c r="I22" s="22"/>
      <c r="J22" s="22"/>
      <c r="K22" s="22"/>
      <c r="L22" s="22"/>
    </row>
    <row r="23" spans="1:141" ht="14.25" customHeight="1">
      <c r="A23" s="4"/>
      <c r="B23" s="347" t="s">
        <v>21</v>
      </c>
      <c r="C23" s="348"/>
      <c r="D23" s="334" t="s">
        <v>140</v>
      </c>
      <c r="E23" s="335"/>
      <c r="F23" s="335"/>
      <c r="G23" s="335"/>
      <c r="H23" s="336"/>
      <c r="I23" s="271" t="s">
        <v>141</v>
      </c>
      <c r="J23" s="271"/>
      <c r="K23" s="271"/>
      <c r="L23" s="271"/>
    </row>
    <row r="24" spans="1:141" ht="39" customHeight="1">
      <c r="A24" s="4">
        <f ca="1">IF(A14&lt;D14,1,IF(ABS(A14-D14)&gt;1,1,0))</f>
        <v>0</v>
      </c>
      <c r="B24" s="349"/>
      <c r="C24" s="350"/>
      <c r="D24" s="273" t="s">
        <v>22</v>
      </c>
      <c r="E24" s="274"/>
      <c r="F24" s="88" t="s">
        <v>23</v>
      </c>
      <c r="G24" s="88" t="s">
        <v>24</v>
      </c>
      <c r="H24" s="89" t="s">
        <v>25</v>
      </c>
      <c r="I24" s="76" t="s">
        <v>22</v>
      </c>
      <c r="J24" s="76" t="s">
        <v>23</v>
      </c>
      <c r="K24" s="76" t="s">
        <v>24</v>
      </c>
      <c r="L24" s="76" t="s">
        <v>25</v>
      </c>
      <c r="N24" s="76" t="s">
        <v>26</v>
      </c>
      <c r="O24" s="76" t="s">
        <v>27</v>
      </c>
      <c r="P24" s="76" t="s">
        <v>28</v>
      </c>
      <c r="Q24" s="76" t="s">
        <v>29</v>
      </c>
      <c r="R24" s="76" t="s">
        <v>30</v>
      </c>
      <c r="S24" s="76">
        <v>2</v>
      </c>
      <c r="T24" s="76"/>
      <c r="U24" s="76" t="s">
        <v>31</v>
      </c>
      <c r="V24" s="76" t="s">
        <v>32</v>
      </c>
      <c r="W24" s="76" t="s">
        <v>142</v>
      </c>
      <c r="X24" s="76" t="s">
        <v>142</v>
      </c>
      <c r="Y24" s="76"/>
      <c r="Z24" s="76"/>
      <c r="AA24" s="76"/>
      <c r="AB24" s="76" t="s">
        <v>33</v>
      </c>
      <c r="AC24" s="76" t="s">
        <v>28</v>
      </c>
      <c r="AD24" s="76" t="s">
        <v>29</v>
      </c>
      <c r="AE24" s="76" t="s">
        <v>143</v>
      </c>
      <c r="AF24" s="76" t="s">
        <v>143</v>
      </c>
      <c r="AG24" s="76"/>
      <c r="AH24" s="76"/>
      <c r="AI24" s="76" t="s">
        <v>30</v>
      </c>
      <c r="AJ24" s="76" t="s">
        <v>31</v>
      </c>
      <c r="AK24" s="76" t="s">
        <v>32</v>
      </c>
    </row>
    <row r="25" spans="1:141" s="24" customFormat="1" ht="15" customHeight="1">
      <c r="A25" s="4">
        <v>1</v>
      </c>
      <c r="B25" s="268">
        <f ca="1">IF(N25=0,IF(N24=1,"ИТОГО"," "),DATE(YEAR(D16),MONTH(D16)+1,O25))</f>
        <v>45342</v>
      </c>
      <c r="C25" s="401"/>
      <c r="D25" s="443">
        <f ca="1">IF(N25=0,0,IF(F10="USD",ROUND(D10/M14,2),IF(F10="бел. рублей",IF(AW25&lt;=5,ROUND(AU25,0)-AW25,ROUND(AU25,0)+AX25)," ")))</f>
        <v>555560</v>
      </c>
      <c r="E25" s="443"/>
      <c r="F25" s="84">
        <f ca="1">IF(M1=1,P25,IF(M1=2,Q25," "))</f>
        <v>1245000</v>
      </c>
      <c r="G25" s="84">
        <v>0</v>
      </c>
      <c r="H25" s="84">
        <f ca="1">SUM(D25:G25)+A87</f>
        <v>1800560</v>
      </c>
      <c r="I25" s="84">
        <f ca="1">T25</f>
        <v>555560</v>
      </c>
      <c r="J25" s="84">
        <f t="shared" ref="J25:J56" ca="1" si="0">AA25</f>
        <v>1245000</v>
      </c>
      <c r="K25" s="84">
        <v>0</v>
      </c>
      <c r="L25" s="84">
        <f ca="1">SUM(I25:K25)+A87</f>
        <v>1800560</v>
      </c>
      <c r="M25" s="4">
        <v>1</v>
      </c>
      <c r="N25" s="4">
        <f ca="1">IF(M1=1,IF(M14&gt;0,1,0),IF(M1=2,IF(M14&gt;0,1,0),0))</f>
        <v>1</v>
      </c>
      <c r="O25" s="4">
        <f t="shared" ref="O25:O56" ca="1" si="1">IF(D$14+1=A$14,IF(M25=A$14,IF(DATE(YEAR(0),MONTH(0),DAY(D$16)-1)&gt;AR25,DATE(YEAR(0),MONTH(0),DAY(D$16)-1),AR25),AR25),IF(M25=A$14,IF(DATE(YEAR(0),MONTH(0),DAY(D$16)-1)&lt;AR25,DATE(YEAR(0),MONTH(0),DAY(D$16)-1),AR25),AR25))</f>
        <v>20</v>
      </c>
      <c r="P25" s="22">
        <f t="shared" ref="P25:P56" ca="1" si="2">IF(U25&lt;&gt;0,IF(VALUE(RIGHT(ROUND(U25,0)))&lt;=5,ROUND(U25,0)-VALUE(RIGHT(ROUND(U25,0))),ROUND(U25,0)+10-VALUE(RIGHT(ROUND(U25,0)))),0)</f>
        <v>1245000</v>
      </c>
      <c r="Q25" s="22">
        <f t="shared" ref="Q25:Q56" ca="1" si="3">IF(V25&lt;&gt;0,IF(VALUE(RIGHT(ROUND(V25,0)))&lt;=5,ROUND(V25,0)-VALUE(RIGHT(ROUND(V25,0))),ROUND(V25,0)+10-VALUE(RIGHT(ROUND(V25,0)))),0)</f>
        <v>1245000</v>
      </c>
      <c r="R25" s="22">
        <f>D10</f>
        <v>20000000</v>
      </c>
      <c r="S25" s="22">
        <f ca="1">IF(N25=0,0,IF(F10="USD",ROUND(D10/M14,2),IF(F10="бел. рублей",IF(AW25&lt;=5,ROUND(AU25,0)-AW25,ROUND(AU25,0)+AX25)," ")))</f>
        <v>555560</v>
      </c>
      <c r="T25" s="22">
        <f ca="1">IF(N25=0,0,IF(F10="USD",ROUND(D10/M14,2),IF(F10="бел. рублей",IF(AW25&lt;=5,ROUND(AU25,0)-AW25,ROUND(AU25,0)+AX25)," ")))</f>
        <v>555560</v>
      </c>
      <c r="U25" s="22">
        <f ca="1">R25*Q11*D11/36000</f>
        <v>1245000</v>
      </c>
      <c r="V25" s="22">
        <f ca="1">R25*Q11*D11/36000</f>
        <v>1245000</v>
      </c>
      <c r="W25" s="22">
        <f ca="1">IF(D10*Q11*D11/36000&lt;&gt;0,IF(VALUE(RIGHT(ROUND(D10*Q11*D11/36000,0)))&lt;=5,ROUND(D10*Q11*D11/36000,0)-VALUE(RIGHT(ROUND(D10*Q11*D11/36000,0))),ROUND(D10*Q11*D11/36000,0)+10-VALUE(RIGHT(ROUND(D10*Q11*D11/36000,0)))),0)</f>
        <v>1245000</v>
      </c>
      <c r="X25" s="22">
        <f ca="1">IF(D10*Q11*D11/36000&lt;&gt;0,IF(VALUE(RIGHT(ROUND(D10*Q11*D11/36000,0)))&lt;=5,ROUND(D10*Q11*D11/36000,0)-VALUE(RIGHT(ROUND(D10*Q11*D11/36000,0))),ROUND(D10*Q11*D11/36000,0)+10-VALUE(RIGHT(ROUND(D10*Q11*D11/36000,0)))),0)</f>
        <v>1245000</v>
      </c>
      <c r="Y25" s="22">
        <f t="shared" ref="Y25:Y56" si="4">IF(M25&lt;=(D$15+1),D$10,Y24-I24)</f>
        <v>20000000</v>
      </c>
      <c r="Z25" s="22">
        <f ca="1">Y25*Q11*D11/36000</f>
        <v>1245000</v>
      </c>
      <c r="AA25" s="22">
        <f t="shared" ref="AA25:AA56" ca="1" si="5">IF(Z25&lt;&gt;0,IF(VALUE(RIGHT(ROUND(Z25,0)))&lt;=5,ROUND(Z25,0)-VALUE(RIGHT(ROUND(Z25,0))),ROUND(Z25,0)+10-VALUE(RIGHT(ROUND(Z25,0)))),0)</f>
        <v>1245000</v>
      </c>
      <c r="AB25" s="22">
        <f ca="1">R25*Q11</f>
        <v>540000000</v>
      </c>
      <c r="AC25" s="22">
        <f t="shared" ref="AC25:AC56" ca="1" si="6">IF(AJ25&lt;&gt;0,IF(VALUE(RIGHT(ROUND(AJ25,0)))&lt;=5,ROUND(AJ25,0)-VALUE(RIGHT(ROUND(AJ25,0))),ROUND(AJ25,0)+10-VALUE(RIGHT(ROUND(AJ25,0)))),0)</f>
        <v>0</v>
      </c>
      <c r="AD25" s="22">
        <f t="shared" ref="AD25:AD56" ca="1" si="7">IF(AK25&lt;&gt;0,IF(VALUE(RIGHT(ROUND(AK25,0)))&lt;=5,ROUND(AK25,0)-VALUE(RIGHT(ROUND(AK25,0))),ROUND(AK25,0)+10-VALUE(RIGHT(ROUND(AK25,0)))),0)</f>
        <v>0</v>
      </c>
      <c r="AE25" s="22">
        <f ca="1">AI25*Q11*G12/36000</f>
        <v>0</v>
      </c>
      <c r="AF25" s="22">
        <f t="shared" ref="AF25:AF56" ca="1" si="8">IF(AE25&lt;&gt;0,IF(VALUE(RIGHT(ROUND(AE25,0)))&lt;=5,ROUND(AE25,0)-VALUE(RIGHT(ROUND(AE25,0))),ROUND(AE25,0)+10-VALUE(RIGHT(ROUND(AE25,0)))),0)</f>
        <v>0</v>
      </c>
      <c r="AG25" s="22">
        <f ca="1">Y25*Q11*G12/36000</f>
        <v>0</v>
      </c>
      <c r="AH25" s="22">
        <f t="shared" ref="AH25:AH56" ca="1" si="9">IF(AG25&lt;&gt;0,IF(VALUE(RIGHT(ROUND(AG25,0)))&lt;=5,ROUND(AG25,0)-VALUE(RIGHT(ROUND(AG25,0))),ROUND(AG25,0)+10-VALUE(RIGHT(ROUND(AG25,0)))),0)</f>
        <v>0</v>
      </c>
      <c r="AI25" s="22">
        <f t="shared" ref="AI25:AI56" si="10">R25</f>
        <v>20000000</v>
      </c>
      <c r="AJ25" s="22">
        <f ca="1">AI25*Q11*G12/36000</f>
        <v>0</v>
      </c>
      <c r="AK25" s="22">
        <f ca="1">AI25*Q11*G12/36000</f>
        <v>0</v>
      </c>
      <c r="AL25" s="69">
        <f ca="1">IF(N25=0,0,MONTH(D16)+1)</f>
        <v>2</v>
      </c>
      <c r="AM25" s="69">
        <f t="shared" ref="AM25:AM56" ca="1" si="11">IF(AL25=13,1,AL25)</f>
        <v>2</v>
      </c>
      <c r="AN25" s="4">
        <f ca="1">IF(N25=0,0,YEAR(D16))</f>
        <v>2024</v>
      </c>
      <c r="AO25" s="4">
        <f t="shared" ref="AO25:AO56" ca="1" si="12">IF(AM25=1,AN25+1,AN25)</f>
        <v>2024</v>
      </c>
      <c r="AP25" s="4">
        <f t="shared" ref="AP25:AP56" ca="1" si="13">IF((AN25/2012)=1,1,IF((AN25/2016)=1,1,IF((AN25/2020)=1,1,IF((AN25/2024)=1,1,IF((AN25/2028)=1,1,IF((AN25/2032)=1,1,0))))))</f>
        <v>1</v>
      </c>
      <c r="AQ25" s="4">
        <f t="shared" ref="AQ25:AQ56" ca="1" si="14">IF(AM25=2,IF(AP25=1,29,28),30)</f>
        <v>29</v>
      </c>
      <c r="AR25" s="4">
        <f t="shared" ref="AR25:AR56" si="15">IF(C$24=30,AQ25,20)</f>
        <v>20</v>
      </c>
      <c r="AS25" s="4"/>
      <c r="AT25" s="19"/>
      <c r="AU25" s="19">
        <f ca="1">IF(N25=0,0,IF(F10="USD",ROUND(D10/M14,2),IF(F10="бел. рублей",ROUND(D10/M14,0)," ")))</f>
        <v>555556</v>
      </c>
      <c r="AV25" s="94" t="str">
        <f ca="1">RIGHT(AU25)</f>
        <v>6</v>
      </c>
      <c r="AW25" s="19">
        <f ca="1">VALUE(AV25)</f>
        <v>6</v>
      </c>
      <c r="AX25" s="19">
        <f ca="1">10-AW25</f>
        <v>4</v>
      </c>
      <c r="AY25" s="4">
        <f t="shared" ref="AY25:AY56" ca="1" si="16">IF(D$15=0,0,IF(N25=1,1,0))</f>
        <v>1</v>
      </c>
      <c r="AZ25" s="19"/>
      <c r="BC25" s="19"/>
      <c r="BD25" s="19"/>
      <c r="BE25" s="19"/>
      <c r="BF25" s="19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</row>
    <row r="26" spans="1:141" s="24" customFormat="1" ht="15" customHeight="1">
      <c r="A26" s="4">
        <f t="shared" ref="A26:A48" si="17">A25+1</f>
        <v>2</v>
      </c>
      <c r="B26" s="268">
        <f t="shared" ref="B26:B57" ca="1" si="18">IF(N26=0,IF(N25=1,"ИТОГО"," "),IF(A$14=D$14+1,IF(M26=A$14,IF(MONTH(B25)=2,IF(DAY(D$16)&gt;29,DATE(YEAR(B25),MONTH(B25),AS26),DATE(YEAR(B25),MONTH(B25),O26)),DATE(YEAR(B25),MONTH(B25),O26)),DATE(YEAR(B25),MONTH(B25)+1,O26)),DATE(YEAR(B25),MONTH(B25)+1,O26)))</f>
        <v>45371</v>
      </c>
      <c r="C26" s="401"/>
      <c r="D26" s="443">
        <f ca="1">IF(N26=0,IF(N25=1,D25," "),IF(N26=0,0,IF(N27=1,D25,IF(N27=0,D10-D25*(M14-1)," "))))</f>
        <v>555560</v>
      </c>
      <c r="E26" s="443"/>
      <c r="F26" s="84">
        <f ca="1">IF(N26=0,IF(N25=1,F25," "),IF(M1=1,P26,IF(M1=2,Q26," ")))</f>
        <v>1370520</v>
      </c>
      <c r="G26" s="84">
        <v>0</v>
      </c>
      <c r="H26" s="84">
        <f t="shared" ref="H26:H57" ca="1" si="19">IF(SUM(D26:G26)=0," ",SUM(D26:G26))</f>
        <v>1926080</v>
      </c>
      <c r="I26" s="84">
        <f t="shared" ref="I26:I57" ca="1" si="20">IF(N26=1,IF(N27=1,IF(M26&lt;=D$15,T26,AV$26),D$10-AV$26*M$16+AV$26),0)</f>
        <v>571430</v>
      </c>
      <c r="J26" s="84">
        <f t="shared" ca="1" si="0"/>
        <v>1383330</v>
      </c>
      <c r="K26" s="84">
        <v>0</v>
      </c>
      <c r="L26" s="84">
        <f t="shared" ref="L26:L57" ca="1" si="21">IF(SUM(I26:K26)=0," ",SUM(I26:K26))</f>
        <v>1954760</v>
      </c>
      <c r="M26" s="4">
        <f t="shared" ref="M26:M48" si="22">M25+1</f>
        <v>2</v>
      </c>
      <c r="N26" s="4">
        <f ca="1">IF(M1=1,IF(M14&gt;1,1,0),IF(M1=2,IF(M14&gt;1,1,0),0))</f>
        <v>1</v>
      </c>
      <c r="O26" s="4">
        <f t="shared" ca="1" si="1"/>
        <v>20</v>
      </c>
      <c r="P26" s="22">
        <f t="shared" ca="1" si="2"/>
        <v>1370520</v>
      </c>
      <c r="Q26" s="22">
        <f t="shared" ca="1" si="3"/>
        <v>1370520</v>
      </c>
      <c r="R26" s="22">
        <f t="shared" ref="R26:R57" ca="1" si="23">IF(N26=0,0,R25-D25)</f>
        <v>19444440</v>
      </c>
      <c r="S26" s="22">
        <f t="shared" ref="S26:S57" si="24">IF(M26&lt;=D$15,D$10/(D$14-M25),D26)</f>
        <v>571428.57142857148</v>
      </c>
      <c r="T26" s="22">
        <f t="shared" ref="T26:T57" si="25">IF(S26&lt;&gt;0,IF(VALUE(RIGHT(ROUND(S26,0)))&lt;=5,ROUND(S26,0)-VALUE(RIGHT(ROUND(S26,0))),ROUND(S26,0)+10-VALUE(RIGHT(ROUND(S26,0)))),0)</f>
        <v>571430</v>
      </c>
      <c r="U26" s="22">
        <f ca="1">IF(N27=1,R25*D11*20/36000+R26*D11*10/36000,IF(N27=0,IF(N26=0,0,R26*D11*Q12/36000+R25*D11*20/36000+R26*D11*10/36000)))</f>
        <v>1370524.5888888889</v>
      </c>
      <c r="V26" s="22">
        <f ca="1">IF(N27=1,R25*D11*20/36000+R26*D11*10/36000,IF(N27=0,IF(N26=0,0,R26*D11*Q12/36000+R25*D11*20/36000+R26*D11*10/36000)))</f>
        <v>1370524.5888888889</v>
      </c>
      <c r="W26" s="22">
        <f t="shared" ref="W26:W57" ca="1" si="26">IF(N27=1,$D$10*$D$11*20/36000+$D$10*$D$11*10/36000,IF(N27=0,IF(N26=0,0,$D$10*$D$11*$Q$12/36000+$D$10*$D$11*20/36000+$D$10*$D$11*10/36000)))</f>
        <v>1383333.3333333335</v>
      </c>
      <c r="X26" s="22">
        <f t="shared" ref="X26:X57" ca="1" si="27">IF(W26&lt;&gt;0,IF(VALUE(RIGHT(ROUND(W26,0)))&lt;=5,ROUND(W26,0)-VALUE(RIGHT(ROUND(W26,0))),ROUND(W26,0)+10-VALUE(RIGHT(ROUND(W26,0)))),0)</f>
        <v>1383330</v>
      </c>
      <c r="Y26" s="22">
        <f t="shared" si="4"/>
        <v>20000000</v>
      </c>
      <c r="Z26" s="22">
        <f ca="1">IF(N27=1,Y25*D$11*20/36000+Y26*D$11*10/36000,IF(N27=0,IF(N26=0,0,Y26*D$11*Q$12/36000+Y25*D$11*20/36000+Y26*D$11*10/36000)))</f>
        <v>1383333.3333333335</v>
      </c>
      <c r="AA26" s="22">
        <f t="shared" ca="1" si="5"/>
        <v>1383330</v>
      </c>
      <c r="AB26" s="22">
        <f ca="1">IF(R27=0,R26*Q12,(R25*20+R26*10))</f>
        <v>594444400</v>
      </c>
      <c r="AC26" s="22">
        <f t="shared" ca="1" si="6"/>
        <v>0</v>
      </c>
      <c r="AD26" s="22">
        <f t="shared" ca="1" si="7"/>
        <v>0</v>
      </c>
      <c r="AE26" s="22">
        <f t="shared" ref="AE26:AE57" ca="1" si="28">IF(N27=1,D$10*G$12*20/36000+D$10*G$12*10/36000,IF(N27=0,IF(N26=0,0,D$10*G$12*Q$12/36000+D$10*G$12*20/36000+D$10*G$12*10/36000)))</f>
        <v>0</v>
      </c>
      <c r="AF26" s="22">
        <f t="shared" ca="1" si="8"/>
        <v>0</v>
      </c>
      <c r="AG26" s="22">
        <f t="shared" ref="AG26:AG57" ca="1" si="29">IF(N27=1,Y25*G$12*20/36000+Y26*G$12*10/36000,IF(N27=0,IF(N26=0,0,Y26*G$12*Q$12/36000+Y25*G$12*20/36000+Y26*G$12*10/36000)))</f>
        <v>0</v>
      </c>
      <c r="AH26" s="22">
        <f t="shared" ca="1" si="9"/>
        <v>0</v>
      </c>
      <c r="AI26" s="22">
        <f t="shared" ca="1" si="10"/>
        <v>19444440</v>
      </c>
      <c r="AJ26" s="22">
        <f ca="1">IF(N27=1,AI25*G12*20/36000+AI26*G12*10/36000,IF(N27=0,IF(N26=0,0,AI26*G12*Q12/36000+AI25*G12*20/36000+AI26*G12*10/36000)))</f>
        <v>0</v>
      </c>
      <c r="AK26" s="22">
        <f ca="1">IF(N27=1,AI25*G12*20/36000+AI26*G12*10/36000,IF(N27=0,IF(N26=0,0,AI26*G12*Q12/36000+AI25*G12*20/36000+AI26*G12*10/36000)))</f>
        <v>0</v>
      </c>
      <c r="AL26" s="69">
        <f t="shared" ref="AL26:AL57" ca="1" si="30">IF(N26=0,0,MONTH(B25)+1)</f>
        <v>3</v>
      </c>
      <c r="AM26" s="69">
        <f t="shared" ca="1" si="11"/>
        <v>3</v>
      </c>
      <c r="AN26" s="4">
        <f t="shared" ref="AN26:AN57" ca="1" si="31">IF(N26=0,0,YEAR(B25))</f>
        <v>2024</v>
      </c>
      <c r="AO26" s="4">
        <f t="shared" ca="1" si="12"/>
        <v>2024</v>
      </c>
      <c r="AP26" s="4">
        <f t="shared" ca="1" si="13"/>
        <v>1</v>
      </c>
      <c r="AQ26" s="4">
        <f t="shared" ca="1" si="14"/>
        <v>30</v>
      </c>
      <c r="AR26" s="4">
        <f t="shared" si="15"/>
        <v>20</v>
      </c>
      <c r="AS26" s="4">
        <f t="shared" ref="AS26:AS57" ca="1" si="32">AQ25</f>
        <v>29</v>
      </c>
      <c r="AT26" s="19"/>
      <c r="AU26" s="4">
        <f ca="1">ROUNDUP(D$10/(A$14-D$15),0)</f>
        <v>606061</v>
      </c>
      <c r="AV26" s="22">
        <f ca="1">IF(AU26&lt;&gt;0,IF(VALUE(RIGHT(ROUND(AU26,0)))&lt;=5,ROUND(AU26,0)-VALUE(RIGHT(ROUND(AU26,0))),ROUND(AU26,0)+10-VALUE(RIGHT(ROUND(AU26,0)))),0)</f>
        <v>606060</v>
      </c>
      <c r="AW26" s="19"/>
      <c r="AX26" s="19"/>
      <c r="AY26" s="4">
        <f t="shared" ca="1" si="16"/>
        <v>1</v>
      </c>
      <c r="AZ26" s="19"/>
      <c r="BC26" s="19"/>
      <c r="BD26" s="19"/>
      <c r="BE26" s="19"/>
      <c r="BF26" s="19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</row>
    <row r="27" spans="1:141" s="24" customFormat="1" ht="15" customHeight="1">
      <c r="A27" s="4">
        <f t="shared" si="17"/>
        <v>3</v>
      </c>
      <c r="B27" s="268">
        <f t="shared" ca="1" si="18"/>
        <v>45402</v>
      </c>
      <c r="C27" s="401"/>
      <c r="D27" s="443">
        <f ca="1">IF(N27=0,IF(N26=1,D25+D26," "),IF(N27=0,0,IF(N28=1,D25,IF(N28=0,D10-D25*(M14-1)," "))))</f>
        <v>555560</v>
      </c>
      <c r="E27" s="443"/>
      <c r="F27" s="84">
        <f ca="1">IF(N27=0,IF(N26=1,F25+F26," "),IF(M1=1,P27,IF(M1=2,Q27," ")))</f>
        <v>1332100</v>
      </c>
      <c r="G27" s="84">
        <v>0</v>
      </c>
      <c r="H27" s="84">
        <f t="shared" ca="1" si="19"/>
        <v>1887660</v>
      </c>
      <c r="I27" s="84">
        <f t="shared" ca="1" si="20"/>
        <v>588230</v>
      </c>
      <c r="J27" s="84">
        <f t="shared" ca="1" si="0"/>
        <v>1383330</v>
      </c>
      <c r="K27" s="84">
        <v>0</v>
      </c>
      <c r="L27" s="84">
        <f t="shared" ca="1" si="21"/>
        <v>1971560</v>
      </c>
      <c r="M27" s="4">
        <f t="shared" si="22"/>
        <v>3</v>
      </c>
      <c r="N27" s="4">
        <f ca="1">IF(M1=1,IF(M14&gt;2,1,0),IF(M1=2,IF(M14&gt;2,1,0),0))</f>
        <v>1</v>
      </c>
      <c r="O27" s="4">
        <f t="shared" ca="1" si="1"/>
        <v>20</v>
      </c>
      <c r="P27" s="22">
        <f t="shared" ca="1" si="2"/>
        <v>1332100</v>
      </c>
      <c r="Q27" s="22">
        <f t="shared" ca="1" si="3"/>
        <v>1332100</v>
      </c>
      <c r="R27" s="22">
        <f t="shared" ca="1" si="23"/>
        <v>18888880</v>
      </c>
      <c r="S27" s="22">
        <f t="shared" si="24"/>
        <v>588235.29411764711</v>
      </c>
      <c r="T27" s="22">
        <f t="shared" si="25"/>
        <v>588230</v>
      </c>
      <c r="U27" s="22">
        <f ca="1">IF(N28=1,R26*D11*20/36000+R27*D11*10/36000,IF(N28=0,IF(N27=0,0,R27*D11*Q12/36000+R26*D11*20/36000+R27*D11*10/36000)))</f>
        <v>1332098.3555555556</v>
      </c>
      <c r="V27" s="22">
        <f ca="1">IF(N28=1,R26*D11*20/36000+R27*D11*10/36000,IF(N28=0,IF(N27=0,0,R27*D11*Q12/36000+R26*D11*20/36000+R27*D11*10/36000)))</f>
        <v>1332098.3555555556</v>
      </c>
      <c r="W27" s="22">
        <f t="shared" ca="1" si="26"/>
        <v>1383333.3333333335</v>
      </c>
      <c r="X27" s="22">
        <f t="shared" ca="1" si="27"/>
        <v>1383330</v>
      </c>
      <c r="Y27" s="22">
        <f t="shared" si="4"/>
        <v>20000000</v>
      </c>
      <c r="Z27" s="22">
        <f ca="1">IF(N28=1,Y26*D$11*20/36000+Y27*D$11*10/36000,IF(N28=0,IF(N27=0,0,Y27*D$11*Q$12/36000+Y26*D$11*20/36000+Y27*D$11*10/36000)))</f>
        <v>1383333.3333333335</v>
      </c>
      <c r="AA27" s="22">
        <f t="shared" ca="1" si="5"/>
        <v>1383330</v>
      </c>
      <c r="AB27" s="22">
        <f ca="1">IF(R28=0,R27*Q12,(R26*20+R27*10))</f>
        <v>577777600</v>
      </c>
      <c r="AC27" s="22">
        <f t="shared" ca="1" si="6"/>
        <v>0</v>
      </c>
      <c r="AD27" s="22">
        <f t="shared" ca="1" si="7"/>
        <v>0</v>
      </c>
      <c r="AE27" s="22">
        <f t="shared" ca="1" si="28"/>
        <v>0</v>
      </c>
      <c r="AF27" s="22">
        <f t="shared" ca="1" si="8"/>
        <v>0</v>
      </c>
      <c r="AG27" s="22">
        <f t="shared" ca="1" si="29"/>
        <v>0</v>
      </c>
      <c r="AH27" s="22">
        <f t="shared" ca="1" si="9"/>
        <v>0</v>
      </c>
      <c r="AI27" s="22">
        <f t="shared" ca="1" si="10"/>
        <v>18888880</v>
      </c>
      <c r="AJ27" s="22">
        <f ca="1">IF(N28=1,AI26*G12*20/36000+AI27*G12*10/36000,IF(N28=0,IF(N27=0,0,AI27*G12*Q12/36000+AI26*G12*20/36000+AI27*G12*10/36000)))</f>
        <v>0</v>
      </c>
      <c r="AK27" s="22">
        <f ca="1">IF(N28=1,AI26*G12*20/36000+AI27*G12*10/36000,IF(N28=0,IF(N27=0,0,AI27*G12*Q12/36000+AI26*G12*20/36000+AI27*G12*10/36000)))</f>
        <v>0</v>
      </c>
      <c r="AL27" s="69">
        <f t="shared" ca="1" si="30"/>
        <v>4</v>
      </c>
      <c r="AM27" s="69">
        <f t="shared" ca="1" si="11"/>
        <v>4</v>
      </c>
      <c r="AN27" s="4">
        <f t="shared" ca="1" si="31"/>
        <v>2024</v>
      </c>
      <c r="AO27" s="4">
        <f t="shared" ca="1" si="12"/>
        <v>2024</v>
      </c>
      <c r="AP27" s="4">
        <f t="shared" ca="1" si="13"/>
        <v>1</v>
      </c>
      <c r="AQ27" s="4">
        <f t="shared" ca="1" si="14"/>
        <v>30</v>
      </c>
      <c r="AR27" s="4">
        <f t="shared" si="15"/>
        <v>20</v>
      </c>
      <c r="AS27" s="4">
        <f t="shared" ca="1" si="32"/>
        <v>30</v>
      </c>
      <c r="AT27" s="19"/>
      <c r="AU27" s="19"/>
      <c r="AV27" s="19"/>
      <c r="AW27" s="19"/>
      <c r="AX27" s="19"/>
      <c r="AY27" s="4">
        <f t="shared" ca="1" si="16"/>
        <v>1</v>
      </c>
      <c r="AZ27" s="19"/>
      <c r="BC27" s="19"/>
      <c r="BD27" s="19"/>
      <c r="BE27" s="19"/>
      <c r="BF27" s="19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</row>
    <row r="28" spans="1:141" s="24" customFormat="1" ht="15" customHeight="1">
      <c r="A28" s="4">
        <f t="shared" si="17"/>
        <v>4</v>
      </c>
      <c r="B28" s="268">
        <f t="shared" ca="1" si="18"/>
        <v>45432</v>
      </c>
      <c r="C28" s="401"/>
      <c r="D28" s="443">
        <f ca="1">IF(N28=0,IF(N27=1,D25+D26+D27," "),IF(N28=0,0,IF(N29=1,D25,IF(N29=0,D10-D25*(M14-1)," "))))</f>
        <v>555560</v>
      </c>
      <c r="E28" s="443"/>
      <c r="F28" s="84">
        <f ca="1">IF(N28=0,IF(N27=1,F25+F26+F27," "),IF(M1=1,P28,IF(M1=2,Q28," ")))</f>
        <v>1293670</v>
      </c>
      <c r="G28" s="84">
        <v>0</v>
      </c>
      <c r="H28" s="84">
        <f t="shared" ca="1" si="19"/>
        <v>1849230</v>
      </c>
      <c r="I28" s="84">
        <f t="shared" ca="1" si="20"/>
        <v>606060</v>
      </c>
      <c r="J28" s="84">
        <f t="shared" ca="1" si="0"/>
        <v>1383330</v>
      </c>
      <c r="K28" s="84">
        <v>0</v>
      </c>
      <c r="L28" s="84">
        <f t="shared" ca="1" si="21"/>
        <v>1989390</v>
      </c>
      <c r="M28" s="4">
        <f t="shared" si="22"/>
        <v>4</v>
      </c>
      <c r="N28" s="4">
        <f ca="1">IF(M1=1,IF(M14&gt;3,1,0),IF(M1=2,IF(M14&gt;3,1,0),0))</f>
        <v>1</v>
      </c>
      <c r="O28" s="4">
        <f t="shared" ca="1" si="1"/>
        <v>20</v>
      </c>
      <c r="P28" s="22">
        <f t="shared" ca="1" si="2"/>
        <v>1293670</v>
      </c>
      <c r="Q28" s="22">
        <f t="shared" ca="1" si="3"/>
        <v>1293670</v>
      </c>
      <c r="R28" s="22">
        <f t="shared" ca="1" si="23"/>
        <v>18333320</v>
      </c>
      <c r="S28" s="22">
        <f t="shared" ca="1" si="24"/>
        <v>555560</v>
      </c>
      <c r="T28" s="22">
        <f t="shared" ca="1" si="25"/>
        <v>555560</v>
      </c>
      <c r="U28" s="22">
        <f ca="1">IF(N29=1,R27*D11*20/36000+R28*D11*10/36000,IF(N29=0,IF(N28=0,0,R28*D11*Q12/36000+R27*D11*20/36000+R28*D11*10/36000)))</f>
        <v>1293672.1222222222</v>
      </c>
      <c r="V28" s="22">
        <f ca="1">IF(N29=1,R27*D11*20/36000+R28*D11*10/36000,IF(N29=0,IF(N28=0,0,R28*D11*Q12/36000+R27*D11*20/36000+R28*D11*10/36000)))</f>
        <v>1293672.1222222222</v>
      </c>
      <c r="W28" s="22">
        <f t="shared" ca="1" si="26"/>
        <v>1383333.3333333335</v>
      </c>
      <c r="X28" s="22">
        <f t="shared" ca="1" si="27"/>
        <v>1383330</v>
      </c>
      <c r="Y28" s="22">
        <f t="shared" si="4"/>
        <v>20000000</v>
      </c>
      <c r="Z28" s="22">
        <f ca="1">IF(N29=1,Y27*D$11*20/36000+Y28*D$11*10/36000,IF(N29=0,IF(N28=0,0,Y28*D$11*Q$12/36000+Y27*D$11*20/36000+Y28*D$11*10/36000)))</f>
        <v>1383333.3333333335</v>
      </c>
      <c r="AA28" s="22">
        <f t="shared" ca="1" si="5"/>
        <v>1383330</v>
      </c>
      <c r="AB28" s="22">
        <f ca="1">IF(R29=0,R28*Q12,(R27*20+R28*10))</f>
        <v>561110800</v>
      </c>
      <c r="AC28" s="22">
        <f t="shared" ca="1" si="6"/>
        <v>0</v>
      </c>
      <c r="AD28" s="22">
        <f t="shared" ca="1" si="7"/>
        <v>0</v>
      </c>
      <c r="AE28" s="22">
        <f t="shared" ca="1" si="28"/>
        <v>0</v>
      </c>
      <c r="AF28" s="22">
        <f t="shared" ca="1" si="8"/>
        <v>0</v>
      </c>
      <c r="AG28" s="22">
        <f t="shared" ca="1" si="29"/>
        <v>0</v>
      </c>
      <c r="AH28" s="22">
        <f t="shared" ca="1" si="9"/>
        <v>0</v>
      </c>
      <c r="AI28" s="22">
        <f t="shared" ca="1" si="10"/>
        <v>18333320</v>
      </c>
      <c r="AJ28" s="22">
        <f ca="1">IF(N29=1,AI27*G12*20/36000+AI28*G12*10/36000,IF(N29=0,IF(N28=0,0,AI28*G12*Q12/36000+AI27*G12*20/36000+AI28*G12*10/36000)))</f>
        <v>0</v>
      </c>
      <c r="AK28" s="22">
        <f ca="1">IF(N29=1,AI27*G12*20/36000+AI28*G12*10/36000,IF(N29=0,IF(N28=0,0,AI28*G12*Q12/36000+AI27*G12*20/36000+AI28*G12*10/36000)))</f>
        <v>0</v>
      </c>
      <c r="AL28" s="69">
        <f t="shared" ca="1" si="30"/>
        <v>5</v>
      </c>
      <c r="AM28" s="69">
        <f t="shared" ca="1" si="11"/>
        <v>5</v>
      </c>
      <c r="AN28" s="4">
        <f t="shared" ca="1" si="31"/>
        <v>2024</v>
      </c>
      <c r="AO28" s="4">
        <f t="shared" ca="1" si="12"/>
        <v>2024</v>
      </c>
      <c r="AP28" s="4">
        <f t="shared" ca="1" si="13"/>
        <v>1</v>
      </c>
      <c r="AQ28" s="4">
        <f t="shared" ca="1" si="14"/>
        <v>30</v>
      </c>
      <c r="AR28" s="4">
        <f t="shared" si="15"/>
        <v>20</v>
      </c>
      <c r="AS28" s="4">
        <f t="shared" ca="1" si="32"/>
        <v>30</v>
      </c>
      <c r="AT28" s="19"/>
      <c r="AU28" s="19"/>
      <c r="AV28" s="19"/>
      <c r="AW28" s="19"/>
      <c r="AX28" s="19"/>
      <c r="AY28" s="4">
        <f t="shared" ca="1" si="16"/>
        <v>1</v>
      </c>
      <c r="AZ28" s="19"/>
      <c r="BC28" s="19"/>
      <c r="BD28" s="19"/>
      <c r="BE28" s="19"/>
      <c r="BF28" s="19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</row>
    <row r="29" spans="1:141" s="24" customFormat="1" ht="15" customHeight="1">
      <c r="A29" s="4">
        <f t="shared" si="17"/>
        <v>5</v>
      </c>
      <c r="B29" s="268">
        <f t="shared" ca="1" si="18"/>
        <v>45463</v>
      </c>
      <c r="C29" s="401"/>
      <c r="D29" s="443">
        <f ca="1">IF(N29=0,IF(N28=1,D25+D26+D27+D28," "),IF(N29=0,0,IF(N30=1,D25,IF(N30=0,D10-D25*(M14-1)," "))))</f>
        <v>555560</v>
      </c>
      <c r="E29" s="443"/>
      <c r="F29" s="84">
        <f ca="1">IF(N29=0,IF(N28=1,F25+F26+F27+F28," "),IF(M1=1,P29,IF(M1=2,Q29," ")))</f>
        <v>1255250</v>
      </c>
      <c r="G29" s="84">
        <v>0</v>
      </c>
      <c r="H29" s="84">
        <f t="shared" ca="1" si="19"/>
        <v>1810810</v>
      </c>
      <c r="I29" s="84">
        <f t="shared" ca="1" si="20"/>
        <v>606060</v>
      </c>
      <c r="J29" s="84">
        <f t="shared" ca="1" si="0"/>
        <v>1369360</v>
      </c>
      <c r="K29" s="84">
        <v>0</v>
      </c>
      <c r="L29" s="84">
        <f t="shared" ca="1" si="21"/>
        <v>1975420</v>
      </c>
      <c r="M29" s="4">
        <f t="shared" si="22"/>
        <v>5</v>
      </c>
      <c r="N29" s="4">
        <f ca="1">IF(M1=1,IF(M14&gt;4,1,0),IF(M1=2,IF(M14&gt;4,1,0),0))</f>
        <v>1</v>
      </c>
      <c r="O29" s="4">
        <f t="shared" ca="1" si="1"/>
        <v>20</v>
      </c>
      <c r="P29" s="22">
        <f t="shared" ca="1" si="2"/>
        <v>1255250</v>
      </c>
      <c r="Q29" s="22">
        <f t="shared" ca="1" si="3"/>
        <v>1255250</v>
      </c>
      <c r="R29" s="22">
        <f t="shared" ca="1" si="23"/>
        <v>17777760</v>
      </c>
      <c r="S29" s="22">
        <f t="shared" ca="1" si="24"/>
        <v>555560</v>
      </c>
      <c r="T29" s="22">
        <f t="shared" ca="1" si="25"/>
        <v>555560</v>
      </c>
      <c r="U29" s="22">
        <f ca="1">IF(N30=1,R28*D11*20/36000+R29*D11*10/36000,IF(N30=0,IF(N29=0,0,R29*D11*Q12/36000+R28*D11*20/36000+R29*D11*10/36000)))</f>
        <v>1255245.888888889</v>
      </c>
      <c r="V29" s="22">
        <f ca="1">IF(N30=1,R28*D11*20/36000+R29*D11*10/36000,IF(N30=0,IF(N29=0,0,R29*D11*Q12/36000+R28*D11*20/36000+R29*D11*10/36000)))</f>
        <v>1255245.888888889</v>
      </c>
      <c r="W29" s="22">
        <f t="shared" ca="1" si="26"/>
        <v>1383333.3333333335</v>
      </c>
      <c r="X29" s="22">
        <f t="shared" ca="1" si="27"/>
        <v>1383330</v>
      </c>
      <c r="Y29" s="22">
        <f t="shared" ca="1" si="4"/>
        <v>19393940</v>
      </c>
      <c r="Z29" s="22">
        <f ca="1">IF(N30=1,Y28*D$11*20/36000+Y29*D$11*10/36000,IF(N30=0,IF(N29=0,0,Y29*D$11*Q$12/36000+Y28*D$11*20/36000+Y29*D$11*10/36000)))</f>
        <v>1369360.2833333334</v>
      </c>
      <c r="AA29" s="22">
        <f t="shared" ca="1" si="5"/>
        <v>1369360</v>
      </c>
      <c r="AB29" s="22">
        <f ca="1">IF(R30=0,R29*Q12,(R28*20+R29*10))</f>
        <v>544444000</v>
      </c>
      <c r="AC29" s="22">
        <f t="shared" ca="1" si="6"/>
        <v>0</v>
      </c>
      <c r="AD29" s="22">
        <f t="shared" ca="1" si="7"/>
        <v>0</v>
      </c>
      <c r="AE29" s="22">
        <f t="shared" ca="1" si="28"/>
        <v>0</v>
      </c>
      <c r="AF29" s="22">
        <f t="shared" ca="1" si="8"/>
        <v>0</v>
      </c>
      <c r="AG29" s="22">
        <f t="shared" ca="1" si="29"/>
        <v>0</v>
      </c>
      <c r="AH29" s="22">
        <f t="shared" ca="1" si="9"/>
        <v>0</v>
      </c>
      <c r="AI29" s="22">
        <f t="shared" ca="1" si="10"/>
        <v>17777760</v>
      </c>
      <c r="AJ29" s="22">
        <f ca="1">IF(N30=1,AI28*G12*20/36000+AI29*G12*10/36000,IF(N30=0,IF(N29=0,0,AI29*G12*Q12/36000+AI28*G12*20/36000+AI29*G12*10/36000)))</f>
        <v>0</v>
      </c>
      <c r="AK29" s="22">
        <f ca="1">IF(N30=1,AI28*G12*20/36000+AI29*G12*10/36000,IF(N30=0,IF(N29=0,0,AI29*G12*Q12/36000+AI28*G12*20/36000+AI29*G12*10/36000)))</f>
        <v>0</v>
      </c>
      <c r="AL29" s="69">
        <f t="shared" ca="1" si="30"/>
        <v>6</v>
      </c>
      <c r="AM29" s="69">
        <f t="shared" ca="1" si="11"/>
        <v>6</v>
      </c>
      <c r="AN29" s="4">
        <f t="shared" ca="1" si="31"/>
        <v>2024</v>
      </c>
      <c r="AO29" s="4">
        <f t="shared" ca="1" si="12"/>
        <v>2024</v>
      </c>
      <c r="AP29" s="4">
        <f t="shared" ca="1" si="13"/>
        <v>1</v>
      </c>
      <c r="AQ29" s="4">
        <f t="shared" ca="1" si="14"/>
        <v>30</v>
      </c>
      <c r="AR29" s="4">
        <f t="shared" si="15"/>
        <v>20</v>
      </c>
      <c r="AS29" s="4">
        <f t="shared" ca="1" si="32"/>
        <v>30</v>
      </c>
      <c r="AT29" s="19"/>
      <c r="AU29" s="19"/>
      <c r="AV29" s="19"/>
      <c r="AW29" s="19"/>
      <c r="AX29" s="19"/>
      <c r="AY29" s="4">
        <f t="shared" ca="1" si="16"/>
        <v>1</v>
      </c>
      <c r="AZ29" s="19"/>
      <c r="BC29" s="19"/>
      <c r="BD29" s="19"/>
      <c r="BE29" s="19"/>
      <c r="BF29" s="19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</row>
    <row r="30" spans="1:141" s="24" customFormat="1" ht="15" customHeight="1">
      <c r="A30" s="4">
        <f t="shared" si="17"/>
        <v>6</v>
      </c>
      <c r="B30" s="268">
        <f t="shared" ca="1" si="18"/>
        <v>45493</v>
      </c>
      <c r="C30" s="401"/>
      <c r="D30" s="443">
        <f ca="1">IF(N30=0,IF(N29=1,D25+D26+D27+D28+D29," "),IF(N30=0,0,IF(N31=1,D25,IF(N31=0,D10-D25*(M14-1)," "))))</f>
        <v>555560</v>
      </c>
      <c r="E30" s="443"/>
      <c r="F30" s="84">
        <f ca="1">IF(N30=0,IF(N29=1,F25+F26+F27+F28+F29," "),IF(M1=1,P30,IF(M1=2,Q30," ")))</f>
        <v>1216820</v>
      </c>
      <c r="G30" s="84">
        <v>0</v>
      </c>
      <c r="H30" s="84">
        <f t="shared" ca="1" si="19"/>
        <v>1772380</v>
      </c>
      <c r="I30" s="84">
        <f t="shared" ca="1" si="20"/>
        <v>606060</v>
      </c>
      <c r="J30" s="84">
        <f t="shared" ca="1" si="0"/>
        <v>1327440</v>
      </c>
      <c r="K30" s="84">
        <v>0</v>
      </c>
      <c r="L30" s="84">
        <f t="shared" ca="1" si="21"/>
        <v>1933500</v>
      </c>
      <c r="M30" s="4">
        <f t="shared" si="22"/>
        <v>6</v>
      </c>
      <c r="N30" s="4">
        <f ca="1">IF(M1=1,IF(M14&gt;5,1,0),IF(M1=2,IF(M14&gt;5,1,0),0))</f>
        <v>1</v>
      </c>
      <c r="O30" s="4">
        <f t="shared" ca="1" si="1"/>
        <v>20</v>
      </c>
      <c r="P30" s="22">
        <f t="shared" ca="1" si="2"/>
        <v>1216820</v>
      </c>
      <c r="Q30" s="22">
        <f t="shared" ca="1" si="3"/>
        <v>1216820</v>
      </c>
      <c r="R30" s="22">
        <f t="shared" ca="1" si="23"/>
        <v>17222200</v>
      </c>
      <c r="S30" s="22">
        <f t="shared" ca="1" si="24"/>
        <v>555560</v>
      </c>
      <c r="T30" s="22">
        <f t="shared" ca="1" si="25"/>
        <v>555560</v>
      </c>
      <c r="U30" s="22">
        <f ca="1">IF(N31=1,R29*D11*20/36000+R30*D11*10/36000,IF(N31=0,IF(N30=0,0,R30*D11*Q12/36000+R29*D11*20/36000+R30*D11*10/36000)))</f>
        <v>1216819.6555555556</v>
      </c>
      <c r="V30" s="22">
        <f ca="1">IF(N31=1,R29*D11*20/36000+R30*D11*10/36000,IF(N31=0,IF(N30=0,0,R30*D11*Q12/36000+R29*D11*20/36000+R30*D11*10/36000)))</f>
        <v>1216819.6555555556</v>
      </c>
      <c r="W30" s="22">
        <f t="shared" ca="1" si="26"/>
        <v>1383333.3333333335</v>
      </c>
      <c r="X30" s="22">
        <f t="shared" ca="1" si="27"/>
        <v>1383330</v>
      </c>
      <c r="Y30" s="22">
        <f t="shared" ca="1" si="4"/>
        <v>18787880</v>
      </c>
      <c r="Z30" s="22">
        <f ca="1">IF(N31=1,Y29*D$11*20/36000+Y30*D$11*10/36000,IF(N31=0,IF(N30=0,0,Y30*D$11*Q$12/36000+Y29*D$11*20/36000+Y30*D$11*10/36000)))</f>
        <v>1327441.1333333333</v>
      </c>
      <c r="AA30" s="22">
        <f t="shared" ca="1" si="5"/>
        <v>1327440</v>
      </c>
      <c r="AB30" s="22">
        <f ca="1">IF(R31=0,R30*Q12,(R29*20+R30*10))</f>
        <v>527777200</v>
      </c>
      <c r="AC30" s="22">
        <f t="shared" ca="1" si="6"/>
        <v>0</v>
      </c>
      <c r="AD30" s="22">
        <f t="shared" ca="1" si="7"/>
        <v>0</v>
      </c>
      <c r="AE30" s="22">
        <f t="shared" ca="1" si="28"/>
        <v>0</v>
      </c>
      <c r="AF30" s="22">
        <f t="shared" ca="1" si="8"/>
        <v>0</v>
      </c>
      <c r="AG30" s="22">
        <f t="shared" ca="1" si="29"/>
        <v>0</v>
      </c>
      <c r="AH30" s="22">
        <f t="shared" ca="1" si="9"/>
        <v>0</v>
      </c>
      <c r="AI30" s="22">
        <f t="shared" ca="1" si="10"/>
        <v>17222200</v>
      </c>
      <c r="AJ30" s="22">
        <f ca="1">IF(N31=1,AI29*G12*20/36000+AI30*G12*10/36000,IF(N31=0,IF(N30=0,0,AI30*G12*Q12/36000+AI29*G12*20/36000+AI30*G12*10/36000)))</f>
        <v>0</v>
      </c>
      <c r="AK30" s="22">
        <f ca="1">IF(N31=1,AI29*G12*20/36000+AI30*G12*10/36000,IF(N31=0,IF(N30=0,0,AI30*G12*Q12/36000+AI29*G12*20/36000+AI30*G12*10/36000)))</f>
        <v>0</v>
      </c>
      <c r="AL30" s="69">
        <f t="shared" ca="1" si="30"/>
        <v>7</v>
      </c>
      <c r="AM30" s="69">
        <f t="shared" ca="1" si="11"/>
        <v>7</v>
      </c>
      <c r="AN30" s="4">
        <f t="shared" ca="1" si="31"/>
        <v>2024</v>
      </c>
      <c r="AO30" s="4">
        <f t="shared" ca="1" si="12"/>
        <v>2024</v>
      </c>
      <c r="AP30" s="4">
        <f t="shared" ca="1" si="13"/>
        <v>1</v>
      </c>
      <c r="AQ30" s="4">
        <f t="shared" ca="1" si="14"/>
        <v>30</v>
      </c>
      <c r="AR30" s="4">
        <f t="shared" si="15"/>
        <v>20</v>
      </c>
      <c r="AS30" s="4">
        <f t="shared" ca="1" si="32"/>
        <v>30</v>
      </c>
      <c r="AT30" s="19"/>
      <c r="AU30" s="19"/>
      <c r="AV30" s="19"/>
      <c r="AW30" s="19"/>
      <c r="AX30" s="19"/>
      <c r="AY30" s="4">
        <f t="shared" ca="1" si="16"/>
        <v>1</v>
      </c>
      <c r="AZ30" s="19"/>
      <c r="BC30" s="19"/>
      <c r="BD30" s="19"/>
      <c r="BE30" s="19"/>
      <c r="BF30" s="19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</row>
    <row r="31" spans="1:141" s="24" customFormat="1" ht="15" customHeight="1">
      <c r="A31" s="19">
        <f t="shared" si="17"/>
        <v>7</v>
      </c>
      <c r="B31" s="268">
        <f t="shared" ca="1" si="18"/>
        <v>45524</v>
      </c>
      <c r="C31" s="401"/>
      <c r="D31" s="443">
        <f ca="1">IF(N31=0,IF(N30=1,D25+D26+D27+D28+D29+D30," "),IF(N31=0," ",IF(N32=1,D25,IF(N32=0,D10-D25*(M14-1)," "))))</f>
        <v>555560</v>
      </c>
      <c r="E31" s="443"/>
      <c r="F31" s="84">
        <f ca="1">IF(N31=0,IF(N30=1,F25+F26+F27+F28+F29+F30," "),IF(M1=1,P31,IF(M1=2,Q31," ")))</f>
        <v>1178390</v>
      </c>
      <c r="G31" s="84">
        <v>0</v>
      </c>
      <c r="H31" s="84">
        <f t="shared" ca="1" si="19"/>
        <v>1733950</v>
      </c>
      <c r="I31" s="84">
        <f t="shared" ca="1" si="20"/>
        <v>606060</v>
      </c>
      <c r="J31" s="84">
        <f t="shared" ca="1" si="0"/>
        <v>1285520</v>
      </c>
      <c r="K31" s="84">
        <v>0</v>
      </c>
      <c r="L31" s="84">
        <f t="shared" ca="1" si="21"/>
        <v>1891580</v>
      </c>
      <c r="M31" s="4">
        <f t="shared" si="22"/>
        <v>7</v>
      </c>
      <c r="N31" s="4">
        <f ca="1">IF(M1=1,IF(M14&gt;6,1,0),IF(M1=2,IF(M14&gt;6,1,0),0))</f>
        <v>1</v>
      </c>
      <c r="O31" s="4">
        <f t="shared" ca="1" si="1"/>
        <v>20</v>
      </c>
      <c r="P31" s="22">
        <f t="shared" ca="1" si="2"/>
        <v>1178390</v>
      </c>
      <c r="Q31" s="22">
        <f t="shared" ca="1" si="3"/>
        <v>1178390</v>
      </c>
      <c r="R31" s="22">
        <f t="shared" ca="1" si="23"/>
        <v>16666640</v>
      </c>
      <c r="S31" s="22">
        <f t="shared" ca="1" si="24"/>
        <v>555560</v>
      </c>
      <c r="T31" s="22">
        <f t="shared" ca="1" si="25"/>
        <v>555560</v>
      </c>
      <c r="U31" s="22">
        <f ca="1">IF(N32=1,R30*D$11*20/36000+R31*D$11*10/36000,IF(N32=0,IF(N31=0,0,IF(D$16&gt;20,R30*D$11*20/36000+R31*D$11*(Q$12-20)/36000,R31*D$11*Q$12/36000))))</f>
        <v>1178393.4222222222</v>
      </c>
      <c r="V31" s="22">
        <f ca="1">IF(N32=1,R30*D$11*20/36000+R31*D$11*10/36000,IF(N32=0,IF(N31=0,0,IF(D$16&gt;20,R30*D$11*20/36000+R31*D$11*(Q$12-20)/36000,R31*D$11*Q$12/36000))))</f>
        <v>1178393.4222222222</v>
      </c>
      <c r="W31" s="22">
        <f t="shared" ca="1" si="26"/>
        <v>1383333.3333333335</v>
      </c>
      <c r="X31" s="22">
        <f t="shared" ca="1" si="27"/>
        <v>1383330</v>
      </c>
      <c r="Y31" s="22">
        <f t="shared" ca="1" si="4"/>
        <v>18181820</v>
      </c>
      <c r="Z31" s="22">
        <f ca="1">IF(N32=1,Y30*D$11*20/36000+Y31*D$11*10/36000,IF(N32=0,IF(N31=0,0,IF(D$16&gt;20,Y30*D$11*20/36000+Y31*D$11*(Q$12-20)/36000,Y31*D$11*Q$12/36000))))</f>
        <v>1285521.9833333334</v>
      </c>
      <c r="AA31" s="22">
        <f t="shared" ca="1" si="5"/>
        <v>1285520</v>
      </c>
      <c r="AB31" s="22">
        <f ca="1">IF(R32=0,R31*Q12,(R30*20+R31*10))</f>
        <v>511110400</v>
      </c>
      <c r="AC31" s="22">
        <f t="shared" ca="1" si="6"/>
        <v>0</v>
      </c>
      <c r="AD31" s="22">
        <f t="shared" ca="1" si="7"/>
        <v>0</v>
      </c>
      <c r="AE31" s="22">
        <f t="shared" ca="1" si="28"/>
        <v>0</v>
      </c>
      <c r="AF31" s="22">
        <f t="shared" ca="1" si="8"/>
        <v>0</v>
      </c>
      <c r="AG31" s="22">
        <f t="shared" ca="1" si="29"/>
        <v>0</v>
      </c>
      <c r="AH31" s="22">
        <f t="shared" ca="1" si="9"/>
        <v>0</v>
      </c>
      <c r="AI31" s="22">
        <f t="shared" ca="1" si="10"/>
        <v>16666640</v>
      </c>
      <c r="AJ31" s="22">
        <f ca="1">IF(N32=1,AI30*G$12*20/36000+AI31*G$12*10/36000,IF(N32=0,IF(N31=0,0,AI31*G$12*Q$12/36000)))</f>
        <v>0</v>
      </c>
      <c r="AK31" s="22">
        <f ca="1">IF(N32=1,AI30*G$12*20/36000+AI31*G$12*10/36000,IF(N32=0,IF(N31=0,0,AI31*G$12*Q$12/36000)))</f>
        <v>0</v>
      </c>
      <c r="AL31" s="69">
        <f t="shared" ca="1" si="30"/>
        <v>8</v>
      </c>
      <c r="AM31" s="69">
        <f t="shared" ca="1" si="11"/>
        <v>8</v>
      </c>
      <c r="AN31" s="4">
        <f t="shared" ca="1" si="31"/>
        <v>2024</v>
      </c>
      <c r="AO31" s="4">
        <f t="shared" ca="1" si="12"/>
        <v>2024</v>
      </c>
      <c r="AP31" s="4">
        <f t="shared" ca="1" si="13"/>
        <v>1</v>
      </c>
      <c r="AQ31" s="4">
        <f t="shared" ca="1" si="14"/>
        <v>30</v>
      </c>
      <c r="AR31" s="4">
        <f t="shared" si="15"/>
        <v>20</v>
      </c>
      <c r="AS31" s="4">
        <f t="shared" ca="1" si="32"/>
        <v>30</v>
      </c>
      <c r="AT31" s="19"/>
      <c r="AU31" s="19"/>
      <c r="AV31" s="19"/>
      <c r="AW31" s="19"/>
      <c r="AX31" s="19"/>
      <c r="AY31" s="4">
        <f t="shared" ca="1" si="16"/>
        <v>1</v>
      </c>
      <c r="AZ31" s="19"/>
      <c r="BC31" s="19"/>
      <c r="BD31" s="19"/>
      <c r="BE31" s="19"/>
      <c r="BF31" s="19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</row>
    <row r="32" spans="1:141" s="24" customFormat="1" ht="15" customHeight="1">
      <c r="A32" s="4">
        <f t="shared" si="17"/>
        <v>8</v>
      </c>
      <c r="B32" s="268">
        <f t="shared" ca="1" si="18"/>
        <v>45555</v>
      </c>
      <c r="C32" s="401"/>
      <c r="D32" s="443">
        <f ca="1">IF(N32=0,IF(N31=1,D25+D26+D27+D28+D29+D30+D31," "),IF(N32=0," ",IF(N33=1,D25,IF(N33=0,D10-D25*(M14-1)," "))))</f>
        <v>555560</v>
      </c>
      <c r="E32" s="443"/>
      <c r="F32" s="84">
        <f ca="1">IF(N32=0,IF(N31=1,F25+F26+F27+F28+F29+F30+F31," "),IF(M1=1,P32,IF(M1=2,Q32," ")))</f>
        <v>1139970</v>
      </c>
      <c r="G32" s="84">
        <v>0</v>
      </c>
      <c r="H32" s="84">
        <f t="shared" ca="1" si="19"/>
        <v>1695530</v>
      </c>
      <c r="I32" s="84">
        <f t="shared" ca="1" si="20"/>
        <v>606060</v>
      </c>
      <c r="J32" s="84">
        <f t="shared" ca="1" si="0"/>
        <v>1243600</v>
      </c>
      <c r="K32" s="84">
        <v>0</v>
      </c>
      <c r="L32" s="84">
        <f t="shared" ca="1" si="21"/>
        <v>1849660</v>
      </c>
      <c r="M32" s="4">
        <f t="shared" si="22"/>
        <v>8</v>
      </c>
      <c r="N32" s="4">
        <f ca="1">IF(M1=1,IF(M14&gt;7,1,0),IF(M1=2,IF(M14&gt;7,1,0),0))</f>
        <v>1</v>
      </c>
      <c r="O32" s="4">
        <f t="shared" ca="1" si="1"/>
        <v>20</v>
      </c>
      <c r="P32" s="22">
        <f t="shared" ca="1" si="2"/>
        <v>1139970</v>
      </c>
      <c r="Q32" s="22">
        <f t="shared" ca="1" si="3"/>
        <v>1139970</v>
      </c>
      <c r="R32" s="22">
        <f t="shared" ca="1" si="23"/>
        <v>16111080</v>
      </c>
      <c r="S32" s="22">
        <f t="shared" ca="1" si="24"/>
        <v>555560</v>
      </c>
      <c r="T32" s="22">
        <f t="shared" ca="1" si="25"/>
        <v>555560</v>
      </c>
      <c r="U32" s="22">
        <f ca="1">IF(N33=1,R31*D11*20/36000+R32*D11*10/36000,IF(N33=0,IF(N32=0,0,R32*D11*Q12/36000+R31*D11*20/36000+R32*D11*10/36000)))</f>
        <v>1139967.1888888888</v>
      </c>
      <c r="V32" s="22">
        <f ca="1">IF(N33=1,R31*D11*20/36000+R32*D11*10/36000,IF(N33=0,IF(N32=0,0,R32*D11*Q12/36000+R31*D11*20/36000+R32*D11*10/36000)))</f>
        <v>1139967.1888888888</v>
      </c>
      <c r="W32" s="22">
        <f t="shared" ca="1" si="26"/>
        <v>1383333.3333333335</v>
      </c>
      <c r="X32" s="22">
        <f t="shared" ca="1" si="27"/>
        <v>1383330</v>
      </c>
      <c r="Y32" s="22">
        <f t="shared" ca="1" si="4"/>
        <v>17575760</v>
      </c>
      <c r="Z32" s="22">
        <f ca="1">IF(N33=1,Y31*D$11*20/36000+Y32*D$11*10/36000,IF(N33=0,IF(N32=0,0,Y32*D$11*Q$12/36000+Y31*D$11*20/36000+Y32*D$11*10/36000)))</f>
        <v>1243602.8333333333</v>
      </c>
      <c r="AA32" s="22">
        <f t="shared" ca="1" si="5"/>
        <v>1243600</v>
      </c>
      <c r="AB32" s="22">
        <f ca="1">IF(R33=0,R32*Q12,(R31*20+R32*10))</f>
        <v>494443600</v>
      </c>
      <c r="AC32" s="22">
        <f t="shared" ca="1" si="6"/>
        <v>0</v>
      </c>
      <c r="AD32" s="22">
        <f t="shared" ca="1" si="7"/>
        <v>0</v>
      </c>
      <c r="AE32" s="22">
        <f t="shared" ca="1" si="28"/>
        <v>0</v>
      </c>
      <c r="AF32" s="22">
        <f t="shared" ca="1" si="8"/>
        <v>0</v>
      </c>
      <c r="AG32" s="22">
        <f t="shared" ca="1" si="29"/>
        <v>0</v>
      </c>
      <c r="AH32" s="22">
        <f t="shared" ca="1" si="9"/>
        <v>0</v>
      </c>
      <c r="AI32" s="22">
        <f t="shared" ca="1" si="10"/>
        <v>16111080</v>
      </c>
      <c r="AJ32" s="22">
        <f ca="1">IF(N33=1,AI31*G12*20/36000+AI32*G12*10/36000,IF(N33=0,IF(N32=0,0,AI32*G12*Q12/36000+AI31*G12*20/36000+AI32*G12*10/36000)))</f>
        <v>0</v>
      </c>
      <c r="AK32" s="22">
        <f ca="1">IF(N33=1,AI31*G12*20/36000+AI32*G12*10/36000,IF(N33=0,IF(N32=0,0,AI32*G12*Q12/36000+AI31*G12*20/36000+AI32*G12*10/36000)))</f>
        <v>0</v>
      </c>
      <c r="AL32" s="69">
        <f t="shared" ca="1" si="30"/>
        <v>9</v>
      </c>
      <c r="AM32" s="69">
        <f t="shared" ca="1" si="11"/>
        <v>9</v>
      </c>
      <c r="AN32" s="4">
        <f t="shared" ca="1" si="31"/>
        <v>2024</v>
      </c>
      <c r="AO32" s="4">
        <f t="shared" ca="1" si="12"/>
        <v>2024</v>
      </c>
      <c r="AP32" s="4">
        <f t="shared" ca="1" si="13"/>
        <v>1</v>
      </c>
      <c r="AQ32" s="4">
        <f t="shared" ca="1" si="14"/>
        <v>30</v>
      </c>
      <c r="AR32" s="4">
        <f t="shared" si="15"/>
        <v>20</v>
      </c>
      <c r="AS32" s="4">
        <f t="shared" ca="1" si="32"/>
        <v>30</v>
      </c>
      <c r="AT32" s="19"/>
      <c r="AU32" s="19"/>
      <c r="AV32" s="19"/>
      <c r="AW32" s="19"/>
      <c r="AX32" s="19"/>
      <c r="AY32" s="4">
        <f t="shared" ca="1" si="16"/>
        <v>1</v>
      </c>
      <c r="AZ32" s="19"/>
      <c r="BC32" s="19"/>
      <c r="BD32" s="19"/>
      <c r="BE32" s="19"/>
      <c r="BF32" s="19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</row>
    <row r="33" spans="1:141" s="24" customFormat="1" ht="15" customHeight="1">
      <c r="A33" s="4">
        <f t="shared" si="17"/>
        <v>9</v>
      </c>
      <c r="B33" s="268">
        <f t="shared" ca="1" si="18"/>
        <v>45585</v>
      </c>
      <c r="C33" s="401"/>
      <c r="D33" s="443">
        <f ca="1">IF(N33=0,IF(N32=1,D25+D26+D27+D28+D29+D30+D31+D32," "),IF(N33=0," ",IF(N34=1,D25,IF(N34=0,D10-D25*(M14-1)," "))))</f>
        <v>555560</v>
      </c>
      <c r="E33" s="443"/>
      <c r="F33" s="84">
        <f ca="1">IF(N33=0,IF(N32=1,F25+F26+F27+F28+F29+F30+F31+F32," "),IF(M1=1,P33,IF(M1=2,Q33," ")))</f>
        <v>1101540</v>
      </c>
      <c r="G33" s="84">
        <v>0</v>
      </c>
      <c r="H33" s="84">
        <f t="shared" ca="1" si="19"/>
        <v>1657100</v>
      </c>
      <c r="I33" s="84">
        <f t="shared" ca="1" si="20"/>
        <v>606060</v>
      </c>
      <c r="J33" s="84">
        <f t="shared" ca="1" si="0"/>
        <v>1201680</v>
      </c>
      <c r="K33" s="84">
        <v>0</v>
      </c>
      <c r="L33" s="84">
        <f t="shared" ca="1" si="21"/>
        <v>1807740</v>
      </c>
      <c r="M33" s="4">
        <f t="shared" si="22"/>
        <v>9</v>
      </c>
      <c r="N33" s="4">
        <f ca="1">IF(M1=1,IF(M14&gt;8,1,0),IF(M1=2,IF(M14&gt;8,1,0),0))</f>
        <v>1</v>
      </c>
      <c r="O33" s="4">
        <f t="shared" ca="1" si="1"/>
        <v>20</v>
      </c>
      <c r="P33" s="22">
        <f t="shared" ca="1" si="2"/>
        <v>1101540</v>
      </c>
      <c r="Q33" s="22">
        <f t="shared" ca="1" si="3"/>
        <v>1101540</v>
      </c>
      <c r="R33" s="22">
        <f t="shared" ca="1" si="23"/>
        <v>15555520</v>
      </c>
      <c r="S33" s="22">
        <f t="shared" ca="1" si="24"/>
        <v>555560</v>
      </c>
      <c r="T33" s="22">
        <f t="shared" ca="1" si="25"/>
        <v>555560</v>
      </c>
      <c r="U33" s="22">
        <f ca="1">IF(N34=1,R32*D11*20/36000+R33*D11*10/36000,IF(N34=0,IF(N33=0,0,R33*D11*Q12/36000+R32*D11*20/36000+R33*D11*10/36000)))</f>
        <v>1101540.9555555556</v>
      </c>
      <c r="V33" s="22">
        <f ca="1">IF(N34=1,R32*D11*20/36000+R33*D11*10/36000,IF(N34=0,IF(N33=0,0,R33*D11*Q12/36000+R32*D11*20/36000+R33*D11*10/36000)))</f>
        <v>1101540.9555555556</v>
      </c>
      <c r="W33" s="22">
        <f t="shared" ca="1" si="26"/>
        <v>1383333.3333333335</v>
      </c>
      <c r="X33" s="22">
        <f t="shared" ca="1" si="27"/>
        <v>1383330</v>
      </c>
      <c r="Y33" s="22">
        <f t="shared" ca="1" si="4"/>
        <v>16969700</v>
      </c>
      <c r="Z33" s="22">
        <f ca="1">IF(N34=1,Y32*D$11*20/36000+Y33*D$11*10/36000,IF(N34=0,IF(N33=0,0,Y33*D$11*Q$12/36000+Y32*D$11*20/36000+Y33*D$11*10/36000)))</f>
        <v>1201683.6833333333</v>
      </c>
      <c r="AA33" s="22">
        <f t="shared" ca="1" si="5"/>
        <v>1201680</v>
      </c>
      <c r="AB33" s="22">
        <f ca="1">IF(R34=0,R33*Q12,(R32*20+R33*10))</f>
        <v>477776800</v>
      </c>
      <c r="AC33" s="22">
        <f t="shared" ca="1" si="6"/>
        <v>0</v>
      </c>
      <c r="AD33" s="22">
        <f t="shared" ca="1" si="7"/>
        <v>0</v>
      </c>
      <c r="AE33" s="22">
        <f t="shared" ca="1" si="28"/>
        <v>0</v>
      </c>
      <c r="AF33" s="22">
        <f t="shared" ca="1" si="8"/>
        <v>0</v>
      </c>
      <c r="AG33" s="22">
        <f t="shared" ca="1" si="29"/>
        <v>0</v>
      </c>
      <c r="AH33" s="22">
        <f t="shared" ca="1" si="9"/>
        <v>0</v>
      </c>
      <c r="AI33" s="22">
        <f t="shared" ca="1" si="10"/>
        <v>15555520</v>
      </c>
      <c r="AJ33" s="22">
        <f ca="1">IF(N34=1,AI32*G12*20/36000+AI33*G12*10/36000,IF(N34=0,IF(N33=0,0,AI33*G12*Q12/36000+AI32*G12*20/36000+AI33*G12*10/36000)))</f>
        <v>0</v>
      </c>
      <c r="AK33" s="22">
        <f ca="1">IF(N34=1,AI32*G12*20/36000+AI33*G12*10/36000,IF(N34=0,IF(N33=0,0,AI33*G12*Q12/36000+AI32*G12*20/36000+AI33*G12*10/36000)))</f>
        <v>0</v>
      </c>
      <c r="AL33" s="69">
        <f t="shared" ca="1" si="30"/>
        <v>10</v>
      </c>
      <c r="AM33" s="69">
        <f t="shared" ca="1" si="11"/>
        <v>10</v>
      </c>
      <c r="AN33" s="4">
        <f t="shared" ca="1" si="31"/>
        <v>2024</v>
      </c>
      <c r="AO33" s="4">
        <f t="shared" ca="1" si="12"/>
        <v>2024</v>
      </c>
      <c r="AP33" s="4">
        <f t="shared" ca="1" si="13"/>
        <v>1</v>
      </c>
      <c r="AQ33" s="4">
        <f t="shared" ca="1" si="14"/>
        <v>30</v>
      </c>
      <c r="AR33" s="4">
        <f t="shared" si="15"/>
        <v>20</v>
      </c>
      <c r="AS33" s="4">
        <f t="shared" ca="1" si="32"/>
        <v>30</v>
      </c>
      <c r="AT33" s="19"/>
      <c r="AU33" s="19"/>
      <c r="AV33" s="19"/>
      <c r="AW33" s="19"/>
      <c r="AX33" s="19"/>
      <c r="AY33" s="4">
        <f t="shared" ca="1" si="16"/>
        <v>1</v>
      </c>
      <c r="AZ33" s="19"/>
      <c r="BC33" s="19"/>
      <c r="BD33" s="19"/>
      <c r="BE33" s="19"/>
      <c r="BF33" s="19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</row>
    <row r="34" spans="1:141" s="24" customFormat="1" ht="15" customHeight="1">
      <c r="A34" s="4">
        <f t="shared" si="17"/>
        <v>10</v>
      </c>
      <c r="B34" s="268">
        <f t="shared" ca="1" si="18"/>
        <v>45616</v>
      </c>
      <c r="C34" s="401"/>
      <c r="D34" s="443">
        <f ca="1">IF(N34=0,IF(N33=1,D25+D26+D27+D28+D29+D30+D31+D32+D33," "),IF(N34=0," ",IF(N35=1,D25,IF(N35=0,D10-D25*(M14-1)," "))))</f>
        <v>555560</v>
      </c>
      <c r="E34" s="443"/>
      <c r="F34" s="84">
        <f ca="1">IF(N34=0,IF(N33=1,F25+F26+F27+F28+F29+F30+F31+F32+F33," "),IF(M1=1,P34,IF(M1=2,Q34," ")))</f>
        <v>1063110</v>
      </c>
      <c r="G34" s="84">
        <v>0</v>
      </c>
      <c r="H34" s="84">
        <f t="shared" ca="1" si="19"/>
        <v>1618670</v>
      </c>
      <c r="I34" s="84">
        <f t="shared" ca="1" si="20"/>
        <v>606060</v>
      </c>
      <c r="J34" s="84">
        <f t="shared" ca="1" si="0"/>
        <v>1159760</v>
      </c>
      <c r="K34" s="84">
        <v>0</v>
      </c>
      <c r="L34" s="84">
        <f t="shared" ca="1" si="21"/>
        <v>1765820</v>
      </c>
      <c r="M34" s="4">
        <f t="shared" si="22"/>
        <v>10</v>
      </c>
      <c r="N34" s="4">
        <f ca="1">IF(M1=1,IF(M14&gt;9,1,0),IF(M1=2,IF(M14&gt;9,1,0),0))</f>
        <v>1</v>
      </c>
      <c r="O34" s="4">
        <f t="shared" ca="1" si="1"/>
        <v>20</v>
      </c>
      <c r="P34" s="22">
        <f t="shared" ca="1" si="2"/>
        <v>1063110</v>
      </c>
      <c r="Q34" s="22">
        <f t="shared" ca="1" si="3"/>
        <v>1063110</v>
      </c>
      <c r="R34" s="22">
        <f t="shared" ca="1" si="23"/>
        <v>14999960</v>
      </c>
      <c r="S34" s="22">
        <f t="shared" ca="1" si="24"/>
        <v>555560</v>
      </c>
      <c r="T34" s="22">
        <f t="shared" ca="1" si="25"/>
        <v>555560</v>
      </c>
      <c r="U34" s="22">
        <f ca="1">IF(N35=1,R33*D11*20/36000+R34*D11*10/36000,IF(N35=0,IF(N34=0,0,R34*D11*Q12/36000+29*D11*20/36000+R34*D11*10/36000)))</f>
        <v>1063114.7222222222</v>
      </c>
      <c r="V34" s="22">
        <f ca="1">IF(N35=1,R33*D11*20/36000+R34*D11*10/36000,IF(N35=0,IF(N34=0,0,R34*D11*Q12/36000+29*D11*20/36000+R34*D11*10/36000)))</f>
        <v>1063114.7222222222</v>
      </c>
      <c r="W34" s="22">
        <f t="shared" ca="1" si="26"/>
        <v>1383333.3333333335</v>
      </c>
      <c r="X34" s="22">
        <f t="shared" ca="1" si="27"/>
        <v>1383330</v>
      </c>
      <c r="Y34" s="22">
        <f t="shared" ca="1" si="4"/>
        <v>16363640</v>
      </c>
      <c r="Z34" s="22">
        <f ca="1">IF(N35=1,Y33*D$11*20/36000+Y34*D$11*10/36000,IF(N35=0,IF(N34=0,0,Y34*D$11*Q$12/36000+Y33*D$11*20/36000+Y34*D$11*10/36000)))</f>
        <v>1159764.5333333334</v>
      </c>
      <c r="AA34" s="22">
        <f t="shared" ca="1" si="5"/>
        <v>1159760</v>
      </c>
      <c r="AB34" s="22">
        <f ca="1">IF(R35=0,R34*Q12,(R33*20+R34*10))</f>
        <v>461110000</v>
      </c>
      <c r="AC34" s="22">
        <f t="shared" ca="1" si="6"/>
        <v>0</v>
      </c>
      <c r="AD34" s="22">
        <f t="shared" ca="1" si="7"/>
        <v>0</v>
      </c>
      <c r="AE34" s="22">
        <f t="shared" ca="1" si="28"/>
        <v>0</v>
      </c>
      <c r="AF34" s="22">
        <f t="shared" ca="1" si="8"/>
        <v>0</v>
      </c>
      <c r="AG34" s="22">
        <f t="shared" ca="1" si="29"/>
        <v>0</v>
      </c>
      <c r="AH34" s="22">
        <f t="shared" ca="1" si="9"/>
        <v>0</v>
      </c>
      <c r="AI34" s="22">
        <f t="shared" ca="1" si="10"/>
        <v>14999960</v>
      </c>
      <c r="AJ34" s="22">
        <f ca="1">IF(N35=1,AI33*G12*20/36000+AI34*G12*10/36000,IF(N35=0,IF(N34=0,0,AI34*G12*Q12/36000+29*G12*20/36000+AI34*G12*10/36000)))</f>
        <v>0</v>
      </c>
      <c r="AK34" s="22">
        <f ca="1">IF(N35=1,AI33*G12*20/36000+AI34*G12*10/36000,IF(N35=0,IF(N34=0,0,AI34*G12*Q12/36000+29*G12*20/36000+AI34*G12*10/36000)))</f>
        <v>0</v>
      </c>
      <c r="AL34" s="69">
        <f t="shared" ca="1" si="30"/>
        <v>11</v>
      </c>
      <c r="AM34" s="69">
        <f t="shared" ca="1" si="11"/>
        <v>11</v>
      </c>
      <c r="AN34" s="4">
        <f t="shared" ca="1" si="31"/>
        <v>2024</v>
      </c>
      <c r="AO34" s="4">
        <f t="shared" ca="1" si="12"/>
        <v>2024</v>
      </c>
      <c r="AP34" s="4">
        <f t="shared" ca="1" si="13"/>
        <v>1</v>
      </c>
      <c r="AQ34" s="4">
        <f t="shared" ca="1" si="14"/>
        <v>30</v>
      </c>
      <c r="AR34" s="4">
        <f t="shared" si="15"/>
        <v>20</v>
      </c>
      <c r="AS34" s="4">
        <f t="shared" ca="1" si="32"/>
        <v>30</v>
      </c>
      <c r="AT34" s="19"/>
      <c r="AU34" s="19"/>
      <c r="AV34" s="19"/>
      <c r="AW34" s="19"/>
      <c r="AX34" s="19"/>
      <c r="AY34" s="4">
        <f t="shared" ca="1" si="16"/>
        <v>1</v>
      </c>
      <c r="AZ34" s="19"/>
      <c r="BC34" s="19"/>
      <c r="BD34" s="19"/>
      <c r="BE34" s="19"/>
      <c r="BF34" s="19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</row>
    <row r="35" spans="1:141" s="24" customFormat="1" ht="15" customHeight="1">
      <c r="A35" s="4">
        <f t="shared" si="17"/>
        <v>11</v>
      </c>
      <c r="B35" s="268">
        <f t="shared" ca="1" si="18"/>
        <v>45646</v>
      </c>
      <c r="C35" s="401"/>
      <c r="D35" s="443">
        <f ca="1">IF(N35=0,IF(N34=1,D25+D26+D27+D28+D29+D30+D31+D32+D33+D34," "),IF(N35=0," ",IF(N36=1,D25,IF(N36=0,D10-D25*(M14-1)," "))))</f>
        <v>555560</v>
      </c>
      <c r="E35" s="443"/>
      <c r="F35" s="84">
        <f ca="1">IF(N35=0,IF(N34=1,F25+F26+F27+F28+F29+F30+F31+F32+F33+F34," "),IF(M1=1,P35,IF(M1=2,Q35," ")))</f>
        <v>1024690</v>
      </c>
      <c r="G35" s="84">
        <v>0</v>
      </c>
      <c r="H35" s="84">
        <f t="shared" ca="1" si="19"/>
        <v>1580250</v>
      </c>
      <c r="I35" s="84">
        <f t="shared" ca="1" si="20"/>
        <v>606060</v>
      </c>
      <c r="J35" s="84">
        <f t="shared" ca="1" si="0"/>
        <v>1117840</v>
      </c>
      <c r="K35" s="84">
        <v>0</v>
      </c>
      <c r="L35" s="84">
        <f t="shared" ca="1" si="21"/>
        <v>1723900</v>
      </c>
      <c r="M35" s="4">
        <f t="shared" si="22"/>
        <v>11</v>
      </c>
      <c r="N35" s="4">
        <f ca="1">IF(M1=1,IF(M14&gt;10,1,0),IF(M1=2,IF(M14&gt;10,1,0),0))</f>
        <v>1</v>
      </c>
      <c r="O35" s="4">
        <f t="shared" ca="1" si="1"/>
        <v>20</v>
      </c>
      <c r="P35" s="22">
        <f t="shared" ca="1" si="2"/>
        <v>1024690</v>
      </c>
      <c r="Q35" s="22">
        <f t="shared" ca="1" si="3"/>
        <v>1024690</v>
      </c>
      <c r="R35" s="22">
        <f t="shared" ca="1" si="23"/>
        <v>14444400</v>
      </c>
      <c r="S35" s="22">
        <f t="shared" ca="1" si="24"/>
        <v>555560</v>
      </c>
      <c r="T35" s="22">
        <f t="shared" ca="1" si="25"/>
        <v>555560</v>
      </c>
      <c r="U35" s="22">
        <f ca="1">IF(N36=1,R34*D11*20/36000+R35*D11*10/36000,IF(N36=0,IF(N35=0,0,R35*D11*Q12/36000+R34*D11*20/36000+R35*D11*10/36000)))</f>
        <v>1024688.4888888889</v>
      </c>
      <c r="V35" s="22">
        <f ca="1">IF(N36=1,R34*D11*20/36000+R35*D11*10/36000,IF(N36=0,IF(N35=0,0,R35*D11*Q12/36000+R34*D11*20/36000+R35*D11*10/36000)))</f>
        <v>1024688.4888888889</v>
      </c>
      <c r="W35" s="22">
        <f t="shared" ca="1" si="26"/>
        <v>1383333.3333333335</v>
      </c>
      <c r="X35" s="22">
        <f t="shared" ca="1" si="27"/>
        <v>1383330</v>
      </c>
      <c r="Y35" s="22">
        <f t="shared" ca="1" si="4"/>
        <v>15757580</v>
      </c>
      <c r="Z35" s="22">
        <f ca="1">IF(N36=1,Y34*D$11*20/36000+Y35*D$11*10/36000,IF(N36=0,IF(N35=0,0,Y35*D$11*Q$12/36000+Y34*D$11*20/36000+Y35*D$11*10/36000)))</f>
        <v>1117845.3833333333</v>
      </c>
      <c r="AA35" s="22">
        <f t="shared" ca="1" si="5"/>
        <v>1117840</v>
      </c>
      <c r="AB35" s="22">
        <f ca="1">IF(R36=0,R35*Q12,(R34*20+R35*10))</f>
        <v>444443200</v>
      </c>
      <c r="AC35" s="22">
        <f t="shared" ca="1" si="6"/>
        <v>0</v>
      </c>
      <c r="AD35" s="22">
        <f t="shared" ca="1" si="7"/>
        <v>0</v>
      </c>
      <c r="AE35" s="22">
        <f t="shared" ca="1" si="28"/>
        <v>0</v>
      </c>
      <c r="AF35" s="22">
        <f t="shared" ca="1" si="8"/>
        <v>0</v>
      </c>
      <c r="AG35" s="22">
        <f t="shared" ca="1" si="29"/>
        <v>0</v>
      </c>
      <c r="AH35" s="22">
        <f t="shared" ca="1" si="9"/>
        <v>0</v>
      </c>
      <c r="AI35" s="22">
        <f t="shared" ca="1" si="10"/>
        <v>14444400</v>
      </c>
      <c r="AJ35" s="22">
        <f ca="1">IF(N36=1,AI34*G12*20/36000+AI35*G12*10/36000,IF(N36=0,IF(N35=0,0,AI35*G12*Q12/36000+AI34*G12*20/36000+AI35*G12*10/36000)))</f>
        <v>0</v>
      </c>
      <c r="AK35" s="22">
        <f ca="1">IF(N36=1,AI34*G12*20/36000+AI35*G12*10/36000,IF(N36=0,IF(N35=0,0,AI35*G12*Q12/36000+AI34*G12*20/36000+AI35*G12*10/36000)))</f>
        <v>0</v>
      </c>
      <c r="AL35" s="69">
        <f t="shared" ca="1" si="30"/>
        <v>12</v>
      </c>
      <c r="AM35" s="69">
        <f t="shared" ca="1" si="11"/>
        <v>12</v>
      </c>
      <c r="AN35" s="4">
        <f t="shared" ca="1" si="31"/>
        <v>2024</v>
      </c>
      <c r="AO35" s="4">
        <f t="shared" ca="1" si="12"/>
        <v>2024</v>
      </c>
      <c r="AP35" s="4">
        <f t="shared" ca="1" si="13"/>
        <v>1</v>
      </c>
      <c r="AQ35" s="4">
        <f t="shared" ca="1" si="14"/>
        <v>30</v>
      </c>
      <c r="AR35" s="4">
        <f t="shared" si="15"/>
        <v>20</v>
      </c>
      <c r="AS35" s="4">
        <f t="shared" ca="1" si="32"/>
        <v>30</v>
      </c>
      <c r="AT35" s="19"/>
      <c r="AU35" s="19"/>
      <c r="AV35" s="19"/>
      <c r="AW35" s="19"/>
      <c r="AX35" s="19"/>
      <c r="AY35" s="4">
        <f t="shared" ca="1" si="16"/>
        <v>1</v>
      </c>
      <c r="AZ35" s="19"/>
      <c r="BC35" s="19"/>
      <c r="BD35" s="19"/>
      <c r="BE35" s="19"/>
      <c r="BF35" s="19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</row>
    <row r="36" spans="1:141" s="24" customFormat="1" ht="15" customHeight="1">
      <c r="A36" s="4">
        <f t="shared" si="17"/>
        <v>12</v>
      </c>
      <c r="B36" s="268">
        <f t="shared" ca="1" si="18"/>
        <v>45677</v>
      </c>
      <c r="C36" s="401"/>
      <c r="D36" s="443">
        <f ca="1">IF(N36=0,IF(N35=1,D25+D26+D27+D28+D29+D30+D31+D32+D33+D34+D35," "),IF(N36=0," ",IF(N37=1,D25,IF(N37=0,D10-D25*(M14-1)," "))))</f>
        <v>555560</v>
      </c>
      <c r="E36" s="443"/>
      <c r="F36" s="84">
        <f ca="1">IF(N36=0,IF(N35=1,F25+F26+F27+F28+F29+F30+F31+F32+F33+F34+F35," "),IF(M1=1,P36,IF(M1=2,Q36," ")))</f>
        <v>986260</v>
      </c>
      <c r="G36" s="84">
        <v>0</v>
      </c>
      <c r="H36" s="84">
        <f t="shared" ca="1" si="19"/>
        <v>1541820</v>
      </c>
      <c r="I36" s="84">
        <f t="shared" ca="1" si="20"/>
        <v>606060</v>
      </c>
      <c r="J36" s="84">
        <f t="shared" ca="1" si="0"/>
        <v>1075930</v>
      </c>
      <c r="K36" s="84">
        <v>0</v>
      </c>
      <c r="L36" s="84">
        <f t="shared" ca="1" si="21"/>
        <v>1681990</v>
      </c>
      <c r="M36" s="4">
        <f t="shared" si="22"/>
        <v>12</v>
      </c>
      <c r="N36" s="4">
        <f ca="1">IF(M1=1,IF(M14&gt;11,1,0),IF(M1=2,IF(M14&gt;11,1,0),0))</f>
        <v>1</v>
      </c>
      <c r="O36" s="4">
        <f t="shared" ca="1" si="1"/>
        <v>20</v>
      </c>
      <c r="P36" s="22">
        <f t="shared" ca="1" si="2"/>
        <v>986260</v>
      </c>
      <c r="Q36" s="22">
        <f t="shared" ca="1" si="3"/>
        <v>986260</v>
      </c>
      <c r="R36" s="22">
        <f t="shared" ca="1" si="23"/>
        <v>13888840</v>
      </c>
      <c r="S36" s="22">
        <f t="shared" ca="1" si="24"/>
        <v>555560</v>
      </c>
      <c r="T36" s="22">
        <f t="shared" ca="1" si="25"/>
        <v>555560</v>
      </c>
      <c r="U36" s="22">
        <f ca="1">IF(N37=1,R35*D11*20/36000+R36*D11*10/36000,IF(N37=0,IF(N36=0,0,R36*D11*Q12/36000+R35*D11*20/36000+R36*D11*10/36000)))</f>
        <v>986262.25555555557</v>
      </c>
      <c r="V36" s="22">
        <f ca="1">IF(N37=1,R35*D11*20/36000+R36*D11*10/36000,IF(N37=0,IF(N36=0,0,R36*D11*Q12/36000+R35*D11*20/36000+R36*D11*10/36000)))</f>
        <v>986262.25555555557</v>
      </c>
      <c r="W36" s="22">
        <f t="shared" ca="1" si="26"/>
        <v>1383333.3333333335</v>
      </c>
      <c r="X36" s="22">
        <f t="shared" ca="1" si="27"/>
        <v>1383330</v>
      </c>
      <c r="Y36" s="22">
        <f t="shared" ca="1" si="4"/>
        <v>15151520</v>
      </c>
      <c r="Z36" s="22">
        <f ca="1">IF(N37=1,Y35*D$11*20/36000+Y36*D$11*10/36000,IF(N37=0,IF(N36=0,0,Y36*D$11*Q$12/36000+Y35*D$11*20/36000+Y36*D$11*10/36000)))</f>
        <v>1075926.2333333334</v>
      </c>
      <c r="AA36" s="22">
        <f t="shared" ca="1" si="5"/>
        <v>1075930</v>
      </c>
      <c r="AB36" s="22">
        <f ca="1">IF(R37=0,R36*Q12,(R35*20+R36*10))</f>
        <v>427776400</v>
      </c>
      <c r="AC36" s="22">
        <f t="shared" ca="1" si="6"/>
        <v>0</v>
      </c>
      <c r="AD36" s="22">
        <f t="shared" ca="1" si="7"/>
        <v>0</v>
      </c>
      <c r="AE36" s="22">
        <f t="shared" ca="1" si="28"/>
        <v>0</v>
      </c>
      <c r="AF36" s="22">
        <f t="shared" ca="1" si="8"/>
        <v>0</v>
      </c>
      <c r="AG36" s="22">
        <f t="shared" ca="1" si="29"/>
        <v>0</v>
      </c>
      <c r="AH36" s="22">
        <f t="shared" ca="1" si="9"/>
        <v>0</v>
      </c>
      <c r="AI36" s="22">
        <f t="shared" ca="1" si="10"/>
        <v>13888840</v>
      </c>
      <c r="AJ36" s="22">
        <f ca="1">IF(N37=1,AI35*G12*20/36000+AI36*G12*10/36000,IF(N37=0,IF(N36=0,0,AI36*G12*Q12/36000+AI35*G12*20/36000+AI36*G12*10/36000)))</f>
        <v>0</v>
      </c>
      <c r="AK36" s="22">
        <f ca="1">IF(N37=1,AI35*G12*20/36000+AI36*G12*10/36000,IF(N37=0,IF(N36=0,0,AI36*G12*Q12/36000+AI35*G12*20/36000+AI36*G12*10/36000)))</f>
        <v>0</v>
      </c>
      <c r="AL36" s="69">
        <f t="shared" ca="1" si="30"/>
        <v>13</v>
      </c>
      <c r="AM36" s="69">
        <f t="shared" ca="1" si="11"/>
        <v>1</v>
      </c>
      <c r="AN36" s="4">
        <f t="shared" ca="1" si="31"/>
        <v>2024</v>
      </c>
      <c r="AO36" s="4">
        <f t="shared" ca="1" si="12"/>
        <v>2025</v>
      </c>
      <c r="AP36" s="4">
        <f t="shared" ca="1" si="13"/>
        <v>1</v>
      </c>
      <c r="AQ36" s="4">
        <f t="shared" ca="1" si="14"/>
        <v>30</v>
      </c>
      <c r="AR36" s="4">
        <f t="shared" si="15"/>
        <v>20</v>
      </c>
      <c r="AS36" s="4">
        <f t="shared" ca="1" si="32"/>
        <v>30</v>
      </c>
      <c r="AT36" s="19"/>
      <c r="AU36" s="19"/>
      <c r="AV36" s="19"/>
      <c r="AW36" s="19"/>
      <c r="AX36" s="19"/>
      <c r="AY36" s="4">
        <f t="shared" ca="1" si="16"/>
        <v>1</v>
      </c>
      <c r="AZ36" s="19"/>
      <c r="BC36" s="19"/>
      <c r="BD36" s="19"/>
      <c r="BE36" s="19"/>
      <c r="BF36" s="19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</row>
    <row r="37" spans="1:141" s="24" customFormat="1" ht="15" customHeight="1">
      <c r="A37" s="19">
        <f t="shared" si="17"/>
        <v>13</v>
      </c>
      <c r="B37" s="268">
        <f t="shared" ca="1" si="18"/>
        <v>45708</v>
      </c>
      <c r="C37" s="401"/>
      <c r="D37" s="443">
        <f ca="1">IF(N37=0,IF(N36=1,D25+D26+D27+D28+D29+D30+D31+D32+D33+D34+D35+D36," "),IF(N37=0," ",IF(N38=1,D25,IF(N38=0,D10-D25*(M14-1)," "))))</f>
        <v>555560</v>
      </c>
      <c r="E37" s="443"/>
      <c r="F37" s="84">
        <f ca="1">IF(N37=0,IF(N36=1,F25+F26+F27+F28+F29+F30+F31+F32+F33+F34+F35+F36," "),IF(M1=1,P37,IF(M1=2,Q37," ")))</f>
        <v>947840</v>
      </c>
      <c r="G37" s="84">
        <v>0</v>
      </c>
      <c r="H37" s="84">
        <f t="shared" ca="1" si="19"/>
        <v>1503400</v>
      </c>
      <c r="I37" s="84">
        <f t="shared" ca="1" si="20"/>
        <v>606060</v>
      </c>
      <c r="J37" s="84">
        <f t="shared" ca="1" si="0"/>
        <v>1034010</v>
      </c>
      <c r="K37" s="84">
        <v>0</v>
      </c>
      <c r="L37" s="84">
        <f t="shared" ca="1" si="21"/>
        <v>1640070</v>
      </c>
      <c r="M37" s="4">
        <f t="shared" si="22"/>
        <v>13</v>
      </c>
      <c r="N37" s="4">
        <f ca="1">IF(M1=1,IF(M14&gt;12,1,0),IF(M1=2,IF(M14&gt;12,1,0),0))</f>
        <v>1</v>
      </c>
      <c r="O37" s="4">
        <f t="shared" ca="1" si="1"/>
        <v>20</v>
      </c>
      <c r="P37" s="22">
        <f t="shared" ca="1" si="2"/>
        <v>947840</v>
      </c>
      <c r="Q37" s="22">
        <f t="shared" ca="1" si="3"/>
        <v>947840</v>
      </c>
      <c r="R37" s="22">
        <f t="shared" ca="1" si="23"/>
        <v>13333280</v>
      </c>
      <c r="S37" s="22">
        <f t="shared" ca="1" si="24"/>
        <v>555560</v>
      </c>
      <c r="T37" s="22">
        <f t="shared" ca="1" si="25"/>
        <v>555560</v>
      </c>
      <c r="U37" s="22">
        <f ca="1">IF(N38=1,R36*D$11*20/36000+R37*D$11*10/36000,IF(N38=0,IF(N37=0,0,IF(D$16&gt;20,R36*D$11*20/36000+R37*D$11*(Q$12-20)/36000,R37*D$11*Q$12/36000))))</f>
        <v>947836.02222222218</v>
      </c>
      <c r="V37" s="22">
        <f ca="1">IF(N38=1,R36*D$11*20/36000+R37*D$11*10/36000,IF(N38=0,IF(N37=0,0,IF(D$16&gt;20,R36*D$11*20/36000+R37*D$11*(Q$12-20)/36000,R37*D$11*Q$12/36000))))</f>
        <v>947836.02222222218</v>
      </c>
      <c r="W37" s="22">
        <f t="shared" ca="1" si="26"/>
        <v>1383333.3333333335</v>
      </c>
      <c r="X37" s="22">
        <f t="shared" ca="1" si="27"/>
        <v>1383330</v>
      </c>
      <c r="Y37" s="22">
        <f t="shared" ca="1" si="4"/>
        <v>14545460</v>
      </c>
      <c r="Z37" s="22">
        <f ca="1">IF(N38=1,Y36*D$11*20/36000+Y37*D$11*10/36000,IF(N38=0,IF(N37=0,0,IF(D$16&gt;20,Y36*D$11*20/36000+Y37*D$11*(Q$12-20)/36000,Y37*D$11*Q$12/36000))))</f>
        <v>1034007.0833333333</v>
      </c>
      <c r="AA37" s="22">
        <f t="shared" ca="1" si="5"/>
        <v>1034010</v>
      </c>
      <c r="AB37" s="22">
        <f ca="1">IF(R38=0,R37*Q12,(R36*20+R37*10))</f>
        <v>411109600</v>
      </c>
      <c r="AC37" s="22">
        <f t="shared" ca="1" si="6"/>
        <v>0</v>
      </c>
      <c r="AD37" s="22">
        <f t="shared" ca="1" si="7"/>
        <v>0</v>
      </c>
      <c r="AE37" s="22">
        <f t="shared" ca="1" si="28"/>
        <v>0</v>
      </c>
      <c r="AF37" s="22">
        <f t="shared" ca="1" si="8"/>
        <v>0</v>
      </c>
      <c r="AG37" s="22">
        <f t="shared" ca="1" si="29"/>
        <v>0</v>
      </c>
      <c r="AH37" s="22">
        <f t="shared" ca="1" si="9"/>
        <v>0</v>
      </c>
      <c r="AI37" s="22">
        <f t="shared" ca="1" si="10"/>
        <v>13333280</v>
      </c>
      <c r="AJ37" s="22">
        <f ca="1">IF(N38=1,AI36*G12*20/36000+AI37*G12*10/36000,IF(N38=0,IF(N37=0,0,AI37*G12*Q12/36000)))</f>
        <v>0</v>
      </c>
      <c r="AK37" s="22">
        <f ca="1">IF(N38=1,AI36*G12*20/36000+AI37*G12*10/36000,IF(N38=0,IF(N37=0,0,AI37*G12*Q12/36000)))</f>
        <v>0</v>
      </c>
      <c r="AL37" s="69">
        <f t="shared" ca="1" si="30"/>
        <v>2</v>
      </c>
      <c r="AM37" s="69">
        <f t="shared" ca="1" si="11"/>
        <v>2</v>
      </c>
      <c r="AN37" s="4">
        <f t="shared" ca="1" si="31"/>
        <v>2025</v>
      </c>
      <c r="AO37" s="4">
        <f t="shared" ca="1" si="12"/>
        <v>2025</v>
      </c>
      <c r="AP37" s="4">
        <f t="shared" ca="1" si="13"/>
        <v>0</v>
      </c>
      <c r="AQ37" s="4">
        <f t="shared" ca="1" si="14"/>
        <v>28</v>
      </c>
      <c r="AR37" s="4">
        <f t="shared" si="15"/>
        <v>20</v>
      </c>
      <c r="AS37" s="4">
        <f t="shared" ca="1" si="32"/>
        <v>30</v>
      </c>
      <c r="AT37" s="19"/>
      <c r="AU37" s="19"/>
      <c r="AV37" s="19"/>
      <c r="AW37" s="19"/>
      <c r="AX37" s="19"/>
      <c r="AY37" s="4">
        <f t="shared" ca="1" si="16"/>
        <v>1</v>
      </c>
      <c r="AZ37" s="19"/>
      <c r="BC37" s="19"/>
      <c r="BD37" s="19"/>
      <c r="BE37" s="19"/>
      <c r="BF37" s="19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</row>
    <row r="38" spans="1:141" s="24" customFormat="1" ht="15" customHeight="1">
      <c r="A38" s="4">
        <f t="shared" si="17"/>
        <v>14</v>
      </c>
      <c r="B38" s="268">
        <f t="shared" ca="1" si="18"/>
        <v>45736</v>
      </c>
      <c r="C38" s="401"/>
      <c r="D38" s="443">
        <f ca="1">IF(N38=0,IF(N37=1,D25+D26+D27+D28+D29+D30+D31+D32+D33+D34+D35+D36+D37," "),IF(N38=0," ",IF(N39=1,D25,IF(N39=0,D10-D25*(M14-1)," "))))</f>
        <v>555560</v>
      </c>
      <c r="E38" s="443"/>
      <c r="F38" s="84">
        <f ca="1">IF(N38=0,IF(N37=1,F25+F26+F27+F28+F29+F30+F31+F32+F33+F34+F35+F36+F37," "),IF(M1=1,P38,IF(M1=2,Q38," ")))</f>
        <v>909410</v>
      </c>
      <c r="G38" s="84">
        <v>0</v>
      </c>
      <c r="H38" s="84">
        <f t="shared" ca="1" si="19"/>
        <v>1464970</v>
      </c>
      <c r="I38" s="84">
        <f t="shared" ca="1" si="20"/>
        <v>606060</v>
      </c>
      <c r="J38" s="84">
        <f t="shared" ca="1" si="0"/>
        <v>992090</v>
      </c>
      <c r="K38" s="84">
        <v>0</v>
      </c>
      <c r="L38" s="84">
        <f t="shared" ca="1" si="21"/>
        <v>1598150</v>
      </c>
      <c r="M38" s="4">
        <f t="shared" si="22"/>
        <v>14</v>
      </c>
      <c r="N38" s="4">
        <f ca="1">IF(M1=1,IF(M14&gt;13,1,0),IF(M1=2,IF(M14&gt;13,1,0),0))</f>
        <v>1</v>
      </c>
      <c r="O38" s="4">
        <f t="shared" ca="1" si="1"/>
        <v>20</v>
      </c>
      <c r="P38" s="22">
        <f t="shared" ca="1" si="2"/>
        <v>909410</v>
      </c>
      <c r="Q38" s="22">
        <f t="shared" ca="1" si="3"/>
        <v>909410</v>
      </c>
      <c r="R38" s="22">
        <f t="shared" ca="1" si="23"/>
        <v>12777720</v>
      </c>
      <c r="S38" s="22">
        <f t="shared" ca="1" si="24"/>
        <v>555560</v>
      </c>
      <c r="T38" s="22">
        <f t="shared" ca="1" si="25"/>
        <v>555560</v>
      </c>
      <c r="U38" s="22">
        <f ca="1">IF(N39=1,R37*D11*20/36000+R38*D11*10/36000,IF(N39=0,IF(N38=0,0,R38*D11*Q12/36000+R37*D11*20/36000+R38*D11*10/36000)))</f>
        <v>909409.7888888889</v>
      </c>
      <c r="V38" s="22">
        <f ca="1">IF(N39=1,R37*D11*20/36000+R38*D11*10/36000,IF(N39=0,IF(N38=0,0,R38*D11*Q12/36000+R37*D11*20/36000+R38*D11*10/36000)))</f>
        <v>909409.7888888889</v>
      </c>
      <c r="W38" s="22">
        <f t="shared" ca="1" si="26"/>
        <v>1383333.3333333335</v>
      </c>
      <c r="X38" s="22">
        <f t="shared" ca="1" si="27"/>
        <v>1383330</v>
      </c>
      <c r="Y38" s="22">
        <f t="shared" ca="1" si="4"/>
        <v>13939400</v>
      </c>
      <c r="Z38" s="22">
        <f t="shared" ref="Z38:Z48" ca="1" si="33">IF(N39=1,Y37*D$11*20/36000+Y38*D$11*10/36000,IF(N39=0,IF(N38=0,0,Y38*D$11*Q$12/36000+Y37*D$11*20/36000+Y38*D$11*10/36000)))</f>
        <v>992087.93333333335</v>
      </c>
      <c r="AA38" s="22">
        <f t="shared" ca="1" si="5"/>
        <v>992090</v>
      </c>
      <c r="AB38" s="22">
        <f ca="1">IF(R39=0,R38*Q12,(R37*20+R38*10))</f>
        <v>394442800</v>
      </c>
      <c r="AC38" s="22">
        <f t="shared" ca="1" si="6"/>
        <v>0</v>
      </c>
      <c r="AD38" s="22">
        <f t="shared" ca="1" si="7"/>
        <v>0</v>
      </c>
      <c r="AE38" s="22">
        <f t="shared" ca="1" si="28"/>
        <v>0</v>
      </c>
      <c r="AF38" s="22">
        <f t="shared" ca="1" si="8"/>
        <v>0</v>
      </c>
      <c r="AG38" s="22">
        <f t="shared" ca="1" si="29"/>
        <v>0</v>
      </c>
      <c r="AH38" s="22">
        <f t="shared" ca="1" si="9"/>
        <v>0</v>
      </c>
      <c r="AI38" s="22">
        <f t="shared" ca="1" si="10"/>
        <v>12777720</v>
      </c>
      <c r="AJ38" s="22">
        <f ca="1">IF(N39=1,AI37*G12*20/36000+AI38*G12*10/36000,IF(N39=0,IF(N38=0,0,AI38*G12*Q12/36000+AI37*G12*20/36000+AI38*G12*10/36000)))</f>
        <v>0</v>
      </c>
      <c r="AK38" s="22">
        <f ca="1">IF(N39=1,AI37*G12*20/36000+AI38*G12*10/36000,IF(N39=0,IF(N38=0,0,AI38*G12*Q12/36000+AI37*G12*20/36000+AI38*G12*10/36000)))</f>
        <v>0</v>
      </c>
      <c r="AL38" s="69">
        <f t="shared" ca="1" si="30"/>
        <v>3</v>
      </c>
      <c r="AM38" s="69">
        <f t="shared" ca="1" si="11"/>
        <v>3</v>
      </c>
      <c r="AN38" s="4">
        <f t="shared" ca="1" si="31"/>
        <v>2025</v>
      </c>
      <c r="AO38" s="4">
        <f t="shared" ca="1" si="12"/>
        <v>2025</v>
      </c>
      <c r="AP38" s="4">
        <f t="shared" ca="1" si="13"/>
        <v>0</v>
      </c>
      <c r="AQ38" s="4">
        <f t="shared" ca="1" si="14"/>
        <v>30</v>
      </c>
      <c r="AR38" s="4">
        <f t="shared" si="15"/>
        <v>20</v>
      </c>
      <c r="AS38" s="4">
        <f t="shared" ca="1" si="32"/>
        <v>28</v>
      </c>
      <c r="AT38" s="19"/>
      <c r="AU38" s="19"/>
      <c r="AV38" s="19"/>
      <c r="AW38" s="19"/>
      <c r="AX38" s="19"/>
      <c r="AY38" s="4">
        <f t="shared" ca="1" si="16"/>
        <v>1</v>
      </c>
      <c r="AZ38" s="19"/>
      <c r="BC38" s="19"/>
      <c r="BD38" s="19"/>
      <c r="BE38" s="19"/>
      <c r="BF38" s="19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</row>
    <row r="39" spans="1:141" s="24" customFormat="1" ht="15" customHeight="1">
      <c r="A39" s="4">
        <f t="shared" si="17"/>
        <v>15</v>
      </c>
      <c r="B39" s="268">
        <f t="shared" ca="1" si="18"/>
        <v>45767</v>
      </c>
      <c r="C39" s="401"/>
      <c r="D39" s="443">
        <f ca="1">IF(N39=0,IF(N38=1,D25+D26+D27+D28+D29+D30+D31+D32+D33+D34+D35+D36+D37+D38," "),IF(N39=0," ",IF(N40=1,D25,IF(N40=0,D10-D25*(M14-1)," "))))</f>
        <v>555560</v>
      </c>
      <c r="E39" s="443"/>
      <c r="F39" s="84">
        <f ca="1">IF(N39=0,IF(N38=1,F25+F26+F27+F28+F29+F30+F31+F32+F33+F34+F35+F36+F37+F38," "),IF(M1=1,P39,IF(M1=2,Q39," ")))</f>
        <v>870980</v>
      </c>
      <c r="G39" s="84">
        <v>0</v>
      </c>
      <c r="H39" s="84">
        <f t="shared" ca="1" si="19"/>
        <v>1426540</v>
      </c>
      <c r="I39" s="84">
        <f t="shared" ca="1" si="20"/>
        <v>606060</v>
      </c>
      <c r="J39" s="84">
        <f t="shared" ca="1" si="0"/>
        <v>950170</v>
      </c>
      <c r="K39" s="84">
        <v>0</v>
      </c>
      <c r="L39" s="84">
        <f t="shared" ca="1" si="21"/>
        <v>1556230</v>
      </c>
      <c r="M39" s="4">
        <f t="shared" si="22"/>
        <v>15</v>
      </c>
      <c r="N39" s="4">
        <f ca="1">IF(M1=1,IF(M14&gt;14,1,0),IF(M1=2,IF(M14&gt;14,1,0),0))</f>
        <v>1</v>
      </c>
      <c r="O39" s="4">
        <f t="shared" ca="1" si="1"/>
        <v>20</v>
      </c>
      <c r="P39" s="22">
        <f t="shared" ca="1" si="2"/>
        <v>870980</v>
      </c>
      <c r="Q39" s="22">
        <f t="shared" ca="1" si="3"/>
        <v>870980</v>
      </c>
      <c r="R39" s="22">
        <f t="shared" ca="1" si="23"/>
        <v>12222160</v>
      </c>
      <c r="S39" s="22">
        <f t="shared" ca="1" si="24"/>
        <v>555560</v>
      </c>
      <c r="T39" s="22">
        <f t="shared" ca="1" si="25"/>
        <v>555560</v>
      </c>
      <c r="U39" s="22">
        <f ca="1">IF(N40=1,R38*D11*20/36000+R39*D11*10/36000,IF(N40=0,IF(N39=0,0,R39*D11*Q12/36000+R38*D11*20/36000+R39*D11*10/36000)))</f>
        <v>870983.5555555555</v>
      </c>
      <c r="V39" s="22">
        <f ca="1">IF(N40=1,R38*D11*20/36000+R39*D11*10/36000,IF(N40=0,IF(N39=0,0,R39*D11*Q12/36000+R38*D11*20/36000+R39*D11*10/36000)))</f>
        <v>870983.5555555555</v>
      </c>
      <c r="W39" s="22">
        <f t="shared" ca="1" si="26"/>
        <v>1383333.3333333335</v>
      </c>
      <c r="X39" s="22">
        <f t="shared" ca="1" si="27"/>
        <v>1383330</v>
      </c>
      <c r="Y39" s="22">
        <f t="shared" ca="1" si="4"/>
        <v>13333340</v>
      </c>
      <c r="Z39" s="22">
        <f t="shared" ca="1" si="33"/>
        <v>950168.78333333344</v>
      </c>
      <c r="AA39" s="22">
        <f t="shared" ca="1" si="5"/>
        <v>950170</v>
      </c>
      <c r="AB39" s="22">
        <f ca="1">IF(R40=0,R39*Q12,(R38*20+R39*10))</f>
        <v>377776000</v>
      </c>
      <c r="AC39" s="22">
        <f t="shared" ca="1" si="6"/>
        <v>0</v>
      </c>
      <c r="AD39" s="22">
        <f t="shared" ca="1" si="7"/>
        <v>0</v>
      </c>
      <c r="AE39" s="22">
        <f t="shared" ca="1" si="28"/>
        <v>0</v>
      </c>
      <c r="AF39" s="22">
        <f t="shared" ca="1" si="8"/>
        <v>0</v>
      </c>
      <c r="AG39" s="22">
        <f t="shared" ca="1" si="29"/>
        <v>0</v>
      </c>
      <c r="AH39" s="22">
        <f t="shared" ca="1" si="9"/>
        <v>0</v>
      </c>
      <c r="AI39" s="22">
        <f t="shared" ca="1" si="10"/>
        <v>12222160</v>
      </c>
      <c r="AJ39" s="22">
        <f ca="1">IF(N40=1,AI38*G12*20/36000+AI39*G12*10/36000,IF(N40=0,IF(N39=0,0,AI39*G12*Q12/36000+AI38*G12*20/36000+AI39*G12*10/36000)))</f>
        <v>0</v>
      </c>
      <c r="AK39" s="22">
        <f ca="1">IF(N40=1,AI38*G12*20/36000+AI39*G12*10/36000,IF(N40=0,IF(N39=0,0,AI39*G12*Q12/36000+AI38*G12*20/36000+AI39*G12*10/36000)))</f>
        <v>0</v>
      </c>
      <c r="AL39" s="69">
        <f t="shared" ca="1" si="30"/>
        <v>4</v>
      </c>
      <c r="AM39" s="69">
        <f t="shared" ca="1" si="11"/>
        <v>4</v>
      </c>
      <c r="AN39" s="4">
        <f t="shared" ca="1" si="31"/>
        <v>2025</v>
      </c>
      <c r="AO39" s="4">
        <f t="shared" ca="1" si="12"/>
        <v>2025</v>
      </c>
      <c r="AP39" s="4">
        <f t="shared" ca="1" si="13"/>
        <v>0</v>
      </c>
      <c r="AQ39" s="4">
        <f t="shared" ca="1" si="14"/>
        <v>30</v>
      </c>
      <c r="AR39" s="4">
        <f t="shared" si="15"/>
        <v>20</v>
      </c>
      <c r="AS39" s="4">
        <f t="shared" ca="1" si="32"/>
        <v>30</v>
      </c>
      <c r="AT39" s="19"/>
      <c r="AU39" s="19"/>
      <c r="AV39" s="19"/>
      <c r="AW39" s="19"/>
      <c r="AX39" s="19"/>
      <c r="AY39" s="4">
        <f t="shared" ca="1" si="16"/>
        <v>1</v>
      </c>
      <c r="AZ39" s="19"/>
      <c r="BC39" s="19"/>
      <c r="BD39" s="19"/>
      <c r="BE39" s="19"/>
      <c r="BF39" s="19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</row>
    <row r="40" spans="1:141" s="24" customFormat="1" ht="15" customHeight="1">
      <c r="A40" s="4">
        <f t="shared" si="17"/>
        <v>16</v>
      </c>
      <c r="B40" s="268">
        <f t="shared" ca="1" si="18"/>
        <v>45797</v>
      </c>
      <c r="C40" s="401"/>
      <c r="D40" s="443">
        <f ca="1">IF(N40=0,IF(N39=1,D25+D26+D27+D28+D29+D30+D31+D32+D33+D34+D35+D36+D37+D38+D39," "),IF(N40=0," ",IF(N41=1,D25,IF(N41=0,D10-D25*(M14-1)," "))))</f>
        <v>555560</v>
      </c>
      <c r="E40" s="443"/>
      <c r="F40" s="84">
        <f ca="1">IF(N40=0,IF(N39=1,F25+F26+F27+F28+F29+F30+F31+F32+F33+F34+F35+F36+F37+F38+F39," "),IF(M1=1,P40,IF(M1=2,Q40," ")))</f>
        <v>832560</v>
      </c>
      <c r="G40" s="84">
        <v>0</v>
      </c>
      <c r="H40" s="84">
        <f t="shared" ca="1" si="19"/>
        <v>1388120</v>
      </c>
      <c r="I40" s="84">
        <f t="shared" ca="1" si="20"/>
        <v>606060</v>
      </c>
      <c r="J40" s="84">
        <f t="shared" ca="1" si="0"/>
        <v>908250</v>
      </c>
      <c r="K40" s="84">
        <v>0</v>
      </c>
      <c r="L40" s="84">
        <f t="shared" ca="1" si="21"/>
        <v>1514310</v>
      </c>
      <c r="M40" s="4">
        <f t="shared" si="22"/>
        <v>16</v>
      </c>
      <c r="N40" s="4">
        <f ca="1">IF(M1=1,IF(M14&gt;15,1,0),IF(M1=2,IF(M14&gt;15,1,0),0))</f>
        <v>1</v>
      </c>
      <c r="O40" s="4">
        <f t="shared" ca="1" si="1"/>
        <v>20</v>
      </c>
      <c r="P40" s="22">
        <f t="shared" ca="1" si="2"/>
        <v>832560</v>
      </c>
      <c r="Q40" s="22">
        <f t="shared" ca="1" si="3"/>
        <v>832560</v>
      </c>
      <c r="R40" s="22">
        <f t="shared" ca="1" si="23"/>
        <v>11666600</v>
      </c>
      <c r="S40" s="22">
        <f t="shared" ca="1" si="24"/>
        <v>555560</v>
      </c>
      <c r="T40" s="22">
        <f t="shared" ca="1" si="25"/>
        <v>555560</v>
      </c>
      <c r="U40" s="22">
        <f ca="1">IF(N41=1,R39*D11*20/36000+R40*D11*10/36000,IF(N41=0,IF(N40=0,0,R40*D11*Q12/36000+R39*D11*20/36000+R40*D11*10/36000)))</f>
        <v>832557.32222222211</v>
      </c>
      <c r="V40" s="22">
        <f ca="1">IF(N41=1,R39*D11*20/36000+R40*D11*10/36000,IF(N41=0,IF(N40=0,0,R40*D11*Q12/36000+R39*D11*20/36000+R40*D11*10/36000)))</f>
        <v>832557.32222222211</v>
      </c>
      <c r="W40" s="22">
        <f t="shared" ca="1" si="26"/>
        <v>1383333.3333333335</v>
      </c>
      <c r="X40" s="22">
        <f t="shared" ca="1" si="27"/>
        <v>1383330</v>
      </c>
      <c r="Y40" s="22">
        <f t="shared" ca="1" si="4"/>
        <v>12727280</v>
      </c>
      <c r="Z40" s="22">
        <f t="shared" ca="1" si="33"/>
        <v>908249.6333333333</v>
      </c>
      <c r="AA40" s="22">
        <f t="shared" ca="1" si="5"/>
        <v>908250</v>
      </c>
      <c r="AB40" s="22">
        <f ca="1">IF(R41=0,R40*Q12,(R39*20+R40*10))</f>
        <v>361109200</v>
      </c>
      <c r="AC40" s="22">
        <f t="shared" ca="1" si="6"/>
        <v>0</v>
      </c>
      <c r="AD40" s="22">
        <f t="shared" ca="1" si="7"/>
        <v>0</v>
      </c>
      <c r="AE40" s="22">
        <f t="shared" ca="1" si="28"/>
        <v>0</v>
      </c>
      <c r="AF40" s="22">
        <f t="shared" ca="1" si="8"/>
        <v>0</v>
      </c>
      <c r="AG40" s="22">
        <f t="shared" ca="1" si="29"/>
        <v>0</v>
      </c>
      <c r="AH40" s="22">
        <f t="shared" ca="1" si="9"/>
        <v>0</v>
      </c>
      <c r="AI40" s="22">
        <f t="shared" ca="1" si="10"/>
        <v>11666600</v>
      </c>
      <c r="AJ40" s="22">
        <f ca="1">IF(N41=1,AI39*G12*20/36000+AI40*G12*10/36000,IF(N41=0,IF(N40=0,0,AI40*G12*Q12/36000+AI39*G12*20/36000+AI40*G12*10/36000)))</f>
        <v>0</v>
      </c>
      <c r="AK40" s="22">
        <f ca="1">IF(N41=1,AI39*G12*20/36000+AI40*G12*10/36000,IF(N41=0,IF(N40=0,0,AI40*G12*Q12/36000+AI39*G12*20/36000+AI40*G12*10/36000)))</f>
        <v>0</v>
      </c>
      <c r="AL40" s="69">
        <f t="shared" ca="1" si="30"/>
        <v>5</v>
      </c>
      <c r="AM40" s="69">
        <f t="shared" ca="1" si="11"/>
        <v>5</v>
      </c>
      <c r="AN40" s="4">
        <f t="shared" ca="1" si="31"/>
        <v>2025</v>
      </c>
      <c r="AO40" s="4">
        <f t="shared" ca="1" si="12"/>
        <v>2025</v>
      </c>
      <c r="AP40" s="4">
        <f t="shared" ca="1" si="13"/>
        <v>0</v>
      </c>
      <c r="AQ40" s="4">
        <f t="shared" ca="1" si="14"/>
        <v>30</v>
      </c>
      <c r="AR40" s="4">
        <f t="shared" si="15"/>
        <v>20</v>
      </c>
      <c r="AS40" s="4">
        <f t="shared" ca="1" si="32"/>
        <v>30</v>
      </c>
      <c r="AT40" s="19"/>
      <c r="AU40" s="19"/>
      <c r="AV40" s="19"/>
      <c r="AW40" s="19"/>
      <c r="AX40" s="19"/>
      <c r="AY40" s="4">
        <f t="shared" ca="1" si="16"/>
        <v>1</v>
      </c>
      <c r="AZ40" s="19"/>
      <c r="BC40" s="19"/>
      <c r="BD40" s="19"/>
      <c r="BE40" s="19"/>
      <c r="BF40" s="19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</row>
    <row r="41" spans="1:141" s="24" customFormat="1" ht="15" customHeight="1">
      <c r="A41" s="4">
        <f t="shared" si="17"/>
        <v>17</v>
      </c>
      <c r="B41" s="268">
        <f t="shared" ca="1" si="18"/>
        <v>45828</v>
      </c>
      <c r="C41" s="401"/>
      <c r="D41" s="443">
        <f ca="1">IF(N41=0,IF(N40=1,D25+D26+D27+D28+D29+D30+D31+D32+D33+D34+D35+D36+D37+D38+D39+D40," "),IF(N41=0," ",IF(N42=1,D25,IF(N42=0,D10-D25*(M14-1)," "))))</f>
        <v>555560</v>
      </c>
      <c r="E41" s="443"/>
      <c r="F41" s="84">
        <f ca="1">IF(N41=0,IF(N40=1,F25+F26+F27+F28+F29+F30+F31+F32+F33+F34+F36+F35+F37+F38+F39+F40," "),IF(M1=1,P41,IF(M1=2,Q41," ")))</f>
        <v>794130</v>
      </c>
      <c r="G41" s="84">
        <v>0</v>
      </c>
      <c r="H41" s="84">
        <f t="shared" ca="1" si="19"/>
        <v>1349690</v>
      </c>
      <c r="I41" s="84">
        <f t="shared" ca="1" si="20"/>
        <v>606060</v>
      </c>
      <c r="J41" s="84">
        <f t="shared" ca="1" si="0"/>
        <v>866330</v>
      </c>
      <c r="K41" s="84">
        <v>0</v>
      </c>
      <c r="L41" s="84">
        <f t="shared" ca="1" si="21"/>
        <v>1472390</v>
      </c>
      <c r="M41" s="4">
        <f t="shared" si="22"/>
        <v>17</v>
      </c>
      <c r="N41" s="4">
        <f ca="1">IF(M1=1,IF(M14&gt;16,1,0),IF(M1=2,IF(M14&gt;16,1,0),0))</f>
        <v>1</v>
      </c>
      <c r="O41" s="4">
        <f t="shared" ca="1" si="1"/>
        <v>20</v>
      </c>
      <c r="P41" s="22">
        <f t="shared" ca="1" si="2"/>
        <v>794130</v>
      </c>
      <c r="Q41" s="22">
        <f t="shared" ca="1" si="3"/>
        <v>794130</v>
      </c>
      <c r="R41" s="22">
        <f t="shared" ca="1" si="23"/>
        <v>11111040</v>
      </c>
      <c r="S41" s="22">
        <f t="shared" ca="1" si="24"/>
        <v>555560</v>
      </c>
      <c r="T41" s="22">
        <f t="shared" ca="1" si="25"/>
        <v>555560</v>
      </c>
      <c r="U41" s="22">
        <f ca="1">IF(N42=1,R40*D11*20/36000+R41*D11*10/36000,IF(N42=0,IF(N41=0,0,R41*D11*Q12/36000+R40*D11*20/36000+R41*D11*10/36000)))</f>
        <v>794131.08888888895</v>
      </c>
      <c r="V41" s="22">
        <f ca="1">IF(N42=1,R40*D11*20/36000+R41*D11*10/36000,IF(N42=0,IF(N41=0,0,R41*D11*Q12/36000+R40*D11*20/36000+R41*D11*10/36000)))</f>
        <v>794131.08888888895</v>
      </c>
      <c r="W41" s="22">
        <f t="shared" ca="1" si="26"/>
        <v>1383333.3333333335</v>
      </c>
      <c r="X41" s="22">
        <f t="shared" ca="1" si="27"/>
        <v>1383330</v>
      </c>
      <c r="Y41" s="22">
        <f t="shared" ca="1" si="4"/>
        <v>12121220</v>
      </c>
      <c r="Z41" s="22">
        <f t="shared" ca="1" si="33"/>
        <v>866330.48333333328</v>
      </c>
      <c r="AA41" s="22">
        <f t="shared" ca="1" si="5"/>
        <v>866330</v>
      </c>
      <c r="AB41" s="22">
        <f ca="1">IF(R42=0,R41*Q12,(R40*20+R41*10))</f>
        <v>344442400</v>
      </c>
      <c r="AC41" s="22">
        <f t="shared" ca="1" si="6"/>
        <v>0</v>
      </c>
      <c r="AD41" s="22">
        <f t="shared" ca="1" si="7"/>
        <v>0</v>
      </c>
      <c r="AE41" s="22">
        <f t="shared" ca="1" si="28"/>
        <v>0</v>
      </c>
      <c r="AF41" s="22">
        <f t="shared" ca="1" si="8"/>
        <v>0</v>
      </c>
      <c r="AG41" s="22">
        <f t="shared" ca="1" si="29"/>
        <v>0</v>
      </c>
      <c r="AH41" s="22">
        <f t="shared" ca="1" si="9"/>
        <v>0</v>
      </c>
      <c r="AI41" s="22">
        <f t="shared" ca="1" si="10"/>
        <v>11111040</v>
      </c>
      <c r="AJ41" s="22">
        <f ca="1">IF(N42=1,AI40*G12*20/36000+AI41*G12*10/36000,IF(N42=0,IF(N41=0,0,AI41*G12*Q12/36000+AI40*G12*20/36000+AI41*G12*10/36000)))</f>
        <v>0</v>
      </c>
      <c r="AK41" s="22">
        <f ca="1">IF(N42=1,AI40*G12*20/36000+AI41*G12*10/36000,IF(N42=0,IF(N41=0,0,AI41*G12*Q12/36000+AI40*G12*20/36000+AI41*G12*10/36000)))</f>
        <v>0</v>
      </c>
      <c r="AL41" s="69">
        <f t="shared" ca="1" si="30"/>
        <v>6</v>
      </c>
      <c r="AM41" s="69">
        <f t="shared" ca="1" si="11"/>
        <v>6</v>
      </c>
      <c r="AN41" s="4">
        <f t="shared" ca="1" si="31"/>
        <v>2025</v>
      </c>
      <c r="AO41" s="4">
        <f t="shared" ca="1" si="12"/>
        <v>2025</v>
      </c>
      <c r="AP41" s="4">
        <f t="shared" ca="1" si="13"/>
        <v>0</v>
      </c>
      <c r="AQ41" s="4">
        <f t="shared" ca="1" si="14"/>
        <v>30</v>
      </c>
      <c r="AR41" s="4">
        <f t="shared" si="15"/>
        <v>20</v>
      </c>
      <c r="AS41" s="4">
        <f t="shared" ca="1" si="32"/>
        <v>30</v>
      </c>
      <c r="AT41" s="19"/>
      <c r="AU41" s="19"/>
      <c r="AV41" s="19"/>
      <c r="AW41" s="19"/>
      <c r="AX41" s="19"/>
      <c r="AY41" s="4">
        <f t="shared" ca="1" si="16"/>
        <v>1</v>
      </c>
      <c r="AZ41" s="19"/>
      <c r="BC41" s="19"/>
      <c r="BD41" s="19"/>
      <c r="BE41" s="19"/>
      <c r="BF41" s="19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</row>
    <row r="42" spans="1:141" s="24" customFormat="1" ht="15" customHeight="1">
      <c r="A42" s="4">
        <f t="shared" si="17"/>
        <v>18</v>
      </c>
      <c r="B42" s="268">
        <f t="shared" ca="1" si="18"/>
        <v>45858</v>
      </c>
      <c r="C42" s="401"/>
      <c r="D42" s="443">
        <f ca="1">IF(N42=0,IF(N41=1,D25+D26+D27+D28+D29+D30+D31+D32+D33+D34+D35+D36+D37+D38+D39+D40+D41," "),IF(N42=0," ",IF(N43=1,D25,IF(N43=0,D10-D25*(M14-1)," "))))</f>
        <v>555560</v>
      </c>
      <c r="E42" s="443"/>
      <c r="F42" s="84">
        <f ca="1">IF(N42=0,IF(N41=1,F25+F26+F27+F28+F29+F30+F31+F32+F33+F34+F35+F36+F37+F38+F39+F40+F41," "),IF(M1=1,P42,IF(M1=2,Q42," ")))</f>
        <v>755700</v>
      </c>
      <c r="G42" s="84">
        <v>0</v>
      </c>
      <c r="H42" s="84">
        <f t="shared" ca="1" si="19"/>
        <v>1311260</v>
      </c>
      <c r="I42" s="84">
        <f t="shared" ca="1" si="20"/>
        <v>606060</v>
      </c>
      <c r="J42" s="84">
        <f t="shared" ca="1" si="0"/>
        <v>824410</v>
      </c>
      <c r="K42" s="84">
        <v>0</v>
      </c>
      <c r="L42" s="84">
        <f t="shared" ca="1" si="21"/>
        <v>1430470</v>
      </c>
      <c r="M42" s="4">
        <f t="shared" si="22"/>
        <v>18</v>
      </c>
      <c r="N42" s="4">
        <f ca="1">IF(M1=1,IF(M14&gt;17,1,0),IF(M1=2,IF(M14&gt;17,1,0),0))</f>
        <v>1</v>
      </c>
      <c r="O42" s="4">
        <f t="shared" ca="1" si="1"/>
        <v>20</v>
      </c>
      <c r="P42" s="22">
        <f t="shared" ca="1" si="2"/>
        <v>755700</v>
      </c>
      <c r="Q42" s="22">
        <f t="shared" ca="1" si="3"/>
        <v>755700</v>
      </c>
      <c r="R42" s="22">
        <f t="shared" ca="1" si="23"/>
        <v>10555480</v>
      </c>
      <c r="S42" s="22">
        <f t="shared" ca="1" si="24"/>
        <v>555560</v>
      </c>
      <c r="T42" s="22">
        <f t="shared" ca="1" si="25"/>
        <v>555560</v>
      </c>
      <c r="U42" s="22">
        <f ca="1">IF(N43=1,R41*D11*20/36000+R42*D11*10/36000,IF(N43=0,IF(N42=0,0,R42*D11*Q12/36000+R41*D11*20/36000+R42*D11*10/36000)))</f>
        <v>755704.85555555555</v>
      </c>
      <c r="V42" s="22">
        <f ca="1">IF(N43=1,R41*D11*20/36000+R42*D11*10/36000,IF(N43=0,IF(N42=0,0,R42*D11*Q12/36000+R41*D11*20/36000+R42*D11*10/36000)))</f>
        <v>755704.85555555555</v>
      </c>
      <c r="W42" s="22">
        <f t="shared" ca="1" si="26"/>
        <v>1383333.3333333335</v>
      </c>
      <c r="X42" s="22">
        <f t="shared" ca="1" si="27"/>
        <v>1383330</v>
      </c>
      <c r="Y42" s="22">
        <f t="shared" ca="1" si="4"/>
        <v>11515160</v>
      </c>
      <c r="Z42" s="22">
        <f t="shared" ca="1" si="33"/>
        <v>824411.33333333326</v>
      </c>
      <c r="AA42" s="22">
        <f t="shared" ca="1" si="5"/>
        <v>824410</v>
      </c>
      <c r="AB42" s="22">
        <f ca="1">IF(R43=0,R42*Q12,(R41*20+R42*10))</f>
        <v>327775600</v>
      </c>
      <c r="AC42" s="22">
        <f t="shared" ca="1" si="6"/>
        <v>0</v>
      </c>
      <c r="AD42" s="22">
        <f t="shared" ca="1" si="7"/>
        <v>0</v>
      </c>
      <c r="AE42" s="22">
        <f t="shared" ca="1" si="28"/>
        <v>0</v>
      </c>
      <c r="AF42" s="22">
        <f t="shared" ca="1" si="8"/>
        <v>0</v>
      </c>
      <c r="AG42" s="22">
        <f t="shared" ca="1" si="29"/>
        <v>0</v>
      </c>
      <c r="AH42" s="22">
        <f t="shared" ca="1" si="9"/>
        <v>0</v>
      </c>
      <c r="AI42" s="22">
        <f t="shared" ca="1" si="10"/>
        <v>10555480</v>
      </c>
      <c r="AJ42" s="22">
        <f ca="1">IF(N43=1,AI41*G12*20/36000+AI42*G12*10/36000,IF(N43=0,IF(N42=0,0,AI42*G12*Q12/36000+AI41*G12*20/36000+AI42*G12*10/36000)))</f>
        <v>0</v>
      </c>
      <c r="AK42" s="22">
        <f ca="1">IF(N43=1,AI41*G12*20/36000+AI42*G12*10/36000,IF(N43=0,IF(N42=0,0,AI42*G12*Q12/36000+AI41*G12*20/36000+AI42*G12*10/36000)))</f>
        <v>0</v>
      </c>
      <c r="AL42" s="69">
        <f t="shared" ca="1" si="30"/>
        <v>7</v>
      </c>
      <c r="AM42" s="69">
        <f t="shared" ca="1" si="11"/>
        <v>7</v>
      </c>
      <c r="AN42" s="4">
        <f t="shared" ca="1" si="31"/>
        <v>2025</v>
      </c>
      <c r="AO42" s="4">
        <f t="shared" ca="1" si="12"/>
        <v>2025</v>
      </c>
      <c r="AP42" s="4">
        <f t="shared" ca="1" si="13"/>
        <v>0</v>
      </c>
      <c r="AQ42" s="4">
        <f t="shared" ca="1" si="14"/>
        <v>30</v>
      </c>
      <c r="AR42" s="4">
        <f t="shared" si="15"/>
        <v>20</v>
      </c>
      <c r="AS42" s="4">
        <f t="shared" ca="1" si="32"/>
        <v>30</v>
      </c>
      <c r="AT42" s="19"/>
      <c r="AU42" s="19"/>
      <c r="AV42" s="19"/>
      <c r="AW42" s="19"/>
      <c r="AX42" s="19"/>
      <c r="AY42" s="4">
        <f t="shared" ca="1" si="16"/>
        <v>1</v>
      </c>
      <c r="AZ42" s="19"/>
      <c r="BC42" s="19"/>
      <c r="BD42" s="19"/>
      <c r="BE42" s="19"/>
      <c r="BF42" s="19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</row>
    <row r="43" spans="1:141" s="24" customFormat="1" ht="15" customHeight="1">
      <c r="A43" s="19">
        <f t="shared" si="17"/>
        <v>19</v>
      </c>
      <c r="B43" s="268">
        <f t="shared" ca="1" si="18"/>
        <v>45889</v>
      </c>
      <c r="C43" s="401"/>
      <c r="D43" s="443">
        <f ca="1">IF(N43=0,IF(N42=1,D25+D26+D27+D28+D29+D30+D31+D32+D33+D34+D35+D36+D37+D38+D39+D40+D41+D42," "),IF(N43=0," ",IF(N44=1,D25,IF(N44=0,D10-D25*(M14-1)," "))))</f>
        <v>555560</v>
      </c>
      <c r="E43" s="443"/>
      <c r="F43" s="84">
        <f ca="1">IF(N43=0,IF(N42=1,F25+F26+F27+F28+F29+F30+F31+F32+F33+F34+F35+F36+F37+F38+F39+F40+F41+F42," "),IF(M1=1,P43,IF(M1=2,Q43," ")))</f>
        <v>717280</v>
      </c>
      <c r="G43" s="84">
        <v>0</v>
      </c>
      <c r="H43" s="84">
        <f t="shared" ca="1" si="19"/>
        <v>1272840</v>
      </c>
      <c r="I43" s="84">
        <f t="shared" ca="1" si="20"/>
        <v>606060</v>
      </c>
      <c r="J43" s="84">
        <f t="shared" ca="1" si="0"/>
        <v>782490</v>
      </c>
      <c r="K43" s="84">
        <v>0</v>
      </c>
      <c r="L43" s="84">
        <f t="shared" ca="1" si="21"/>
        <v>1388550</v>
      </c>
      <c r="M43" s="4">
        <f t="shared" si="22"/>
        <v>19</v>
      </c>
      <c r="N43" s="4">
        <f ca="1">IF(M1=1,IF(M14&gt;18,1,0),IF(M1=2,IF(M14&gt;18,1,0),0))</f>
        <v>1</v>
      </c>
      <c r="O43" s="4">
        <f t="shared" ca="1" si="1"/>
        <v>20</v>
      </c>
      <c r="P43" s="22">
        <f t="shared" ca="1" si="2"/>
        <v>717280</v>
      </c>
      <c r="Q43" s="22">
        <f t="shared" ca="1" si="3"/>
        <v>717280</v>
      </c>
      <c r="R43" s="22">
        <f t="shared" ca="1" si="23"/>
        <v>9999920</v>
      </c>
      <c r="S43" s="22">
        <f t="shared" ca="1" si="24"/>
        <v>555560</v>
      </c>
      <c r="T43" s="22">
        <f t="shared" ca="1" si="25"/>
        <v>555560</v>
      </c>
      <c r="U43" s="22">
        <f ca="1">IF(N44=1,R42*D$11*20/36000+R43*D$11*10/36000,IF(N44=0,IF(N43=0,0,R43*D$11*Q$12/36000)))</f>
        <v>717278.62222222215</v>
      </c>
      <c r="V43" s="22">
        <f ca="1">IF(N44=1,R42*D$11*20/36000+R43*D$11*10/36000,IF(N44=0,IF(N43=0,0,R43*D$11*Q$12/36000)))</f>
        <v>717278.62222222215</v>
      </c>
      <c r="W43" s="22">
        <f t="shared" ca="1" si="26"/>
        <v>1383333.3333333335</v>
      </c>
      <c r="X43" s="22">
        <f t="shared" ca="1" si="27"/>
        <v>1383330</v>
      </c>
      <c r="Y43" s="22">
        <f t="shared" ca="1" si="4"/>
        <v>10909100</v>
      </c>
      <c r="Z43" s="22">
        <f t="shared" ca="1" si="33"/>
        <v>782492.18333333335</v>
      </c>
      <c r="AA43" s="22">
        <f t="shared" ca="1" si="5"/>
        <v>782490</v>
      </c>
      <c r="AB43" s="22">
        <f ca="1">IF(R44=0,R43*Q12,(R42*20+R43*10))</f>
        <v>311108800</v>
      </c>
      <c r="AC43" s="22">
        <f t="shared" ca="1" si="6"/>
        <v>0</v>
      </c>
      <c r="AD43" s="22">
        <f t="shared" ca="1" si="7"/>
        <v>0</v>
      </c>
      <c r="AE43" s="22">
        <f t="shared" ca="1" si="28"/>
        <v>0</v>
      </c>
      <c r="AF43" s="22">
        <f t="shared" ca="1" si="8"/>
        <v>0</v>
      </c>
      <c r="AG43" s="22">
        <f t="shared" ca="1" si="29"/>
        <v>0</v>
      </c>
      <c r="AH43" s="22">
        <f t="shared" ca="1" si="9"/>
        <v>0</v>
      </c>
      <c r="AI43" s="22">
        <f t="shared" ca="1" si="10"/>
        <v>9999920</v>
      </c>
      <c r="AJ43" s="22">
        <f ca="1">IF(N44=1,AI42*G$12*20/36000+AI43*G$12*10/36000,IF(N44=0,IF(N43=0,0,AI43*G$12*Q$12/36000)))</f>
        <v>0</v>
      </c>
      <c r="AK43" s="22">
        <f ca="1">IF(N44=1,AI42*G$12*20/36000+AI43*G$12*10/36000,IF(N44=0,IF(N43=0,0,AI43*G$12*Q$12/36000)))</f>
        <v>0</v>
      </c>
      <c r="AL43" s="69">
        <f t="shared" ca="1" si="30"/>
        <v>8</v>
      </c>
      <c r="AM43" s="69">
        <f t="shared" ca="1" si="11"/>
        <v>8</v>
      </c>
      <c r="AN43" s="4">
        <f t="shared" ca="1" si="31"/>
        <v>2025</v>
      </c>
      <c r="AO43" s="4">
        <f t="shared" ca="1" si="12"/>
        <v>2025</v>
      </c>
      <c r="AP43" s="4">
        <f t="shared" ca="1" si="13"/>
        <v>0</v>
      </c>
      <c r="AQ43" s="4">
        <f t="shared" ca="1" si="14"/>
        <v>30</v>
      </c>
      <c r="AR43" s="4">
        <f t="shared" si="15"/>
        <v>20</v>
      </c>
      <c r="AS43" s="4">
        <f t="shared" ca="1" si="32"/>
        <v>30</v>
      </c>
      <c r="AT43" s="19"/>
      <c r="AU43" s="19"/>
      <c r="AV43" s="19"/>
      <c r="AW43" s="19"/>
      <c r="AX43" s="19"/>
      <c r="AY43" s="4">
        <f t="shared" ca="1" si="16"/>
        <v>1</v>
      </c>
      <c r="AZ43" s="19"/>
      <c r="BC43" s="19"/>
      <c r="BD43" s="19"/>
      <c r="BE43" s="19"/>
      <c r="BF43" s="19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</row>
    <row r="44" spans="1:141" s="24" customFormat="1" ht="15" customHeight="1">
      <c r="A44" s="4">
        <f t="shared" si="17"/>
        <v>20</v>
      </c>
      <c r="B44" s="268">
        <f t="shared" ca="1" si="18"/>
        <v>45920</v>
      </c>
      <c r="C44" s="401"/>
      <c r="D44" s="443">
        <f ca="1">IF(N44=0,IF(N43=1,D25+D26+D27+D28+D29+D30+D31+D32+D33+D34+D35+D36+D37+D38+D39+D40+D41+D42+D43," "),IF(N44=0," ",IF(N45=1,D25,IF(N45=0,D10-D25*(M14-1)," "))))</f>
        <v>555560</v>
      </c>
      <c r="E44" s="443"/>
      <c r="F44" s="84">
        <f ca="1">IF(N44=0,IF(N43=1,F25+F26+F27+F28+F29+F30+F31+F32+F33+F34+F35+F36+F37+F38+F39+F40+F41+F42+F43," "),IF(M1=1,P44,IF(M1=2,Q44," ")))</f>
        <v>678850</v>
      </c>
      <c r="G44" s="84">
        <v>0</v>
      </c>
      <c r="H44" s="84">
        <f t="shared" ca="1" si="19"/>
        <v>1234410</v>
      </c>
      <c r="I44" s="84">
        <f t="shared" ca="1" si="20"/>
        <v>606060</v>
      </c>
      <c r="J44" s="84">
        <f t="shared" ca="1" si="0"/>
        <v>740570</v>
      </c>
      <c r="K44" s="84">
        <v>0</v>
      </c>
      <c r="L44" s="84">
        <f t="shared" ca="1" si="21"/>
        <v>1346630</v>
      </c>
      <c r="M44" s="4">
        <f t="shared" si="22"/>
        <v>20</v>
      </c>
      <c r="N44" s="4">
        <f ca="1">IF(M1=1,IF(M14&gt;19,1,0),IF(M1=2,IF(M14&gt;19,1,0),0))</f>
        <v>1</v>
      </c>
      <c r="O44" s="4">
        <f t="shared" ca="1" si="1"/>
        <v>20</v>
      </c>
      <c r="P44" s="22">
        <f t="shared" ca="1" si="2"/>
        <v>678850</v>
      </c>
      <c r="Q44" s="22">
        <f t="shared" ca="1" si="3"/>
        <v>678850</v>
      </c>
      <c r="R44" s="22">
        <f t="shared" ca="1" si="23"/>
        <v>9444360</v>
      </c>
      <c r="S44" s="22">
        <f t="shared" ca="1" si="24"/>
        <v>555560</v>
      </c>
      <c r="T44" s="22">
        <f t="shared" ca="1" si="25"/>
        <v>555560</v>
      </c>
      <c r="U44" s="22">
        <f ca="1">IF(N45=1,R43*D11*20/36000+R44*D11*10/36000,IF(N45=0,IF(N44=0,0,R44*D11*Q12/36000+R43*D11*20/36000+R44*D11*10/36000)))</f>
        <v>678852.38888888888</v>
      </c>
      <c r="V44" s="22">
        <f ca="1">IF(N45=1,R43*D11*20/36000+R44*D11*10/36000,IF(N45=0,IF(N44=0,0,R44*D11*Q12/36000+R43*D11*20/36000+R44*D11*10/36000)))</f>
        <v>678852.38888888888</v>
      </c>
      <c r="W44" s="22">
        <f t="shared" ca="1" si="26"/>
        <v>1383333.3333333335</v>
      </c>
      <c r="X44" s="22">
        <f t="shared" ca="1" si="27"/>
        <v>1383330</v>
      </c>
      <c r="Y44" s="22">
        <f t="shared" ca="1" si="4"/>
        <v>10303040</v>
      </c>
      <c r="Z44" s="22">
        <f t="shared" ca="1" si="33"/>
        <v>740573.03333333333</v>
      </c>
      <c r="AA44" s="22">
        <f t="shared" ca="1" si="5"/>
        <v>740570</v>
      </c>
      <c r="AB44" s="22">
        <f ca="1">IF(R45=0,R44*Q12,(R43*20+R44*10))</f>
        <v>294442000</v>
      </c>
      <c r="AC44" s="22">
        <f t="shared" ca="1" si="6"/>
        <v>0</v>
      </c>
      <c r="AD44" s="22">
        <f t="shared" ca="1" si="7"/>
        <v>0</v>
      </c>
      <c r="AE44" s="22">
        <f t="shared" ca="1" si="28"/>
        <v>0</v>
      </c>
      <c r="AF44" s="22">
        <f t="shared" ca="1" si="8"/>
        <v>0</v>
      </c>
      <c r="AG44" s="22">
        <f t="shared" ca="1" si="29"/>
        <v>0</v>
      </c>
      <c r="AH44" s="22">
        <f t="shared" ca="1" si="9"/>
        <v>0</v>
      </c>
      <c r="AI44" s="22">
        <f t="shared" ca="1" si="10"/>
        <v>9444360</v>
      </c>
      <c r="AJ44" s="22">
        <f ca="1">IF(N45=1,AI43*G12*20/36000+AI44*G12*10/36000,IF(N45=0,IF(N44=0,0,AI44*G12*Q12/36000+AI43*G12*20/36000+AI44*G12*10/36000)))</f>
        <v>0</v>
      </c>
      <c r="AK44" s="22">
        <f ca="1">IF(N45=1,AI43*G12*20/36000+AI44*G12*10/36000,IF(N45=0,IF(N44=0,0,AI44*G12*Q12/36000+AI43*G12*20/36000+AI44*G12*10/36000)))</f>
        <v>0</v>
      </c>
      <c r="AL44" s="69">
        <f t="shared" ca="1" si="30"/>
        <v>9</v>
      </c>
      <c r="AM44" s="69">
        <f t="shared" ca="1" si="11"/>
        <v>9</v>
      </c>
      <c r="AN44" s="4">
        <f t="shared" ca="1" si="31"/>
        <v>2025</v>
      </c>
      <c r="AO44" s="4">
        <f t="shared" ca="1" si="12"/>
        <v>2025</v>
      </c>
      <c r="AP44" s="4">
        <f t="shared" ca="1" si="13"/>
        <v>0</v>
      </c>
      <c r="AQ44" s="4">
        <f t="shared" ca="1" si="14"/>
        <v>30</v>
      </c>
      <c r="AR44" s="4">
        <f t="shared" si="15"/>
        <v>20</v>
      </c>
      <c r="AS44" s="4">
        <f t="shared" ca="1" si="32"/>
        <v>30</v>
      </c>
      <c r="AT44" s="19"/>
      <c r="AU44" s="19"/>
      <c r="AV44" s="19"/>
      <c r="AW44" s="19"/>
      <c r="AX44" s="19"/>
      <c r="AY44" s="4">
        <f t="shared" ca="1" si="16"/>
        <v>1</v>
      </c>
      <c r="AZ44" s="19"/>
      <c r="BC44" s="19"/>
      <c r="BD44" s="19"/>
      <c r="BE44" s="19"/>
      <c r="BF44" s="19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</row>
    <row r="45" spans="1:141" s="24" customFormat="1" ht="15" customHeight="1">
      <c r="A45" s="4">
        <f t="shared" si="17"/>
        <v>21</v>
      </c>
      <c r="B45" s="268">
        <f t="shared" ca="1" si="18"/>
        <v>45950</v>
      </c>
      <c r="C45" s="401"/>
      <c r="D45" s="443">
        <f ca="1">IF(N45=0,IF(N44=1,D25+D26+D27+D28+D29+D30+D31+D32+D33+D34+D35+D36+D37+D38+D39+D40+D41+D42+D43+D44," "),IF(N45=0," ",IF(N46=1,D25,IF(N46=0,D10-D25*(M14-1)," "))))</f>
        <v>555560</v>
      </c>
      <c r="E45" s="443"/>
      <c r="F45" s="84">
        <f ca="1">IF(N45=0,IF(N44=1,F25+F26+F27+F28+F29+F30+F31+F32+F33+F34+F35+F36+F37+F38+F39+F40+F41+F42+F43+F44," "),IF(M1=1,P45,IF(M1=2,Q45," ")))</f>
        <v>640430</v>
      </c>
      <c r="G45" s="84">
        <v>0</v>
      </c>
      <c r="H45" s="84">
        <f t="shared" ca="1" si="19"/>
        <v>1195990</v>
      </c>
      <c r="I45" s="84">
        <f t="shared" ca="1" si="20"/>
        <v>606060</v>
      </c>
      <c r="J45" s="84">
        <f t="shared" ca="1" si="0"/>
        <v>698650</v>
      </c>
      <c r="K45" s="84">
        <v>0</v>
      </c>
      <c r="L45" s="84">
        <f t="shared" ca="1" si="21"/>
        <v>1304710</v>
      </c>
      <c r="M45" s="4">
        <f t="shared" si="22"/>
        <v>21</v>
      </c>
      <c r="N45" s="4">
        <f ca="1">IF(M1=1,IF(M14&gt;20,1,0),IF(M1=2,IF(M14&gt;20,1,0),0))</f>
        <v>1</v>
      </c>
      <c r="O45" s="4">
        <f t="shared" ca="1" si="1"/>
        <v>20</v>
      </c>
      <c r="P45" s="22">
        <f t="shared" ca="1" si="2"/>
        <v>640430</v>
      </c>
      <c r="Q45" s="22">
        <f t="shared" ca="1" si="3"/>
        <v>640430</v>
      </c>
      <c r="R45" s="22">
        <f t="shared" ca="1" si="23"/>
        <v>8888800</v>
      </c>
      <c r="S45" s="22">
        <f t="shared" ca="1" si="24"/>
        <v>555560</v>
      </c>
      <c r="T45" s="22">
        <f t="shared" ca="1" si="25"/>
        <v>555560</v>
      </c>
      <c r="U45" s="22">
        <f ca="1">IF(N46=1,R44*D11*20/36000+R45*D11*10/36000,IF(N46=0,IF(N45=0,0,R45*D11*Q12/36000+R44*D11*20/36000+R45*D11*10/36000)))</f>
        <v>640426.1555555556</v>
      </c>
      <c r="V45" s="22">
        <f ca="1">IF(N46=1,R44*D11*20/36000+R45*D11*10/36000,IF(N46=0,IF(N45=0,0,R45*D11*Q12/36000+R44*D11*20/36000+R45*D11*10/36000)))</f>
        <v>640426.1555555556</v>
      </c>
      <c r="W45" s="22">
        <f t="shared" ca="1" si="26"/>
        <v>1383333.3333333335</v>
      </c>
      <c r="X45" s="22">
        <f t="shared" ca="1" si="27"/>
        <v>1383330</v>
      </c>
      <c r="Y45" s="22">
        <f t="shared" ca="1" si="4"/>
        <v>9696980</v>
      </c>
      <c r="Z45" s="22">
        <f t="shared" ca="1" si="33"/>
        <v>698653.8833333333</v>
      </c>
      <c r="AA45" s="22">
        <f t="shared" ca="1" si="5"/>
        <v>698650</v>
      </c>
      <c r="AB45" s="22">
        <f ca="1">IF(R46=0,R45*Q12,(R44*20+R45*10))</f>
        <v>277775200</v>
      </c>
      <c r="AC45" s="22">
        <f t="shared" ca="1" si="6"/>
        <v>0</v>
      </c>
      <c r="AD45" s="22">
        <f t="shared" ca="1" si="7"/>
        <v>0</v>
      </c>
      <c r="AE45" s="22">
        <f t="shared" ca="1" si="28"/>
        <v>0</v>
      </c>
      <c r="AF45" s="22">
        <f t="shared" ca="1" si="8"/>
        <v>0</v>
      </c>
      <c r="AG45" s="22">
        <f t="shared" ca="1" si="29"/>
        <v>0</v>
      </c>
      <c r="AH45" s="22">
        <f t="shared" ca="1" si="9"/>
        <v>0</v>
      </c>
      <c r="AI45" s="22">
        <f t="shared" ca="1" si="10"/>
        <v>8888800</v>
      </c>
      <c r="AJ45" s="22">
        <f ca="1">IF(N46=1,AI44*G12*20/36000+AI45*G12*10/36000,IF(N46=0,IF(N45=0,0,AI45*G12*Q12/36000+AI44*G12*20/36000+AI45*G12*10/36000)))</f>
        <v>0</v>
      </c>
      <c r="AK45" s="22">
        <f ca="1">IF(N46=1,AI44*G12*20/36000+AI45*G12*10/36000,IF(N46=0,IF(N45=0,0,AI45*G12*Q12/36000+AI44*G12*20/36000+AI45*G12*10/36000)))</f>
        <v>0</v>
      </c>
      <c r="AL45" s="69">
        <f t="shared" ca="1" si="30"/>
        <v>10</v>
      </c>
      <c r="AM45" s="69">
        <f t="shared" ca="1" si="11"/>
        <v>10</v>
      </c>
      <c r="AN45" s="4">
        <f t="shared" ca="1" si="31"/>
        <v>2025</v>
      </c>
      <c r="AO45" s="4">
        <f t="shared" ca="1" si="12"/>
        <v>2025</v>
      </c>
      <c r="AP45" s="4">
        <f t="shared" ca="1" si="13"/>
        <v>0</v>
      </c>
      <c r="AQ45" s="4">
        <f t="shared" ca="1" si="14"/>
        <v>30</v>
      </c>
      <c r="AR45" s="4">
        <f t="shared" si="15"/>
        <v>20</v>
      </c>
      <c r="AS45" s="4">
        <f t="shared" ca="1" si="32"/>
        <v>30</v>
      </c>
      <c r="AT45" s="19"/>
      <c r="AU45" s="19"/>
      <c r="AV45" s="19"/>
      <c r="AW45" s="19"/>
      <c r="AX45" s="19"/>
      <c r="AY45" s="4">
        <f t="shared" ca="1" si="16"/>
        <v>1</v>
      </c>
      <c r="AZ45" s="19"/>
      <c r="BC45" s="19"/>
      <c r="BD45" s="19"/>
      <c r="BE45" s="19"/>
      <c r="BF45" s="19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</row>
    <row r="46" spans="1:141" s="24" customFormat="1" ht="15" customHeight="1">
      <c r="A46" s="4">
        <f t="shared" si="17"/>
        <v>22</v>
      </c>
      <c r="B46" s="268">
        <f t="shared" ca="1" si="18"/>
        <v>45981</v>
      </c>
      <c r="C46" s="401"/>
      <c r="D46" s="443">
        <f ca="1">IF(N46=0,IF(N45=1,D25+D26+D27+D28+D29+D30+D31+D32+D33+D34+D35+D36+D37+D38+D39+D40+D41+D42+D43+D44+D45," "),IF(N46=0," ",IF(N47=1,D25,IF(N47=0,D10-D25*(M14-1)," "))))</f>
        <v>555560</v>
      </c>
      <c r="E46" s="443"/>
      <c r="F46" s="84">
        <f ca="1">IF(N46=0,IF(N45=1,F25+F26+F27+F28+F29+F30+F31+F32+F33+F34+F35+F36+F37+F38+F39+F40+F41+F42+F43+F44+F45," "),IF(M1=1,P46,IF(M1=2,Q46," ")))</f>
        <v>602000</v>
      </c>
      <c r="G46" s="84">
        <v>0</v>
      </c>
      <c r="H46" s="84">
        <f t="shared" ca="1" si="19"/>
        <v>1157560</v>
      </c>
      <c r="I46" s="84">
        <f t="shared" ca="1" si="20"/>
        <v>606060</v>
      </c>
      <c r="J46" s="84">
        <f t="shared" ca="1" si="0"/>
        <v>656730</v>
      </c>
      <c r="K46" s="84">
        <v>0</v>
      </c>
      <c r="L46" s="84">
        <f t="shared" ca="1" si="21"/>
        <v>1262790</v>
      </c>
      <c r="M46" s="4">
        <f t="shared" si="22"/>
        <v>22</v>
      </c>
      <c r="N46" s="4">
        <f ca="1">IF(M1=1,IF(M14&gt;21,1,0),IF(M1=2,IF(M14&gt;21,1,0),0))</f>
        <v>1</v>
      </c>
      <c r="O46" s="4">
        <f t="shared" ca="1" si="1"/>
        <v>20</v>
      </c>
      <c r="P46" s="22">
        <f t="shared" ca="1" si="2"/>
        <v>602000</v>
      </c>
      <c r="Q46" s="22">
        <f t="shared" ca="1" si="3"/>
        <v>602000</v>
      </c>
      <c r="R46" s="22">
        <f t="shared" ca="1" si="23"/>
        <v>8333240</v>
      </c>
      <c r="S46" s="22">
        <f t="shared" ca="1" si="24"/>
        <v>555560</v>
      </c>
      <c r="T46" s="22">
        <f t="shared" ca="1" si="25"/>
        <v>555560</v>
      </c>
      <c r="U46" s="22">
        <f ca="1">IF(N47=1,R45*D11*20/36000+R46*D11*10/36000,IF(N47=0,IF(N46=0,0,R46*D11*Q12/36000+R45*D11*20/36000+R46*D11*10/36000)))</f>
        <v>601999.9222222222</v>
      </c>
      <c r="V46" s="22">
        <f ca="1">IF(N47=1,R45*D11*20/36000+R46*D11*10/36000,IF(N47=0,IF(N46=0,0,R46*D11*Q12/36000+R45*D11*20/36000+R46*D11*10/36000)))</f>
        <v>601999.9222222222</v>
      </c>
      <c r="W46" s="22">
        <f t="shared" ca="1" si="26"/>
        <v>1383333.3333333335</v>
      </c>
      <c r="X46" s="22">
        <f t="shared" ca="1" si="27"/>
        <v>1383330</v>
      </c>
      <c r="Y46" s="22">
        <f t="shared" ca="1" si="4"/>
        <v>9090920</v>
      </c>
      <c r="Z46" s="22">
        <f t="shared" ca="1" si="33"/>
        <v>656734.7333333334</v>
      </c>
      <c r="AA46" s="22">
        <f t="shared" ca="1" si="5"/>
        <v>656730</v>
      </c>
      <c r="AB46" s="22">
        <f ca="1">IF(R47=0,R46*Q12,(R45*20+R46*10))</f>
        <v>261108400</v>
      </c>
      <c r="AC46" s="22">
        <f t="shared" ca="1" si="6"/>
        <v>0</v>
      </c>
      <c r="AD46" s="22">
        <f t="shared" ca="1" si="7"/>
        <v>0</v>
      </c>
      <c r="AE46" s="22">
        <f t="shared" ca="1" si="28"/>
        <v>0</v>
      </c>
      <c r="AF46" s="22">
        <f t="shared" ca="1" si="8"/>
        <v>0</v>
      </c>
      <c r="AG46" s="22">
        <f t="shared" ca="1" si="29"/>
        <v>0</v>
      </c>
      <c r="AH46" s="22">
        <f t="shared" ca="1" si="9"/>
        <v>0</v>
      </c>
      <c r="AI46" s="22">
        <f t="shared" ca="1" si="10"/>
        <v>8333240</v>
      </c>
      <c r="AJ46" s="22">
        <f ca="1">IF(N47=1,AI45*G12*20/36000+AI46*G12*10/36000,IF(N47=0,IF(N46=0,0,AI46*G12*Q12/36000+AI45*G12*20/36000+AI46*G12*10/36000)))</f>
        <v>0</v>
      </c>
      <c r="AK46" s="22">
        <f ca="1">IF(N47=1,AI45*G12*20/36000+AI46*G12*10/36000,IF(N47=0,IF(N46=0,0,AI46*G12*Q12/36000+AI45*G12*20/36000+AI46*G12*10/36000)))</f>
        <v>0</v>
      </c>
      <c r="AL46" s="69">
        <f t="shared" ca="1" si="30"/>
        <v>11</v>
      </c>
      <c r="AM46" s="69">
        <f t="shared" ca="1" si="11"/>
        <v>11</v>
      </c>
      <c r="AN46" s="4">
        <f t="shared" ca="1" si="31"/>
        <v>2025</v>
      </c>
      <c r="AO46" s="4">
        <f t="shared" ca="1" si="12"/>
        <v>2025</v>
      </c>
      <c r="AP46" s="4">
        <f t="shared" ca="1" si="13"/>
        <v>0</v>
      </c>
      <c r="AQ46" s="4">
        <f t="shared" ca="1" si="14"/>
        <v>30</v>
      </c>
      <c r="AR46" s="4">
        <f t="shared" si="15"/>
        <v>20</v>
      </c>
      <c r="AS46" s="4">
        <f t="shared" ca="1" si="32"/>
        <v>30</v>
      </c>
      <c r="AT46" s="19"/>
      <c r="AU46" s="19"/>
      <c r="AV46" s="19"/>
      <c r="AW46" s="19"/>
      <c r="AX46" s="19"/>
      <c r="AY46" s="4">
        <f t="shared" ca="1" si="16"/>
        <v>1</v>
      </c>
      <c r="AZ46" s="19"/>
      <c r="BC46" s="19"/>
      <c r="BD46" s="19"/>
      <c r="BE46" s="19"/>
      <c r="BF46" s="19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</row>
    <row r="47" spans="1:141" s="24" customFormat="1" ht="15" customHeight="1">
      <c r="A47" s="4">
        <f t="shared" si="17"/>
        <v>23</v>
      </c>
      <c r="B47" s="268">
        <f t="shared" ca="1" si="18"/>
        <v>46011</v>
      </c>
      <c r="C47" s="401"/>
      <c r="D47" s="443">
        <f ca="1">IF(N47=0,IF(N46=1,D25+D26+D27+D28+D29+D30+D31+D32+D33+D34+D35+D36+D37+D38+D39+D40+D41+D42+D43+D44+D45+D46," "),IF(N47=0," ",IF(N48=1,D25,IF(N48=0,D10-D25*(M14-1)," "))))</f>
        <v>555560</v>
      </c>
      <c r="E47" s="443"/>
      <c r="F47" s="84">
        <f ca="1">IF(N47=0,IF(N46=1,F25+F26+F27+F28+F29+F30+F31+F32+F33+F34+F35+F36+F37+F38+F39+F40+F41+F42+F43+F44+F45+F46," "),IF(M1=1,P47,IF(M1=2,Q47," ")))</f>
        <v>563570</v>
      </c>
      <c r="G47" s="84">
        <v>0</v>
      </c>
      <c r="H47" s="84">
        <f t="shared" ca="1" si="19"/>
        <v>1119130</v>
      </c>
      <c r="I47" s="84">
        <f t="shared" ca="1" si="20"/>
        <v>606060</v>
      </c>
      <c r="J47" s="84">
        <f t="shared" ca="1" si="0"/>
        <v>614820</v>
      </c>
      <c r="K47" s="84">
        <v>0</v>
      </c>
      <c r="L47" s="84">
        <f t="shared" ca="1" si="21"/>
        <v>1220880</v>
      </c>
      <c r="M47" s="4">
        <f t="shared" si="22"/>
        <v>23</v>
      </c>
      <c r="N47" s="4">
        <f ca="1">IF(M1=1,IF(M14&gt;22,1,0),IF(M1=2,IF(M14&gt;22,1,0),0))</f>
        <v>1</v>
      </c>
      <c r="O47" s="4">
        <f t="shared" ca="1" si="1"/>
        <v>20</v>
      </c>
      <c r="P47" s="22">
        <f t="shared" ca="1" si="2"/>
        <v>563570</v>
      </c>
      <c r="Q47" s="22">
        <f t="shared" ca="1" si="3"/>
        <v>563570</v>
      </c>
      <c r="R47" s="22">
        <f t="shared" ca="1" si="23"/>
        <v>7777680</v>
      </c>
      <c r="S47" s="22">
        <f t="shared" ca="1" si="24"/>
        <v>555560</v>
      </c>
      <c r="T47" s="22">
        <f t="shared" ca="1" si="25"/>
        <v>555560</v>
      </c>
      <c r="U47" s="22">
        <f ca="1">IF(N48=1,R46*D11*20/36000+R47*D11*10/36000,IF(N48=0,IF(N47=0,0,R47*D11*Q12/36000+R46*D11*20/36000+R47*D11*10/36000)))</f>
        <v>563573.68888888881</v>
      </c>
      <c r="V47" s="22">
        <f ca="1">IF(N48=1,R46*D11*20/36000+R47*D11*10/36000,IF(N48=0,IF(N47=0,0,R47*D11*Q12/36000+R46*D11*20/36000+R47*D11*10/36000)))</f>
        <v>563573.68888888881</v>
      </c>
      <c r="W47" s="22">
        <f t="shared" ca="1" si="26"/>
        <v>1383333.3333333335</v>
      </c>
      <c r="X47" s="22">
        <f t="shared" ca="1" si="27"/>
        <v>1383330</v>
      </c>
      <c r="Y47" s="22">
        <f t="shared" ca="1" si="4"/>
        <v>8484860</v>
      </c>
      <c r="Z47" s="22">
        <f t="shared" ca="1" si="33"/>
        <v>614815.58333333326</v>
      </c>
      <c r="AA47" s="22">
        <f t="shared" ca="1" si="5"/>
        <v>614820</v>
      </c>
      <c r="AB47" s="22">
        <f ca="1">IF(R48=0,R47*Q12,(R46*20+R47*10))</f>
        <v>244441600</v>
      </c>
      <c r="AC47" s="22">
        <f t="shared" ca="1" si="6"/>
        <v>0</v>
      </c>
      <c r="AD47" s="22">
        <f t="shared" ca="1" si="7"/>
        <v>0</v>
      </c>
      <c r="AE47" s="22">
        <f t="shared" ca="1" si="28"/>
        <v>0</v>
      </c>
      <c r="AF47" s="22">
        <f t="shared" ca="1" si="8"/>
        <v>0</v>
      </c>
      <c r="AG47" s="22">
        <f t="shared" ca="1" si="29"/>
        <v>0</v>
      </c>
      <c r="AH47" s="22">
        <f t="shared" ca="1" si="9"/>
        <v>0</v>
      </c>
      <c r="AI47" s="22">
        <f t="shared" ca="1" si="10"/>
        <v>7777680</v>
      </c>
      <c r="AJ47" s="22">
        <f ca="1">IF(N48=1,AI46*G12*20/36000+AI47*G12*10/36000,IF(N48=0,IF(N47=0,0,AI47*G12*Q12/36000+AI46*G12*20/36000+AI47*G12*10/36000)))</f>
        <v>0</v>
      </c>
      <c r="AK47" s="22">
        <f ca="1">IF(N48=1,AI46*G12*20/36000+AI47*G12*10/36000,IF(N48=0,IF(N47=0,0,AI47*G12*Q12/36000+AI46*G12*20/36000+AI47*G12*10/36000)))</f>
        <v>0</v>
      </c>
      <c r="AL47" s="69">
        <f t="shared" ca="1" si="30"/>
        <v>12</v>
      </c>
      <c r="AM47" s="69">
        <f t="shared" ca="1" si="11"/>
        <v>12</v>
      </c>
      <c r="AN47" s="4">
        <f t="shared" ca="1" si="31"/>
        <v>2025</v>
      </c>
      <c r="AO47" s="4">
        <f t="shared" ca="1" si="12"/>
        <v>2025</v>
      </c>
      <c r="AP47" s="4">
        <f t="shared" ca="1" si="13"/>
        <v>0</v>
      </c>
      <c r="AQ47" s="4">
        <f t="shared" ca="1" si="14"/>
        <v>30</v>
      </c>
      <c r="AR47" s="4">
        <f t="shared" si="15"/>
        <v>20</v>
      </c>
      <c r="AS47" s="4">
        <f t="shared" ca="1" si="32"/>
        <v>30</v>
      </c>
      <c r="AT47" s="19"/>
      <c r="AU47" s="19"/>
      <c r="AV47" s="19"/>
      <c r="AW47" s="19"/>
      <c r="AX47" s="19"/>
      <c r="AY47" s="4">
        <f t="shared" ca="1" si="16"/>
        <v>1</v>
      </c>
      <c r="AZ47" s="19"/>
      <c r="BC47" s="19"/>
      <c r="BD47" s="19"/>
      <c r="BE47" s="19"/>
      <c r="BF47" s="19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</row>
    <row r="48" spans="1:141" s="24" customFormat="1" ht="15" customHeight="1">
      <c r="A48" s="4">
        <f t="shared" si="17"/>
        <v>24</v>
      </c>
      <c r="B48" s="268">
        <f t="shared" ca="1" si="18"/>
        <v>46042</v>
      </c>
      <c r="C48" s="401"/>
      <c r="D48" s="443">
        <f ca="1">IF(N48=0,IF(N47=1,SUM(D$25:E47)," "),IF(N48=0," ",IF(N49=1,D$25,IF(N49=0,D$10-D$25*(M$14-1)," "))))</f>
        <v>555560</v>
      </c>
      <c r="E48" s="443"/>
      <c r="F48" s="84">
        <f ca="1">IF(N48=0,IF(N47=1,SUM(F$25:F47)," "),IF(M$1=1,P48,IF(M$1=2,Q48," ")))</f>
        <v>525150</v>
      </c>
      <c r="G48" s="84">
        <v>0</v>
      </c>
      <c r="H48" s="84">
        <f t="shared" ca="1" si="19"/>
        <v>1080710</v>
      </c>
      <c r="I48" s="84">
        <f t="shared" ca="1" si="20"/>
        <v>606060</v>
      </c>
      <c r="J48" s="84">
        <f t="shared" ca="1" si="0"/>
        <v>572900</v>
      </c>
      <c r="K48" s="84">
        <v>0</v>
      </c>
      <c r="L48" s="84">
        <f t="shared" ca="1" si="21"/>
        <v>1178960</v>
      </c>
      <c r="M48" s="4">
        <f t="shared" si="22"/>
        <v>24</v>
      </c>
      <c r="N48" s="4">
        <f t="shared" ref="N48:N85" ca="1" si="34">IF(M$1=1,IF(M$14&gt;M47,1,0),IF(M$1=2,IF(M$14&gt;M47,1,0),0))</f>
        <v>1</v>
      </c>
      <c r="O48" s="4">
        <f t="shared" ca="1" si="1"/>
        <v>20</v>
      </c>
      <c r="P48" s="22">
        <f t="shared" ca="1" si="2"/>
        <v>525150</v>
      </c>
      <c r="Q48" s="22">
        <f t="shared" ca="1" si="3"/>
        <v>525150</v>
      </c>
      <c r="R48" s="22">
        <f t="shared" ca="1" si="23"/>
        <v>7222120</v>
      </c>
      <c r="S48" s="22">
        <f t="shared" ca="1" si="24"/>
        <v>555560</v>
      </c>
      <c r="T48" s="22">
        <f t="shared" ca="1" si="25"/>
        <v>555560</v>
      </c>
      <c r="U48" s="22">
        <f ca="1">IF(N49=1,R47*D$11*20/36000+R48*D$11*10/36000,IF(N49=0,IF(N48=0,0,R48*D$11*Q$12/36000+R47*D$11*20/36000+R48*D$11*10/36000)))</f>
        <v>525147.45555555553</v>
      </c>
      <c r="V48" s="22">
        <f ca="1">IF(N49=1,R47*D$11*20/36000+R48*D$11*10/36000,IF(N49=0,IF(N48=0,0,R48*D$11*Q$12/36000+R47*D$11*20/36000+R48*D$11*10/36000)))</f>
        <v>525147.45555555553</v>
      </c>
      <c r="W48" s="22">
        <f t="shared" ca="1" si="26"/>
        <v>1383333.3333333335</v>
      </c>
      <c r="X48" s="22">
        <f t="shared" ca="1" si="27"/>
        <v>1383330</v>
      </c>
      <c r="Y48" s="22">
        <f t="shared" ca="1" si="4"/>
        <v>7878800</v>
      </c>
      <c r="Z48" s="22">
        <f t="shared" ca="1" si="33"/>
        <v>572896.43333333335</v>
      </c>
      <c r="AA48" s="22">
        <f t="shared" ca="1" si="5"/>
        <v>572900</v>
      </c>
      <c r="AB48" s="22">
        <f t="shared" ref="AB48:AB84" ca="1" si="35">IF(R49=0,R48*Q$12,(R47*20+R48*10))</f>
        <v>227774800</v>
      </c>
      <c r="AC48" s="22">
        <f t="shared" ca="1" si="6"/>
        <v>0</v>
      </c>
      <c r="AD48" s="22">
        <f t="shared" ca="1" si="7"/>
        <v>0</v>
      </c>
      <c r="AE48" s="22">
        <f t="shared" ca="1" si="28"/>
        <v>0</v>
      </c>
      <c r="AF48" s="22">
        <f t="shared" ca="1" si="8"/>
        <v>0</v>
      </c>
      <c r="AG48" s="22">
        <f t="shared" ca="1" si="29"/>
        <v>0</v>
      </c>
      <c r="AH48" s="22">
        <f t="shared" ca="1" si="9"/>
        <v>0</v>
      </c>
      <c r="AI48" s="22">
        <f t="shared" ca="1" si="10"/>
        <v>7222120</v>
      </c>
      <c r="AJ48" s="22">
        <f ca="1">IF(N49=1,AI47*G$12*20/36000+AI48*G$12*10/36000,IF(N49=0,IF(N48=0,0,AI48*G$12*Q$12/36000+AI47*G$12*20/36000+AI48*G$12*10/36000)))</f>
        <v>0</v>
      </c>
      <c r="AK48" s="22">
        <f ca="1">IF(N49=1,AI47*G$12*20/36000+AI48*G$12*10/36000,IF(N49=0,IF(N48=0,0,AI48*G$12*Q$12/36000+AI47*G$12*20/36000+AI48*G$12*10/36000)))</f>
        <v>0</v>
      </c>
      <c r="AL48" s="69">
        <f t="shared" ca="1" si="30"/>
        <v>13</v>
      </c>
      <c r="AM48" s="69">
        <f t="shared" ca="1" si="11"/>
        <v>1</v>
      </c>
      <c r="AN48" s="4">
        <f t="shared" ca="1" si="31"/>
        <v>2025</v>
      </c>
      <c r="AO48" s="4">
        <f t="shared" ca="1" si="12"/>
        <v>2026</v>
      </c>
      <c r="AP48" s="4">
        <f t="shared" ca="1" si="13"/>
        <v>0</v>
      </c>
      <c r="AQ48" s="4">
        <f t="shared" ca="1" si="14"/>
        <v>30</v>
      </c>
      <c r="AR48" s="4">
        <f t="shared" si="15"/>
        <v>20</v>
      </c>
      <c r="AS48" s="4">
        <f t="shared" ca="1" si="32"/>
        <v>30</v>
      </c>
      <c r="AT48" s="19"/>
      <c r="AU48" s="19"/>
      <c r="AV48" s="19"/>
      <c r="AW48" s="19"/>
      <c r="AX48" s="19"/>
      <c r="AY48" s="4">
        <f t="shared" ca="1" si="16"/>
        <v>1</v>
      </c>
      <c r="AZ48" s="19"/>
      <c r="BC48" s="19"/>
      <c r="BD48" s="19"/>
      <c r="BE48" s="19"/>
      <c r="BF48" s="19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</row>
    <row r="49" spans="1:141" s="25" customFormat="1" ht="15" customHeight="1">
      <c r="A49" s="4">
        <v>25</v>
      </c>
      <c r="B49" s="268">
        <f t="shared" ca="1" si="18"/>
        <v>46073</v>
      </c>
      <c r="C49" s="401"/>
      <c r="D49" s="443">
        <f ca="1">IF(N49=0,IF(N48=1,SUM(D$25:E48)," "),IF(N49=0," ",IF(N50=1,D$25,IF(N50=0,D$10-D$25*(M$14-1)," "))))</f>
        <v>555560</v>
      </c>
      <c r="E49" s="443"/>
      <c r="F49" s="84">
        <f ca="1">IF(N49=0,IF(N48=1,SUM(F$25:F48)," "),IF(M$1=1,P49,IF(M$1=2,Q49," ")))</f>
        <v>486720</v>
      </c>
      <c r="G49" s="84">
        <v>0</v>
      </c>
      <c r="H49" s="84">
        <f t="shared" ca="1" si="19"/>
        <v>1042280</v>
      </c>
      <c r="I49" s="84">
        <f t="shared" ca="1" si="20"/>
        <v>606060</v>
      </c>
      <c r="J49" s="84">
        <f t="shared" ca="1" si="0"/>
        <v>530980</v>
      </c>
      <c r="K49" s="84">
        <v>0</v>
      </c>
      <c r="L49" s="84">
        <f t="shared" ca="1" si="21"/>
        <v>1137040</v>
      </c>
      <c r="M49" s="4">
        <v>25</v>
      </c>
      <c r="N49" s="4">
        <f t="shared" ca="1" si="34"/>
        <v>1</v>
      </c>
      <c r="O49" s="4">
        <f t="shared" ca="1" si="1"/>
        <v>20</v>
      </c>
      <c r="P49" s="22">
        <f t="shared" ca="1" si="2"/>
        <v>486720</v>
      </c>
      <c r="Q49" s="22">
        <f t="shared" ca="1" si="3"/>
        <v>486720</v>
      </c>
      <c r="R49" s="22">
        <f t="shared" ca="1" si="23"/>
        <v>6666560</v>
      </c>
      <c r="S49" s="22">
        <f t="shared" ca="1" si="24"/>
        <v>555560</v>
      </c>
      <c r="T49" s="22">
        <f t="shared" ca="1" si="25"/>
        <v>555560</v>
      </c>
      <c r="U49" s="22">
        <f ca="1">IF(N50=1,R48*D$11*20/36000+R49*D$11*10/36000,IF(N50=0,IF(N49=0,0,IF(D$16&gt;20,R48*D$11*20/36000+R49*D$11*(Q$12-20)/36000,R49*D$11*Q$12/36000))))</f>
        <v>486721.22222222225</v>
      </c>
      <c r="V49" s="22">
        <f ca="1">IF(N50=1,R48*D$11*20/36000+R49*D$11*10/36000,IF(N50=0,IF(N49=0,0,IF(D$16&gt;20,R48*D$11*20/36000+R49*D$11*(Q$12-20)/36000,R49*D$11*Q$12/36000))))</f>
        <v>486721.22222222225</v>
      </c>
      <c r="W49" s="22">
        <f t="shared" ca="1" si="26"/>
        <v>1383333.3333333335</v>
      </c>
      <c r="X49" s="22">
        <f t="shared" ca="1" si="27"/>
        <v>1383330</v>
      </c>
      <c r="Y49" s="22">
        <f t="shared" ca="1" si="4"/>
        <v>7272740</v>
      </c>
      <c r="Z49" s="22">
        <f ca="1">IF(N50=1,Y48*D$11*20/36000+Y49*D$11*10/36000,IF(N50=0,IF(N49=0,0,IF(D$16&gt;20,Y48*D$11*20/36000+Y49*D$11*(Q$12-20)/36000,Y49*D$11*Q$12/36000))))</f>
        <v>530977.28333333333</v>
      </c>
      <c r="AA49" s="22">
        <f t="shared" ca="1" si="5"/>
        <v>530980</v>
      </c>
      <c r="AB49" s="22">
        <f t="shared" ca="1" si="35"/>
        <v>211108000</v>
      </c>
      <c r="AC49" s="22">
        <f t="shared" ca="1" si="6"/>
        <v>0</v>
      </c>
      <c r="AD49" s="22">
        <f t="shared" ca="1" si="7"/>
        <v>0</v>
      </c>
      <c r="AE49" s="22">
        <f t="shared" ca="1" si="28"/>
        <v>0</v>
      </c>
      <c r="AF49" s="22">
        <f t="shared" ca="1" si="8"/>
        <v>0</v>
      </c>
      <c r="AG49" s="22">
        <f t="shared" ca="1" si="29"/>
        <v>0</v>
      </c>
      <c r="AH49" s="22">
        <f t="shared" ca="1" si="9"/>
        <v>0</v>
      </c>
      <c r="AI49" s="22">
        <f t="shared" ca="1" si="10"/>
        <v>6666560</v>
      </c>
      <c r="AJ49" s="22">
        <f ca="1">IF(N50=1,AI48*G$12*20/36000+AI49*G$12*10/36000,IF(N50=0,IF(N49=0,0,AI49*G$12*Q$12/36000)))</f>
        <v>0</v>
      </c>
      <c r="AK49" s="22">
        <f ca="1">IF(N50=1,AI48*G$12*20/36000+AI49*G$12*10/36000,IF(N50=0,IF(N49=0,0,AI49*G$12*Q$12/36000)))</f>
        <v>0</v>
      </c>
      <c r="AL49" s="69">
        <f t="shared" ca="1" si="30"/>
        <v>2</v>
      </c>
      <c r="AM49" s="69">
        <f t="shared" ca="1" si="11"/>
        <v>2</v>
      </c>
      <c r="AN49" s="4">
        <f t="shared" ca="1" si="31"/>
        <v>2026</v>
      </c>
      <c r="AO49" s="4">
        <f t="shared" ca="1" si="12"/>
        <v>2026</v>
      </c>
      <c r="AP49" s="4">
        <f t="shared" ca="1" si="13"/>
        <v>0</v>
      </c>
      <c r="AQ49" s="4">
        <f t="shared" ca="1" si="14"/>
        <v>28</v>
      </c>
      <c r="AR49" s="4">
        <f t="shared" si="15"/>
        <v>20</v>
      </c>
      <c r="AS49" s="4">
        <f t="shared" ca="1" si="32"/>
        <v>30</v>
      </c>
      <c r="AT49" s="4"/>
      <c r="AU49" s="4"/>
      <c r="AV49" s="4"/>
      <c r="AW49" s="4"/>
      <c r="AX49" s="4"/>
      <c r="AY49" s="4">
        <f t="shared" ca="1" si="16"/>
        <v>1</v>
      </c>
      <c r="AZ49" s="4"/>
      <c r="BC49" s="4"/>
      <c r="BD49" s="4"/>
      <c r="BE49" s="4"/>
      <c r="BF49" s="4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</row>
    <row r="50" spans="1:141" s="24" customFormat="1" ht="15" customHeight="1">
      <c r="A50" s="4">
        <v>26</v>
      </c>
      <c r="B50" s="268">
        <f t="shared" ca="1" si="18"/>
        <v>46101</v>
      </c>
      <c r="C50" s="401"/>
      <c r="D50" s="443">
        <f ca="1">IF(N50=0,IF(N49=1,SUM(D$25:E49)," "),IF(N50=0," ",IF(N51=1,D$25,IF(N51=0,D$10-D$25*(M$14-1)," "))))</f>
        <v>555560</v>
      </c>
      <c r="E50" s="443"/>
      <c r="F50" s="84">
        <f ca="1">IF(N50=0,IF(N49=1,SUM(F$25:F49)," "),IF(M$1=1,P50,IF(M$1=2,Q50," ")))</f>
        <v>448290</v>
      </c>
      <c r="G50" s="84">
        <v>0</v>
      </c>
      <c r="H50" s="84">
        <f t="shared" ca="1" si="19"/>
        <v>1003850</v>
      </c>
      <c r="I50" s="84">
        <f t="shared" ca="1" si="20"/>
        <v>606060</v>
      </c>
      <c r="J50" s="84">
        <f t="shared" ca="1" si="0"/>
        <v>489060</v>
      </c>
      <c r="K50" s="84">
        <v>0</v>
      </c>
      <c r="L50" s="84">
        <f t="shared" ca="1" si="21"/>
        <v>1095120</v>
      </c>
      <c r="M50" s="4">
        <v>26</v>
      </c>
      <c r="N50" s="4">
        <f t="shared" ca="1" si="34"/>
        <v>1</v>
      </c>
      <c r="O50" s="4">
        <f t="shared" ca="1" si="1"/>
        <v>20</v>
      </c>
      <c r="P50" s="22">
        <f t="shared" ca="1" si="2"/>
        <v>448290</v>
      </c>
      <c r="Q50" s="22">
        <f t="shared" ca="1" si="3"/>
        <v>448290</v>
      </c>
      <c r="R50" s="22">
        <f t="shared" ca="1" si="23"/>
        <v>6111000</v>
      </c>
      <c r="S50" s="22">
        <f t="shared" ca="1" si="24"/>
        <v>555560</v>
      </c>
      <c r="T50" s="22">
        <f t="shared" ca="1" si="25"/>
        <v>555560</v>
      </c>
      <c r="U50" s="22">
        <f t="shared" ref="U50:U60" ca="1" si="36">IF(N51=1,R49*D$11*20/36000+R50*D$11*10/36000,IF(N51=0,IF(N50=0,0,R50*D$11*Q$12/36000+R49*D$11*20/36000+R50*D$11*10/36000)))</f>
        <v>448294.98888888891</v>
      </c>
      <c r="V50" s="22">
        <f t="shared" ref="V50:V60" ca="1" si="37">IF(N51=1,R49*D$11*20/36000+R50*D$11*10/36000,IF(N51=0,IF(N50=0,0,R50*D$11*Q$12/36000+R49*D$11*20/36000+R50*D$11*10/36000)))</f>
        <v>448294.98888888891</v>
      </c>
      <c r="W50" s="22">
        <f t="shared" ca="1" si="26"/>
        <v>1383333.3333333335</v>
      </c>
      <c r="X50" s="22">
        <f t="shared" ca="1" si="27"/>
        <v>1383330</v>
      </c>
      <c r="Y50" s="22">
        <f t="shared" ca="1" si="4"/>
        <v>6666680</v>
      </c>
      <c r="Z50" s="22">
        <f t="shared" ref="Z50:Z60" ca="1" si="38">IF(N51=1,Y49*D$11*20/36000+Y50*D$11*10/36000,IF(N51=0,IF(N50=0,0,Y50*D$11*Q$12/36000+Y49*D$11*20/36000+Y50*D$11*10/36000)))</f>
        <v>489058.1333333333</v>
      </c>
      <c r="AA50" s="22">
        <f t="shared" ca="1" si="5"/>
        <v>489060</v>
      </c>
      <c r="AB50" s="22">
        <f t="shared" ca="1" si="35"/>
        <v>194441200</v>
      </c>
      <c r="AC50" s="22">
        <f t="shared" ca="1" si="6"/>
        <v>0</v>
      </c>
      <c r="AD50" s="22">
        <f t="shared" ca="1" si="7"/>
        <v>0</v>
      </c>
      <c r="AE50" s="22">
        <f t="shared" ca="1" si="28"/>
        <v>0</v>
      </c>
      <c r="AF50" s="22">
        <f t="shared" ca="1" si="8"/>
        <v>0</v>
      </c>
      <c r="AG50" s="22">
        <f t="shared" ca="1" si="29"/>
        <v>0</v>
      </c>
      <c r="AH50" s="22">
        <f t="shared" ca="1" si="9"/>
        <v>0</v>
      </c>
      <c r="AI50" s="22">
        <f t="shared" ca="1" si="10"/>
        <v>6111000</v>
      </c>
      <c r="AJ50" s="22">
        <f t="shared" ref="AJ50:AJ60" ca="1" si="39">IF(N51=1,AI49*G$12*20/36000+AI50*G$12*10/36000,IF(N51=0,IF(N50=0,0,AI50*G$12*Q$12/36000+AI49*G$12*20/36000+AI50*G$12*10/36000)))</f>
        <v>0</v>
      </c>
      <c r="AK50" s="22">
        <f t="shared" ref="AK50:AK60" ca="1" si="40">IF(N51=1,AI49*G$12*20/36000+AI50*G$12*10/36000,IF(N51=0,IF(N50=0,0,AI50*G$12*Q$12/36000+AI49*G$12*20/36000+AI50*G$12*10/36000)))</f>
        <v>0</v>
      </c>
      <c r="AL50" s="69">
        <f t="shared" ca="1" si="30"/>
        <v>3</v>
      </c>
      <c r="AM50" s="69">
        <f t="shared" ca="1" si="11"/>
        <v>3</v>
      </c>
      <c r="AN50" s="4">
        <f t="shared" ca="1" si="31"/>
        <v>2026</v>
      </c>
      <c r="AO50" s="4">
        <f t="shared" ca="1" si="12"/>
        <v>2026</v>
      </c>
      <c r="AP50" s="4">
        <f t="shared" ca="1" si="13"/>
        <v>0</v>
      </c>
      <c r="AQ50" s="4">
        <f t="shared" ca="1" si="14"/>
        <v>30</v>
      </c>
      <c r="AR50" s="4">
        <f t="shared" si="15"/>
        <v>20</v>
      </c>
      <c r="AS50" s="4">
        <f t="shared" ca="1" si="32"/>
        <v>28</v>
      </c>
      <c r="AT50" s="19"/>
      <c r="AU50" s="19"/>
      <c r="AV50" s="19"/>
      <c r="AW50" s="19"/>
      <c r="AX50" s="19"/>
      <c r="AY50" s="4">
        <f t="shared" ca="1" si="16"/>
        <v>1</v>
      </c>
      <c r="AZ50" s="19"/>
      <c r="BC50" s="19"/>
      <c r="BD50" s="19"/>
      <c r="BE50" s="19"/>
      <c r="BF50" s="19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</row>
    <row r="51" spans="1:141" s="24" customFormat="1" ht="15" customHeight="1">
      <c r="A51" s="4">
        <v>27</v>
      </c>
      <c r="B51" s="268">
        <f t="shared" ca="1" si="18"/>
        <v>46132</v>
      </c>
      <c r="C51" s="401"/>
      <c r="D51" s="443">
        <f ca="1">IF(N51=0,IF(N50=1,SUM(D$25:E50)," "),IF(N51=0," ",IF(N52=1,D$25,IF(N52=0,D$10-D$25*(M$14-1)," "))))</f>
        <v>555560</v>
      </c>
      <c r="E51" s="443"/>
      <c r="F51" s="84">
        <f ca="1">IF(N51=0,IF(N50=1,SUM(F$25:F50)," "),IF(M$1=1,P51,IF(M$1=2,Q51," ")))</f>
        <v>409870</v>
      </c>
      <c r="G51" s="84">
        <v>0</v>
      </c>
      <c r="H51" s="84">
        <f t="shared" ca="1" si="19"/>
        <v>965430</v>
      </c>
      <c r="I51" s="84">
        <f t="shared" ca="1" si="20"/>
        <v>606060</v>
      </c>
      <c r="J51" s="84">
        <f t="shared" ca="1" si="0"/>
        <v>447140</v>
      </c>
      <c r="K51" s="84">
        <v>0</v>
      </c>
      <c r="L51" s="84">
        <f t="shared" ca="1" si="21"/>
        <v>1053200</v>
      </c>
      <c r="M51" s="4">
        <v>27</v>
      </c>
      <c r="N51" s="4">
        <f t="shared" ca="1" si="34"/>
        <v>1</v>
      </c>
      <c r="O51" s="4">
        <f t="shared" ca="1" si="1"/>
        <v>20</v>
      </c>
      <c r="P51" s="22">
        <f t="shared" ca="1" si="2"/>
        <v>409870</v>
      </c>
      <c r="Q51" s="22">
        <f t="shared" ca="1" si="3"/>
        <v>409870</v>
      </c>
      <c r="R51" s="22">
        <f t="shared" ca="1" si="23"/>
        <v>5555440</v>
      </c>
      <c r="S51" s="22">
        <f t="shared" ca="1" si="24"/>
        <v>555560</v>
      </c>
      <c r="T51" s="22">
        <f t="shared" ca="1" si="25"/>
        <v>555560</v>
      </c>
      <c r="U51" s="22">
        <f t="shared" ca="1" si="36"/>
        <v>409868.75555555557</v>
      </c>
      <c r="V51" s="22">
        <f t="shared" ca="1" si="37"/>
        <v>409868.75555555557</v>
      </c>
      <c r="W51" s="22">
        <f t="shared" ca="1" si="26"/>
        <v>1383333.3333333335</v>
      </c>
      <c r="X51" s="22">
        <f t="shared" ca="1" si="27"/>
        <v>1383330</v>
      </c>
      <c r="Y51" s="22">
        <f t="shared" ca="1" si="4"/>
        <v>6060620</v>
      </c>
      <c r="Z51" s="22">
        <f t="shared" ca="1" si="38"/>
        <v>447138.98333333334</v>
      </c>
      <c r="AA51" s="22">
        <f t="shared" ca="1" si="5"/>
        <v>447140</v>
      </c>
      <c r="AB51" s="22">
        <f t="shared" ca="1" si="35"/>
        <v>177774400</v>
      </c>
      <c r="AC51" s="22">
        <f t="shared" ca="1" si="6"/>
        <v>0</v>
      </c>
      <c r="AD51" s="22">
        <f t="shared" ca="1" si="7"/>
        <v>0</v>
      </c>
      <c r="AE51" s="22">
        <f t="shared" ca="1" si="28"/>
        <v>0</v>
      </c>
      <c r="AF51" s="22">
        <f t="shared" ca="1" si="8"/>
        <v>0</v>
      </c>
      <c r="AG51" s="22">
        <f t="shared" ca="1" si="29"/>
        <v>0</v>
      </c>
      <c r="AH51" s="22">
        <f t="shared" ca="1" si="9"/>
        <v>0</v>
      </c>
      <c r="AI51" s="22">
        <f t="shared" ca="1" si="10"/>
        <v>5555440</v>
      </c>
      <c r="AJ51" s="22">
        <f t="shared" ca="1" si="39"/>
        <v>0</v>
      </c>
      <c r="AK51" s="22">
        <f t="shared" ca="1" si="40"/>
        <v>0</v>
      </c>
      <c r="AL51" s="69">
        <f t="shared" ca="1" si="30"/>
        <v>4</v>
      </c>
      <c r="AM51" s="69">
        <f t="shared" ca="1" si="11"/>
        <v>4</v>
      </c>
      <c r="AN51" s="4">
        <f t="shared" ca="1" si="31"/>
        <v>2026</v>
      </c>
      <c r="AO51" s="4">
        <f t="shared" ca="1" si="12"/>
        <v>2026</v>
      </c>
      <c r="AP51" s="4">
        <f t="shared" ca="1" si="13"/>
        <v>0</v>
      </c>
      <c r="AQ51" s="4">
        <f t="shared" ca="1" si="14"/>
        <v>30</v>
      </c>
      <c r="AR51" s="4">
        <f t="shared" si="15"/>
        <v>20</v>
      </c>
      <c r="AS51" s="4">
        <f t="shared" ca="1" si="32"/>
        <v>30</v>
      </c>
      <c r="AT51" s="19"/>
      <c r="AU51" s="19"/>
      <c r="AV51" s="19"/>
      <c r="AW51" s="19"/>
      <c r="AX51" s="19"/>
      <c r="AY51" s="4">
        <f t="shared" ca="1" si="16"/>
        <v>1</v>
      </c>
      <c r="AZ51" s="19"/>
      <c r="BC51" s="19"/>
      <c r="BD51" s="19"/>
      <c r="BE51" s="19"/>
      <c r="BF51" s="19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</row>
    <row r="52" spans="1:141" s="24" customFormat="1" ht="15" customHeight="1">
      <c r="A52" s="4">
        <v>28</v>
      </c>
      <c r="B52" s="268">
        <f t="shared" ca="1" si="18"/>
        <v>46162</v>
      </c>
      <c r="C52" s="401"/>
      <c r="D52" s="443">
        <f ca="1">IF(N52=0,IF(N51=1,SUM(D$25:E51)," "),IF(N52=0," ",IF(N53=1,D$25,IF(N53=0,D$10-D$25*(M$14-1)," "))))</f>
        <v>555560</v>
      </c>
      <c r="E52" s="443"/>
      <c r="F52" s="84">
        <f ca="1">IF(N52=0,IF(N51=1,SUM(F$25:F51)," "),IF(M$1=1,P52,IF(M$1=2,Q52," ")))</f>
        <v>371440</v>
      </c>
      <c r="G52" s="84">
        <v>0</v>
      </c>
      <c r="H52" s="84">
        <f t="shared" ca="1" si="19"/>
        <v>927000</v>
      </c>
      <c r="I52" s="84">
        <f t="shared" ca="1" si="20"/>
        <v>606060</v>
      </c>
      <c r="J52" s="84">
        <f t="shared" ca="1" si="0"/>
        <v>405220</v>
      </c>
      <c r="K52" s="84">
        <v>0</v>
      </c>
      <c r="L52" s="84">
        <f t="shared" ca="1" si="21"/>
        <v>1011280</v>
      </c>
      <c r="M52" s="4">
        <v>28</v>
      </c>
      <c r="N52" s="4">
        <f t="shared" ca="1" si="34"/>
        <v>1</v>
      </c>
      <c r="O52" s="4">
        <f t="shared" ca="1" si="1"/>
        <v>20</v>
      </c>
      <c r="P52" s="22">
        <f t="shared" ca="1" si="2"/>
        <v>371440</v>
      </c>
      <c r="Q52" s="22">
        <f t="shared" ca="1" si="3"/>
        <v>371440</v>
      </c>
      <c r="R52" s="22">
        <f t="shared" ca="1" si="23"/>
        <v>4999880</v>
      </c>
      <c r="S52" s="22">
        <f t="shared" ca="1" si="24"/>
        <v>555560</v>
      </c>
      <c r="T52" s="22">
        <f t="shared" ca="1" si="25"/>
        <v>555560</v>
      </c>
      <c r="U52" s="22">
        <f t="shared" ca="1" si="36"/>
        <v>371442.52222222224</v>
      </c>
      <c r="V52" s="22">
        <f t="shared" ca="1" si="37"/>
        <v>371442.52222222224</v>
      </c>
      <c r="W52" s="22">
        <f t="shared" ca="1" si="26"/>
        <v>1383333.3333333335</v>
      </c>
      <c r="X52" s="22">
        <f t="shared" ca="1" si="27"/>
        <v>1383330</v>
      </c>
      <c r="Y52" s="22">
        <f t="shared" ca="1" si="4"/>
        <v>5454560</v>
      </c>
      <c r="Z52" s="22">
        <f t="shared" ca="1" si="38"/>
        <v>405219.83333333331</v>
      </c>
      <c r="AA52" s="22">
        <f t="shared" ca="1" si="5"/>
        <v>405220</v>
      </c>
      <c r="AB52" s="22">
        <f t="shared" ca="1" si="35"/>
        <v>161107600</v>
      </c>
      <c r="AC52" s="22">
        <f t="shared" ca="1" si="6"/>
        <v>0</v>
      </c>
      <c r="AD52" s="22">
        <f t="shared" ca="1" si="7"/>
        <v>0</v>
      </c>
      <c r="AE52" s="22">
        <f t="shared" ca="1" si="28"/>
        <v>0</v>
      </c>
      <c r="AF52" s="22">
        <f t="shared" ca="1" si="8"/>
        <v>0</v>
      </c>
      <c r="AG52" s="22">
        <f t="shared" ca="1" si="29"/>
        <v>0</v>
      </c>
      <c r="AH52" s="22">
        <f t="shared" ca="1" si="9"/>
        <v>0</v>
      </c>
      <c r="AI52" s="22">
        <f t="shared" ca="1" si="10"/>
        <v>4999880</v>
      </c>
      <c r="AJ52" s="22">
        <f t="shared" ca="1" si="39"/>
        <v>0</v>
      </c>
      <c r="AK52" s="22">
        <f t="shared" ca="1" si="40"/>
        <v>0</v>
      </c>
      <c r="AL52" s="69">
        <f t="shared" ca="1" si="30"/>
        <v>5</v>
      </c>
      <c r="AM52" s="69">
        <f t="shared" ca="1" si="11"/>
        <v>5</v>
      </c>
      <c r="AN52" s="4">
        <f t="shared" ca="1" si="31"/>
        <v>2026</v>
      </c>
      <c r="AO52" s="4">
        <f t="shared" ca="1" si="12"/>
        <v>2026</v>
      </c>
      <c r="AP52" s="4">
        <f t="shared" ca="1" si="13"/>
        <v>0</v>
      </c>
      <c r="AQ52" s="4">
        <f t="shared" ca="1" si="14"/>
        <v>30</v>
      </c>
      <c r="AR52" s="4">
        <f t="shared" si="15"/>
        <v>20</v>
      </c>
      <c r="AS52" s="4">
        <f t="shared" ca="1" si="32"/>
        <v>30</v>
      </c>
      <c r="AT52" s="19"/>
      <c r="AU52" s="19"/>
      <c r="AV52" s="19"/>
      <c r="AW52" s="19"/>
      <c r="AX52" s="19"/>
      <c r="AY52" s="4">
        <f t="shared" ca="1" si="16"/>
        <v>1</v>
      </c>
      <c r="AZ52" s="19"/>
      <c r="BC52" s="19"/>
      <c r="BD52" s="19"/>
      <c r="BE52" s="19"/>
      <c r="BF52" s="19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</row>
    <row r="53" spans="1:141" s="24" customFormat="1" ht="15" customHeight="1">
      <c r="A53" s="4">
        <v>29</v>
      </c>
      <c r="B53" s="268">
        <f t="shared" ca="1" si="18"/>
        <v>46193</v>
      </c>
      <c r="C53" s="401"/>
      <c r="D53" s="443">
        <f ca="1">IF(N53=0,IF(N52=1,SUM(D$25:E52)," "),IF(N53=0," ",IF(N54=1,D$25,IF(N54=0,D$10-D$25*(M$14-1)," "))))</f>
        <v>555560</v>
      </c>
      <c r="E53" s="443"/>
      <c r="F53" s="84">
        <f ca="1">IF(N53=0,IF(N52=1,SUM(F$25:F52)," "),IF(M$1=1,P53,IF(M$1=2,Q53," ")))</f>
        <v>333020</v>
      </c>
      <c r="G53" s="84">
        <v>0</v>
      </c>
      <c r="H53" s="84">
        <f t="shared" ca="1" si="19"/>
        <v>888580</v>
      </c>
      <c r="I53" s="84">
        <f t="shared" ca="1" si="20"/>
        <v>606060</v>
      </c>
      <c r="J53" s="84">
        <f t="shared" ca="1" si="0"/>
        <v>363300</v>
      </c>
      <c r="K53" s="84">
        <v>0</v>
      </c>
      <c r="L53" s="84">
        <f t="shared" ca="1" si="21"/>
        <v>969360</v>
      </c>
      <c r="M53" s="4">
        <v>29</v>
      </c>
      <c r="N53" s="4">
        <f t="shared" ca="1" si="34"/>
        <v>1</v>
      </c>
      <c r="O53" s="4">
        <f t="shared" ca="1" si="1"/>
        <v>20</v>
      </c>
      <c r="P53" s="22">
        <f t="shared" ca="1" si="2"/>
        <v>333020</v>
      </c>
      <c r="Q53" s="22">
        <f t="shared" ca="1" si="3"/>
        <v>333020</v>
      </c>
      <c r="R53" s="22">
        <f t="shared" ca="1" si="23"/>
        <v>4444320</v>
      </c>
      <c r="S53" s="22">
        <f t="shared" ca="1" si="24"/>
        <v>555560</v>
      </c>
      <c r="T53" s="22">
        <f t="shared" ca="1" si="25"/>
        <v>555560</v>
      </c>
      <c r="U53" s="22">
        <f t="shared" ca="1" si="36"/>
        <v>333016.2888888889</v>
      </c>
      <c r="V53" s="22">
        <f t="shared" ca="1" si="37"/>
        <v>333016.2888888889</v>
      </c>
      <c r="W53" s="22">
        <f t="shared" ca="1" si="26"/>
        <v>1383333.3333333335</v>
      </c>
      <c r="X53" s="22">
        <f t="shared" ca="1" si="27"/>
        <v>1383330</v>
      </c>
      <c r="Y53" s="22">
        <f t="shared" ca="1" si="4"/>
        <v>4848500</v>
      </c>
      <c r="Z53" s="22">
        <f t="shared" ca="1" si="38"/>
        <v>363300.68333333335</v>
      </c>
      <c r="AA53" s="22">
        <f t="shared" ca="1" si="5"/>
        <v>363300</v>
      </c>
      <c r="AB53" s="22">
        <f t="shared" ca="1" si="35"/>
        <v>144440800</v>
      </c>
      <c r="AC53" s="22">
        <f t="shared" ca="1" si="6"/>
        <v>0</v>
      </c>
      <c r="AD53" s="22">
        <f t="shared" ca="1" si="7"/>
        <v>0</v>
      </c>
      <c r="AE53" s="22">
        <f t="shared" ca="1" si="28"/>
        <v>0</v>
      </c>
      <c r="AF53" s="22">
        <f t="shared" ca="1" si="8"/>
        <v>0</v>
      </c>
      <c r="AG53" s="22">
        <f t="shared" ca="1" si="29"/>
        <v>0</v>
      </c>
      <c r="AH53" s="22">
        <f t="shared" ca="1" si="9"/>
        <v>0</v>
      </c>
      <c r="AI53" s="22">
        <f t="shared" ca="1" si="10"/>
        <v>4444320</v>
      </c>
      <c r="AJ53" s="22">
        <f t="shared" ca="1" si="39"/>
        <v>0</v>
      </c>
      <c r="AK53" s="22">
        <f t="shared" ca="1" si="40"/>
        <v>0</v>
      </c>
      <c r="AL53" s="69">
        <f t="shared" ca="1" si="30"/>
        <v>6</v>
      </c>
      <c r="AM53" s="69">
        <f t="shared" ca="1" si="11"/>
        <v>6</v>
      </c>
      <c r="AN53" s="4">
        <f t="shared" ca="1" si="31"/>
        <v>2026</v>
      </c>
      <c r="AO53" s="4">
        <f t="shared" ca="1" si="12"/>
        <v>2026</v>
      </c>
      <c r="AP53" s="4">
        <f t="shared" ca="1" si="13"/>
        <v>0</v>
      </c>
      <c r="AQ53" s="4">
        <f t="shared" ca="1" si="14"/>
        <v>30</v>
      </c>
      <c r="AR53" s="4">
        <f t="shared" si="15"/>
        <v>20</v>
      </c>
      <c r="AS53" s="4">
        <f t="shared" ca="1" si="32"/>
        <v>30</v>
      </c>
      <c r="AT53" s="19"/>
      <c r="AU53" s="19"/>
      <c r="AV53" s="19"/>
      <c r="AW53" s="19"/>
      <c r="AX53" s="19"/>
      <c r="AY53" s="4">
        <f t="shared" ca="1" si="16"/>
        <v>1</v>
      </c>
      <c r="AZ53" s="19"/>
      <c r="BC53" s="19"/>
      <c r="BD53" s="19"/>
      <c r="BE53" s="19"/>
      <c r="BF53" s="19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</row>
    <row r="54" spans="1:141" s="24" customFormat="1" ht="15" customHeight="1">
      <c r="A54" s="4">
        <v>30</v>
      </c>
      <c r="B54" s="268">
        <f t="shared" ca="1" si="18"/>
        <v>46223</v>
      </c>
      <c r="C54" s="401"/>
      <c r="D54" s="443">
        <f ca="1">IF(N54=0,IF(N53=1,SUM(D$25:E53)," "),IF(N54=0," ",IF(N55=1,D$25,IF(N55=0,D$10-D$25*(M$14-1)," "))))</f>
        <v>555560</v>
      </c>
      <c r="E54" s="443"/>
      <c r="F54" s="84">
        <f ca="1">IF(N54=0,IF(N53=1,SUM(F$25:F53)," "),IF(M$1=1,P54,IF(M$1=2,Q54," ")))</f>
        <v>294590</v>
      </c>
      <c r="G54" s="84">
        <v>0</v>
      </c>
      <c r="H54" s="84">
        <f t="shared" ca="1" si="19"/>
        <v>850150</v>
      </c>
      <c r="I54" s="84">
        <f t="shared" ca="1" si="20"/>
        <v>606060</v>
      </c>
      <c r="J54" s="84">
        <f t="shared" ca="1" si="0"/>
        <v>321380</v>
      </c>
      <c r="K54" s="84">
        <v>0</v>
      </c>
      <c r="L54" s="84">
        <f t="shared" ca="1" si="21"/>
        <v>927440</v>
      </c>
      <c r="M54" s="4">
        <v>30</v>
      </c>
      <c r="N54" s="4">
        <f t="shared" ca="1" si="34"/>
        <v>1</v>
      </c>
      <c r="O54" s="4">
        <f t="shared" ca="1" si="1"/>
        <v>20</v>
      </c>
      <c r="P54" s="22">
        <f t="shared" ca="1" si="2"/>
        <v>294590</v>
      </c>
      <c r="Q54" s="22">
        <f t="shared" ca="1" si="3"/>
        <v>294590</v>
      </c>
      <c r="R54" s="22">
        <f t="shared" ca="1" si="23"/>
        <v>3888760</v>
      </c>
      <c r="S54" s="22">
        <f t="shared" ca="1" si="24"/>
        <v>555560</v>
      </c>
      <c r="T54" s="22">
        <f t="shared" ca="1" si="25"/>
        <v>555560</v>
      </c>
      <c r="U54" s="22">
        <f t="shared" ca="1" si="36"/>
        <v>294590.05555555556</v>
      </c>
      <c r="V54" s="22">
        <f t="shared" ca="1" si="37"/>
        <v>294590.05555555556</v>
      </c>
      <c r="W54" s="22">
        <f t="shared" ca="1" si="26"/>
        <v>1383333.3333333335</v>
      </c>
      <c r="X54" s="22">
        <f t="shared" ca="1" si="27"/>
        <v>1383330</v>
      </c>
      <c r="Y54" s="22">
        <f t="shared" ca="1" si="4"/>
        <v>4242440</v>
      </c>
      <c r="Z54" s="22">
        <f t="shared" ca="1" si="38"/>
        <v>321381.53333333333</v>
      </c>
      <c r="AA54" s="22">
        <f t="shared" ca="1" si="5"/>
        <v>321380</v>
      </c>
      <c r="AB54" s="22">
        <f t="shared" ca="1" si="35"/>
        <v>127774000</v>
      </c>
      <c r="AC54" s="22">
        <f t="shared" ca="1" si="6"/>
        <v>0</v>
      </c>
      <c r="AD54" s="22">
        <f t="shared" ca="1" si="7"/>
        <v>0</v>
      </c>
      <c r="AE54" s="22">
        <f t="shared" ca="1" si="28"/>
        <v>0</v>
      </c>
      <c r="AF54" s="22">
        <f t="shared" ca="1" si="8"/>
        <v>0</v>
      </c>
      <c r="AG54" s="22">
        <f t="shared" ca="1" si="29"/>
        <v>0</v>
      </c>
      <c r="AH54" s="22">
        <f t="shared" ca="1" si="9"/>
        <v>0</v>
      </c>
      <c r="AI54" s="22">
        <f t="shared" ca="1" si="10"/>
        <v>3888760</v>
      </c>
      <c r="AJ54" s="22">
        <f t="shared" ca="1" si="39"/>
        <v>0</v>
      </c>
      <c r="AK54" s="22">
        <f t="shared" ca="1" si="40"/>
        <v>0</v>
      </c>
      <c r="AL54" s="69">
        <f t="shared" ca="1" si="30"/>
        <v>7</v>
      </c>
      <c r="AM54" s="69">
        <f t="shared" ca="1" si="11"/>
        <v>7</v>
      </c>
      <c r="AN54" s="4">
        <f t="shared" ca="1" si="31"/>
        <v>2026</v>
      </c>
      <c r="AO54" s="4">
        <f t="shared" ca="1" si="12"/>
        <v>2026</v>
      </c>
      <c r="AP54" s="4">
        <f t="shared" ca="1" si="13"/>
        <v>0</v>
      </c>
      <c r="AQ54" s="4">
        <f t="shared" ca="1" si="14"/>
        <v>30</v>
      </c>
      <c r="AR54" s="4">
        <f t="shared" si="15"/>
        <v>20</v>
      </c>
      <c r="AS54" s="4">
        <f t="shared" ca="1" si="32"/>
        <v>30</v>
      </c>
      <c r="AT54" s="19"/>
      <c r="AU54" s="19"/>
      <c r="AV54" s="19"/>
      <c r="AW54" s="19"/>
      <c r="AX54" s="19"/>
      <c r="AY54" s="4">
        <f t="shared" ca="1" si="16"/>
        <v>1</v>
      </c>
      <c r="AZ54" s="19"/>
      <c r="BC54" s="19"/>
      <c r="BD54" s="19"/>
      <c r="BE54" s="19"/>
      <c r="BF54" s="19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</row>
    <row r="55" spans="1:141" s="24" customFormat="1" ht="15" customHeight="1">
      <c r="A55" s="4">
        <v>31</v>
      </c>
      <c r="B55" s="268">
        <f t="shared" ca="1" si="18"/>
        <v>46254</v>
      </c>
      <c r="C55" s="401"/>
      <c r="D55" s="443">
        <f ca="1">IF(N55=0,IF(N54=1,SUM(D$25:E54)," "),IF(N55=0," ",IF(N56=1,D$25,IF(N56=0,D$10-D$25*(M$14-1)," "))))</f>
        <v>555560</v>
      </c>
      <c r="E55" s="443"/>
      <c r="F55" s="84">
        <f ca="1">IF(N55=0,IF(N54=1,SUM(F$25:F54)," "),IF(M$1=1,P55,IF(M$1=2,Q55," ")))</f>
        <v>256160</v>
      </c>
      <c r="G55" s="84">
        <v>0</v>
      </c>
      <c r="H55" s="84">
        <f t="shared" ca="1" si="19"/>
        <v>811720</v>
      </c>
      <c r="I55" s="84">
        <f t="shared" ca="1" si="20"/>
        <v>606060</v>
      </c>
      <c r="J55" s="84">
        <f t="shared" ca="1" si="0"/>
        <v>279460</v>
      </c>
      <c r="K55" s="84">
        <v>0</v>
      </c>
      <c r="L55" s="84">
        <f t="shared" ca="1" si="21"/>
        <v>885520</v>
      </c>
      <c r="M55" s="4">
        <v>31</v>
      </c>
      <c r="N55" s="4">
        <f t="shared" ca="1" si="34"/>
        <v>1</v>
      </c>
      <c r="O55" s="4">
        <f t="shared" ca="1" si="1"/>
        <v>20</v>
      </c>
      <c r="P55" s="22">
        <f t="shared" ca="1" si="2"/>
        <v>256160</v>
      </c>
      <c r="Q55" s="22">
        <f t="shared" ca="1" si="3"/>
        <v>256160</v>
      </c>
      <c r="R55" s="22">
        <f t="shared" ca="1" si="23"/>
        <v>3333200</v>
      </c>
      <c r="S55" s="22">
        <f t="shared" ca="1" si="24"/>
        <v>555560</v>
      </c>
      <c r="T55" s="22">
        <f t="shared" ca="1" si="25"/>
        <v>555560</v>
      </c>
      <c r="U55" s="22">
        <f t="shared" ca="1" si="36"/>
        <v>256163.82222222222</v>
      </c>
      <c r="V55" s="22">
        <f t="shared" ca="1" si="37"/>
        <v>256163.82222222222</v>
      </c>
      <c r="W55" s="22">
        <f t="shared" ca="1" si="26"/>
        <v>1383333.3333333335</v>
      </c>
      <c r="X55" s="22">
        <f t="shared" ca="1" si="27"/>
        <v>1383330</v>
      </c>
      <c r="Y55" s="22">
        <f t="shared" ca="1" si="4"/>
        <v>3636380</v>
      </c>
      <c r="Z55" s="22">
        <f t="shared" ca="1" si="38"/>
        <v>279462.3833333333</v>
      </c>
      <c r="AA55" s="22">
        <f t="shared" ca="1" si="5"/>
        <v>279460</v>
      </c>
      <c r="AB55" s="22">
        <f t="shared" ca="1" si="35"/>
        <v>111107200</v>
      </c>
      <c r="AC55" s="22">
        <f t="shared" ca="1" si="6"/>
        <v>0</v>
      </c>
      <c r="AD55" s="22">
        <f t="shared" ca="1" si="7"/>
        <v>0</v>
      </c>
      <c r="AE55" s="22">
        <f t="shared" ca="1" si="28"/>
        <v>0</v>
      </c>
      <c r="AF55" s="22">
        <f t="shared" ca="1" si="8"/>
        <v>0</v>
      </c>
      <c r="AG55" s="22">
        <f t="shared" ca="1" si="29"/>
        <v>0</v>
      </c>
      <c r="AH55" s="22">
        <f t="shared" ca="1" si="9"/>
        <v>0</v>
      </c>
      <c r="AI55" s="22">
        <f t="shared" ca="1" si="10"/>
        <v>3333200</v>
      </c>
      <c r="AJ55" s="22">
        <f t="shared" ca="1" si="39"/>
        <v>0</v>
      </c>
      <c r="AK55" s="22">
        <f t="shared" ca="1" si="40"/>
        <v>0</v>
      </c>
      <c r="AL55" s="69">
        <f t="shared" ca="1" si="30"/>
        <v>8</v>
      </c>
      <c r="AM55" s="69">
        <f t="shared" ca="1" si="11"/>
        <v>8</v>
      </c>
      <c r="AN55" s="4">
        <f t="shared" ca="1" si="31"/>
        <v>2026</v>
      </c>
      <c r="AO55" s="4">
        <f t="shared" ca="1" si="12"/>
        <v>2026</v>
      </c>
      <c r="AP55" s="4">
        <f t="shared" ca="1" si="13"/>
        <v>0</v>
      </c>
      <c r="AQ55" s="4">
        <f t="shared" ca="1" si="14"/>
        <v>30</v>
      </c>
      <c r="AR55" s="4">
        <f t="shared" si="15"/>
        <v>20</v>
      </c>
      <c r="AS55" s="4">
        <f t="shared" ca="1" si="32"/>
        <v>30</v>
      </c>
      <c r="AT55" s="19"/>
      <c r="AU55" s="19"/>
      <c r="AV55" s="19"/>
      <c r="AW55" s="19"/>
      <c r="AX55" s="19"/>
      <c r="AY55" s="4">
        <f t="shared" ca="1" si="16"/>
        <v>1</v>
      </c>
      <c r="AZ55" s="19"/>
      <c r="BC55" s="19"/>
      <c r="BD55" s="19"/>
      <c r="BE55" s="19"/>
      <c r="BF55" s="19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</row>
    <row r="56" spans="1:141" s="24" customFormat="1" ht="15" customHeight="1">
      <c r="A56" s="4">
        <v>32</v>
      </c>
      <c r="B56" s="268">
        <f t="shared" ca="1" si="18"/>
        <v>46285</v>
      </c>
      <c r="C56" s="401"/>
      <c r="D56" s="443">
        <f ca="1">IF(N56=0,IF(N55=1,SUM(D$25:E55)," "),IF(N56=0," ",IF(N57=1,D$25,IF(N57=0,D$10-D$25*(M$14-1)," "))))</f>
        <v>555560</v>
      </c>
      <c r="E56" s="443"/>
      <c r="F56" s="84">
        <f ca="1">IF(N56=0,IF(N55=1,SUM(F$25:F55)," "),IF(M$1=1,P56,IF(M$1=2,Q56," ")))</f>
        <v>217740</v>
      </c>
      <c r="G56" s="84">
        <v>0</v>
      </c>
      <c r="H56" s="84">
        <f t="shared" ca="1" si="19"/>
        <v>773300</v>
      </c>
      <c r="I56" s="84">
        <f t="shared" ca="1" si="20"/>
        <v>606060</v>
      </c>
      <c r="J56" s="84">
        <f t="shared" ca="1" si="0"/>
        <v>237540</v>
      </c>
      <c r="K56" s="84">
        <v>0</v>
      </c>
      <c r="L56" s="84">
        <f t="shared" ca="1" si="21"/>
        <v>843600</v>
      </c>
      <c r="M56" s="4">
        <v>32</v>
      </c>
      <c r="N56" s="4">
        <f t="shared" ca="1" si="34"/>
        <v>1</v>
      </c>
      <c r="O56" s="4">
        <f t="shared" ca="1" si="1"/>
        <v>20</v>
      </c>
      <c r="P56" s="22">
        <f t="shared" ca="1" si="2"/>
        <v>217740</v>
      </c>
      <c r="Q56" s="22">
        <f t="shared" ca="1" si="3"/>
        <v>217740</v>
      </c>
      <c r="R56" s="22">
        <f t="shared" ca="1" si="23"/>
        <v>2777640</v>
      </c>
      <c r="S56" s="22">
        <f t="shared" ca="1" si="24"/>
        <v>555560</v>
      </c>
      <c r="T56" s="22">
        <f t="shared" ca="1" si="25"/>
        <v>555560</v>
      </c>
      <c r="U56" s="22">
        <f t="shared" ca="1" si="36"/>
        <v>217737.58888888889</v>
      </c>
      <c r="V56" s="22">
        <f t="shared" ca="1" si="37"/>
        <v>217737.58888888889</v>
      </c>
      <c r="W56" s="22">
        <f t="shared" ca="1" si="26"/>
        <v>1383333.3333333335</v>
      </c>
      <c r="X56" s="22">
        <f t="shared" ca="1" si="27"/>
        <v>1383330</v>
      </c>
      <c r="Y56" s="22">
        <f t="shared" ca="1" si="4"/>
        <v>3030320</v>
      </c>
      <c r="Z56" s="22">
        <f t="shared" ca="1" si="38"/>
        <v>237543.23333333334</v>
      </c>
      <c r="AA56" s="22">
        <f t="shared" ca="1" si="5"/>
        <v>237540</v>
      </c>
      <c r="AB56" s="22">
        <f t="shared" ca="1" si="35"/>
        <v>94440400</v>
      </c>
      <c r="AC56" s="22">
        <f t="shared" ca="1" si="6"/>
        <v>0</v>
      </c>
      <c r="AD56" s="22">
        <f t="shared" ca="1" si="7"/>
        <v>0</v>
      </c>
      <c r="AE56" s="22">
        <f t="shared" ca="1" si="28"/>
        <v>0</v>
      </c>
      <c r="AF56" s="22">
        <f t="shared" ca="1" si="8"/>
        <v>0</v>
      </c>
      <c r="AG56" s="22">
        <f t="shared" ca="1" si="29"/>
        <v>0</v>
      </c>
      <c r="AH56" s="22">
        <f t="shared" ca="1" si="9"/>
        <v>0</v>
      </c>
      <c r="AI56" s="22">
        <f t="shared" ca="1" si="10"/>
        <v>2777640</v>
      </c>
      <c r="AJ56" s="22">
        <f t="shared" ca="1" si="39"/>
        <v>0</v>
      </c>
      <c r="AK56" s="22">
        <f t="shared" ca="1" si="40"/>
        <v>0</v>
      </c>
      <c r="AL56" s="69">
        <f t="shared" ca="1" si="30"/>
        <v>9</v>
      </c>
      <c r="AM56" s="69">
        <f t="shared" ca="1" si="11"/>
        <v>9</v>
      </c>
      <c r="AN56" s="4">
        <f t="shared" ca="1" si="31"/>
        <v>2026</v>
      </c>
      <c r="AO56" s="4">
        <f t="shared" ca="1" si="12"/>
        <v>2026</v>
      </c>
      <c r="AP56" s="4">
        <f t="shared" ca="1" si="13"/>
        <v>0</v>
      </c>
      <c r="AQ56" s="4">
        <f t="shared" ca="1" si="14"/>
        <v>30</v>
      </c>
      <c r="AR56" s="4">
        <f t="shared" si="15"/>
        <v>20</v>
      </c>
      <c r="AS56" s="4">
        <f t="shared" ca="1" si="32"/>
        <v>30</v>
      </c>
      <c r="AT56" s="19"/>
      <c r="AU56" s="19"/>
      <c r="AV56" s="19"/>
      <c r="AW56" s="19"/>
      <c r="AX56" s="19"/>
      <c r="AY56" s="4">
        <f t="shared" ca="1" si="16"/>
        <v>1</v>
      </c>
      <c r="AZ56" s="19"/>
      <c r="BC56" s="19"/>
      <c r="BD56" s="19"/>
      <c r="BE56" s="19"/>
      <c r="BF56" s="19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</row>
    <row r="57" spans="1:141" s="24" customFormat="1" ht="15" customHeight="1">
      <c r="A57" s="4">
        <v>33</v>
      </c>
      <c r="B57" s="268">
        <f t="shared" ca="1" si="18"/>
        <v>46315</v>
      </c>
      <c r="C57" s="401"/>
      <c r="D57" s="443">
        <f ca="1">IF(N57=0,IF(N56=1,SUM(D$25:E56)," "),IF(N57=0," ",IF(N58=1,D$25,IF(N58=0,D$10-D$25*(M$14-1)," "))))</f>
        <v>555560</v>
      </c>
      <c r="E57" s="443"/>
      <c r="F57" s="84">
        <f ca="1">IF(N57=0,IF(N56=1,SUM(F$25:F56)," "),IF(M$1=1,P57,IF(M$1=2,Q57," ")))</f>
        <v>179310</v>
      </c>
      <c r="G57" s="84">
        <v>0</v>
      </c>
      <c r="H57" s="84">
        <f t="shared" ca="1" si="19"/>
        <v>734870</v>
      </c>
      <c r="I57" s="84">
        <f t="shared" ca="1" si="20"/>
        <v>606060</v>
      </c>
      <c r="J57" s="84">
        <f t="shared" ref="J57:J85" ca="1" si="41">AA57</f>
        <v>195620</v>
      </c>
      <c r="K57" s="84">
        <v>0</v>
      </c>
      <c r="L57" s="84">
        <f t="shared" ca="1" si="21"/>
        <v>801680</v>
      </c>
      <c r="M57" s="4">
        <v>33</v>
      </c>
      <c r="N57" s="4">
        <f t="shared" ca="1" si="34"/>
        <v>1</v>
      </c>
      <c r="O57" s="4">
        <f t="shared" ref="O57:O85" ca="1" si="42">IF(D$14+1=A$14,IF(M57=A$14,IF(DATE(YEAR(0),MONTH(0),DAY(D$16)-1)&gt;AR57,DATE(YEAR(0),MONTH(0),DAY(D$16)-1),AR57),AR57),IF(M57=A$14,IF(DATE(YEAR(0),MONTH(0),DAY(D$16)-1)&lt;AR57,DATE(YEAR(0),MONTH(0),DAY(D$16)-1),AR57),AR57))</f>
        <v>20</v>
      </c>
      <c r="P57" s="22">
        <f t="shared" ref="P57:P85" ca="1" si="43">IF(U57&lt;&gt;0,IF(VALUE(RIGHT(ROUND(U57,0)))&lt;=5,ROUND(U57,0)-VALUE(RIGHT(ROUND(U57,0))),ROUND(U57,0)+10-VALUE(RIGHT(ROUND(U57,0)))),0)</f>
        <v>179310</v>
      </c>
      <c r="Q57" s="22">
        <f t="shared" ref="Q57:Q85" ca="1" si="44">IF(V57&lt;&gt;0,IF(VALUE(RIGHT(ROUND(V57,0)))&lt;=5,ROUND(V57,0)-VALUE(RIGHT(ROUND(V57,0))),ROUND(V57,0)+10-VALUE(RIGHT(ROUND(V57,0)))),0)</f>
        <v>179310</v>
      </c>
      <c r="R57" s="22">
        <f t="shared" ca="1" si="23"/>
        <v>2222080</v>
      </c>
      <c r="S57" s="22">
        <f t="shared" ca="1" si="24"/>
        <v>555560</v>
      </c>
      <c r="T57" s="22">
        <f t="shared" ca="1" si="25"/>
        <v>555560</v>
      </c>
      <c r="U57" s="22">
        <f t="shared" ca="1" si="36"/>
        <v>179311.35555555555</v>
      </c>
      <c r="V57" s="22">
        <f t="shared" ca="1" si="37"/>
        <v>179311.35555555555</v>
      </c>
      <c r="W57" s="22">
        <f t="shared" ca="1" si="26"/>
        <v>1383333.3333333335</v>
      </c>
      <c r="X57" s="22">
        <f t="shared" ca="1" si="27"/>
        <v>1383330</v>
      </c>
      <c r="Y57" s="22">
        <f t="shared" ref="Y57:Y85" ca="1" si="45">IF(M57&lt;=(D$15+1),D$10,Y56-I56)</f>
        <v>2424260</v>
      </c>
      <c r="Z57" s="22">
        <f t="shared" ca="1" si="38"/>
        <v>195624.08333333334</v>
      </c>
      <c r="AA57" s="22">
        <f t="shared" ref="AA57:AA85" ca="1" si="46">IF(Z57&lt;&gt;0,IF(VALUE(RIGHT(ROUND(Z57,0)))&lt;=5,ROUND(Z57,0)-VALUE(RIGHT(ROUND(Z57,0))),ROUND(Z57,0)+10-VALUE(RIGHT(ROUND(Z57,0)))),0)</f>
        <v>195620</v>
      </c>
      <c r="AB57" s="22">
        <f t="shared" ca="1" si="35"/>
        <v>77773600</v>
      </c>
      <c r="AC57" s="22">
        <f t="shared" ref="AC57:AC85" ca="1" si="47">IF(AJ57&lt;&gt;0,IF(VALUE(RIGHT(ROUND(AJ57,0)))&lt;=5,ROUND(AJ57,0)-VALUE(RIGHT(ROUND(AJ57,0))),ROUND(AJ57,0)+10-VALUE(RIGHT(ROUND(AJ57,0)))),0)</f>
        <v>0</v>
      </c>
      <c r="AD57" s="22">
        <f t="shared" ref="AD57:AD85" ca="1" si="48">IF(AK57&lt;&gt;0,IF(VALUE(RIGHT(ROUND(AK57,0)))&lt;=5,ROUND(AK57,0)-VALUE(RIGHT(ROUND(AK57,0))),ROUND(AK57,0)+10-VALUE(RIGHT(ROUND(AK57,0)))),0)</f>
        <v>0</v>
      </c>
      <c r="AE57" s="22">
        <f t="shared" ca="1" si="28"/>
        <v>0</v>
      </c>
      <c r="AF57" s="22">
        <f t="shared" ref="AF57:AF85" ca="1" si="49">IF(AE57&lt;&gt;0,IF(VALUE(RIGHT(ROUND(AE57,0)))&lt;=5,ROUND(AE57,0)-VALUE(RIGHT(ROUND(AE57,0))),ROUND(AE57,0)+10-VALUE(RIGHT(ROUND(AE57,0)))),0)</f>
        <v>0</v>
      </c>
      <c r="AG57" s="22">
        <f t="shared" ca="1" si="29"/>
        <v>0</v>
      </c>
      <c r="AH57" s="22">
        <f t="shared" ref="AH57:AH85" ca="1" si="50">IF(AG57&lt;&gt;0,IF(VALUE(RIGHT(ROUND(AG57,0)))&lt;=5,ROUND(AG57,0)-VALUE(RIGHT(ROUND(AG57,0))),ROUND(AG57,0)+10-VALUE(RIGHT(ROUND(AG57,0)))),0)</f>
        <v>0</v>
      </c>
      <c r="AI57" s="22">
        <f t="shared" ref="AI57:AI85" ca="1" si="51">R57</f>
        <v>2222080</v>
      </c>
      <c r="AJ57" s="22">
        <f t="shared" ca="1" si="39"/>
        <v>0</v>
      </c>
      <c r="AK57" s="22">
        <f t="shared" ca="1" si="40"/>
        <v>0</v>
      </c>
      <c r="AL57" s="69">
        <f t="shared" ca="1" si="30"/>
        <v>10</v>
      </c>
      <c r="AM57" s="69">
        <f t="shared" ref="AM57:AM85" ca="1" si="52">IF(AL57=13,1,AL57)</f>
        <v>10</v>
      </c>
      <c r="AN57" s="4">
        <f t="shared" ca="1" si="31"/>
        <v>2026</v>
      </c>
      <c r="AO57" s="4">
        <f t="shared" ref="AO57:AO85" ca="1" si="53">IF(AM57=1,AN57+1,AN57)</f>
        <v>2026</v>
      </c>
      <c r="AP57" s="4">
        <f t="shared" ref="AP57:AP85" ca="1" si="54">IF((AN57/2012)=1,1,IF((AN57/2016)=1,1,IF((AN57/2020)=1,1,IF((AN57/2024)=1,1,IF((AN57/2028)=1,1,IF((AN57/2032)=1,1,0))))))</f>
        <v>0</v>
      </c>
      <c r="AQ57" s="4">
        <f t="shared" ref="AQ57:AQ85" ca="1" si="55">IF(AM57=2,IF(AP57=1,29,28),30)</f>
        <v>30</v>
      </c>
      <c r="AR57" s="4">
        <f t="shared" ref="AR57:AR85" si="56">IF(C$24=30,AQ57,20)</f>
        <v>20</v>
      </c>
      <c r="AS57" s="4">
        <f t="shared" ca="1" si="32"/>
        <v>30</v>
      </c>
      <c r="AT57" s="19"/>
      <c r="AU57" s="19"/>
      <c r="AV57" s="19"/>
      <c r="AW57" s="19"/>
      <c r="AX57" s="19"/>
      <c r="AY57" s="4">
        <f t="shared" ref="AY57:AY85" ca="1" si="57">IF(D$15=0,0,IF(N57=1,1,0))</f>
        <v>1</v>
      </c>
      <c r="AZ57" s="19"/>
      <c r="BC57" s="19"/>
      <c r="BD57" s="19"/>
      <c r="BE57" s="19"/>
      <c r="BF57" s="19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</row>
    <row r="58" spans="1:141" s="24" customFormat="1" ht="15" customHeight="1">
      <c r="A58" s="4">
        <v>34</v>
      </c>
      <c r="B58" s="268">
        <f t="shared" ref="B58:B85" ca="1" si="58">IF(N58=0,IF(N57=1,"ИТОГО"," "),IF(A$14=D$14+1,IF(M58=A$14,IF(MONTH(B57)=2,IF(DAY(D$16)&gt;29,DATE(YEAR(B57),MONTH(B57),AS58),DATE(YEAR(B57),MONTH(B57),O58)),DATE(YEAR(B57),MONTH(B57),O58)),DATE(YEAR(B57),MONTH(B57)+1,O58)),DATE(YEAR(B57),MONTH(B57)+1,O58)))</f>
        <v>46346</v>
      </c>
      <c r="C58" s="401"/>
      <c r="D58" s="443">
        <f ca="1">IF(N58=0,IF(N57=1,SUM(D$25:E57)," "),IF(N58=0," ",IF(N59=1,D$25,IF(N59=0,D$10-D$25*(M$14-1)," "))))</f>
        <v>555560</v>
      </c>
      <c r="E58" s="443"/>
      <c r="F58" s="84">
        <f ca="1">IF(N58=0,IF(N57=1,SUM(F$25:F57)," "),IF(M$1=1,P58,IF(M$1=2,Q58," ")))</f>
        <v>140880</v>
      </c>
      <c r="G58" s="84">
        <v>0</v>
      </c>
      <c r="H58" s="84">
        <f t="shared" ref="H58:H86" ca="1" si="59">IF(SUM(D58:G58)=0," ",SUM(D58:G58))</f>
        <v>696440</v>
      </c>
      <c r="I58" s="84">
        <f t="shared" ref="I58:I85" ca="1" si="60">IF(N58=1,IF(N59=1,IF(M58&lt;=D$15,T58,AV$26),D$10-AV$26*M$16+AV$26),0)</f>
        <v>606060</v>
      </c>
      <c r="J58" s="84">
        <f t="shared" ca="1" si="41"/>
        <v>153700</v>
      </c>
      <c r="K58" s="84">
        <v>0</v>
      </c>
      <c r="L58" s="84">
        <f t="shared" ref="L58:L85" ca="1" si="61">IF(SUM(I58:K58)=0," ",SUM(I58:K58))</f>
        <v>759760</v>
      </c>
      <c r="M58" s="4">
        <v>34</v>
      </c>
      <c r="N58" s="4">
        <f t="shared" ca="1" si="34"/>
        <v>1</v>
      </c>
      <c r="O58" s="4">
        <f t="shared" ca="1" si="42"/>
        <v>20</v>
      </c>
      <c r="P58" s="22">
        <f t="shared" ca="1" si="43"/>
        <v>140880</v>
      </c>
      <c r="Q58" s="22">
        <f t="shared" ca="1" si="44"/>
        <v>140880</v>
      </c>
      <c r="R58" s="22">
        <f t="shared" ref="R58:R85" ca="1" si="62">IF(N58=0,0,R57-D57)</f>
        <v>1666520</v>
      </c>
      <c r="S58" s="22">
        <f t="shared" ref="S58:S85" ca="1" si="63">IF(M58&lt;=D$15,D$10/(D$14-M57),D58)</f>
        <v>555560</v>
      </c>
      <c r="T58" s="22">
        <f t="shared" ref="T58:T85" ca="1" si="64">IF(S58&lt;&gt;0,IF(VALUE(RIGHT(ROUND(S58,0)))&lt;=5,ROUND(S58,0)-VALUE(RIGHT(ROUND(S58,0))),ROUND(S58,0)+10-VALUE(RIGHT(ROUND(S58,0)))),0)</f>
        <v>555560</v>
      </c>
      <c r="U58" s="22">
        <f t="shared" ca="1" si="36"/>
        <v>140885.12222222221</v>
      </c>
      <c r="V58" s="22">
        <f t="shared" ca="1" si="37"/>
        <v>140885.12222222221</v>
      </c>
      <c r="W58" s="22">
        <f t="shared" ref="W58:W84" ca="1" si="65">IF(N59=1,$D$10*$D$11*20/36000+$D$10*$D$11*10/36000,IF(N59=0,IF(N58=0,0,$D$10*$D$11*$Q$12/36000+$D$10*$D$11*20/36000+$D$10*$D$11*10/36000)))</f>
        <v>1383333.3333333335</v>
      </c>
      <c r="X58" s="22">
        <f t="shared" ref="X58:X85" ca="1" si="66">IF(W58&lt;&gt;0,IF(VALUE(RIGHT(ROUND(W58,0)))&lt;=5,ROUND(W58,0)-VALUE(RIGHT(ROUND(W58,0))),ROUND(W58,0)+10-VALUE(RIGHT(ROUND(W58,0)))),0)</f>
        <v>1383330</v>
      </c>
      <c r="Y58" s="22">
        <f t="shared" ca="1" si="45"/>
        <v>1818200</v>
      </c>
      <c r="Z58" s="22">
        <f t="shared" ca="1" si="38"/>
        <v>153704.93333333335</v>
      </c>
      <c r="AA58" s="22">
        <f t="shared" ca="1" si="46"/>
        <v>153700</v>
      </c>
      <c r="AB58" s="22">
        <f t="shared" ca="1" si="35"/>
        <v>61106800</v>
      </c>
      <c r="AC58" s="22">
        <f t="shared" ca="1" si="47"/>
        <v>0</v>
      </c>
      <c r="AD58" s="22">
        <f t="shared" ca="1" si="48"/>
        <v>0</v>
      </c>
      <c r="AE58" s="22">
        <f t="shared" ref="AE58:AE84" ca="1" si="67">IF(N59=1,D$10*G$12*20/36000+D$10*G$12*10/36000,IF(N59=0,IF(N58=0,0,D$10*G$12*Q$12/36000+D$10*G$12*20/36000+D$10*G$12*10/36000)))</f>
        <v>0</v>
      </c>
      <c r="AF58" s="22">
        <f t="shared" ca="1" si="49"/>
        <v>0</v>
      </c>
      <c r="AG58" s="22">
        <f t="shared" ref="AG58:AG84" ca="1" si="68">IF(N59=1,Y57*G$12*20/36000+Y58*G$12*10/36000,IF(N59=0,IF(N58=0,0,Y58*G$12*Q$12/36000+Y57*G$12*20/36000+Y58*G$12*10/36000)))</f>
        <v>0</v>
      </c>
      <c r="AH58" s="22">
        <f t="shared" ca="1" si="50"/>
        <v>0</v>
      </c>
      <c r="AI58" s="22">
        <f t="shared" ca="1" si="51"/>
        <v>1666520</v>
      </c>
      <c r="AJ58" s="22">
        <f t="shared" ca="1" si="39"/>
        <v>0</v>
      </c>
      <c r="AK58" s="22">
        <f t="shared" ca="1" si="40"/>
        <v>0</v>
      </c>
      <c r="AL58" s="69">
        <f t="shared" ref="AL58:AL85" ca="1" si="69">IF(N58=0,0,MONTH(B57)+1)</f>
        <v>11</v>
      </c>
      <c r="AM58" s="69">
        <f t="shared" ca="1" si="52"/>
        <v>11</v>
      </c>
      <c r="AN58" s="4">
        <f t="shared" ref="AN58:AN85" ca="1" si="70">IF(N58=0,0,YEAR(B57))</f>
        <v>2026</v>
      </c>
      <c r="AO58" s="4">
        <f t="shared" ca="1" si="53"/>
        <v>2026</v>
      </c>
      <c r="AP58" s="4">
        <f t="shared" ca="1" si="54"/>
        <v>0</v>
      </c>
      <c r="AQ58" s="4">
        <f t="shared" ca="1" si="55"/>
        <v>30</v>
      </c>
      <c r="AR58" s="4">
        <f t="shared" si="56"/>
        <v>20</v>
      </c>
      <c r="AS58" s="4">
        <f t="shared" ref="AS58:AS85" ca="1" si="71">AQ57</f>
        <v>30</v>
      </c>
      <c r="AT58" s="19"/>
      <c r="AU58" s="19"/>
      <c r="AV58" s="19"/>
      <c r="AW58" s="19"/>
      <c r="AX58" s="19"/>
      <c r="AY58" s="4">
        <f t="shared" ca="1" si="57"/>
        <v>1</v>
      </c>
      <c r="AZ58" s="19"/>
      <c r="BC58" s="19"/>
      <c r="BD58" s="19"/>
      <c r="BE58" s="19"/>
      <c r="BF58" s="19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</row>
    <row r="59" spans="1:141" s="24" customFormat="1" ht="15" customHeight="1">
      <c r="A59" s="4">
        <v>35</v>
      </c>
      <c r="B59" s="268">
        <f t="shared" ca="1" si="58"/>
        <v>46376</v>
      </c>
      <c r="C59" s="401"/>
      <c r="D59" s="443">
        <f ca="1">IF(N59=0,IF(N58=1,SUM(D$25:E58)," "),IF(N59=0," ",IF(N60=1,D$25,IF(N60=0,D$10-D$25*(M$14-1)," "))))</f>
        <v>555560</v>
      </c>
      <c r="E59" s="443"/>
      <c r="F59" s="84">
        <f ca="1">IF(N59=0,IF(N58=1,SUM(F$25:F58)," "),IF(M$1=1,P59,IF(M$1=2,Q59," ")))</f>
        <v>102460</v>
      </c>
      <c r="G59" s="84">
        <v>0</v>
      </c>
      <c r="H59" s="84">
        <f t="shared" ca="1" si="59"/>
        <v>658020</v>
      </c>
      <c r="I59" s="84">
        <f t="shared" ca="1" si="60"/>
        <v>606060</v>
      </c>
      <c r="J59" s="84">
        <f t="shared" ca="1" si="41"/>
        <v>111790</v>
      </c>
      <c r="K59" s="84">
        <v>0</v>
      </c>
      <c r="L59" s="84">
        <f t="shared" ca="1" si="61"/>
        <v>717850</v>
      </c>
      <c r="M59" s="4">
        <v>35</v>
      </c>
      <c r="N59" s="4">
        <f t="shared" ca="1" si="34"/>
        <v>1</v>
      </c>
      <c r="O59" s="4">
        <f t="shared" ca="1" si="42"/>
        <v>20</v>
      </c>
      <c r="P59" s="22">
        <f t="shared" ca="1" si="43"/>
        <v>102460</v>
      </c>
      <c r="Q59" s="22">
        <f t="shared" ca="1" si="44"/>
        <v>102460</v>
      </c>
      <c r="R59" s="22">
        <f t="shared" ca="1" si="62"/>
        <v>1110960</v>
      </c>
      <c r="S59" s="22">
        <f t="shared" ca="1" si="63"/>
        <v>555560</v>
      </c>
      <c r="T59" s="22">
        <f t="shared" ca="1" si="64"/>
        <v>555560</v>
      </c>
      <c r="U59" s="22">
        <f t="shared" ca="1" si="36"/>
        <v>102458.88888888889</v>
      </c>
      <c r="V59" s="22">
        <f t="shared" ca="1" si="37"/>
        <v>102458.88888888889</v>
      </c>
      <c r="W59" s="22">
        <f t="shared" ca="1" si="65"/>
        <v>1383333.3333333335</v>
      </c>
      <c r="X59" s="22">
        <f t="shared" ca="1" si="66"/>
        <v>1383330</v>
      </c>
      <c r="Y59" s="22">
        <f t="shared" ca="1" si="45"/>
        <v>1212140</v>
      </c>
      <c r="Z59" s="22">
        <f t="shared" ca="1" si="38"/>
        <v>111785.78333333333</v>
      </c>
      <c r="AA59" s="22">
        <f t="shared" ca="1" si="46"/>
        <v>111790</v>
      </c>
      <c r="AB59" s="22">
        <f t="shared" ca="1" si="35"/>
        <v>44440000</v>
      </c>
      <c r="AC59" s="22">
        <f t="shared" ca="1" si="47"/>
        <v>0</v>
      </c>
      <c r="AD59" s="22">
        <f t="shared" ca="1" si="48"/>
        <v>0</v>
      </c>
      <c r="AE59" s="22">
        <f t="shared" ca="1" si="67"/>
        <v>0</v>
      </c>
      <c r="AF59" s="22">
        <f t="shared" ca="1" si="49"/>
        <v>0</v>
      </c>
      <c r="AG59" s="22">
        <f t="shared" ca="1" si="68"/>
        <v>0</v>
      </c>
      <c r="AH59" s="22">
        <f t="shared" ca="1" si="50"/>
        <v>0</v>
      </c>
      <c r="AI59" s="22">
        <f t="shared" ca="1" si="51"/>
        <v>1110960</v>
      </c>
      <c r="AJ59" s="22">
        <f t="shared" ca="1" si="39"/>
        <v>0</v>
      </c>
      <c r="AK59" s="22">
        <f t="shared" ca="1" si="40"/>
        <v>0</v>
      </c>
      <c r="AL59" s="69">
        <f t="shared" ca="1" si="69"/>
        <v>12</v>
      </c>
      <c r="AM59" s="69">
        <f t="shared" ca="1" si="52"/>
        <v>12</v>
      </c>
      <c r="AN59" s="4">
        <f t="shared" ca="1" si="70"/>
        <v>2026</v>
      </c>
      <c r="AO59" s="4">
        <f t="shared" ca="1" si="53"/>
        <v>2026</v>
      </c>
      <c r="AP59" s="4">
        <f t="shared" ca="1" si="54"/>
        <v>0</v>
      </c>
      <c r="AQ59" s="4">
        <f t="shared" ca="1" si="55"/>
        <v>30</v>
      </c>
      <c r="AR59" s="4">
        <f t="shared" si="56"/>
        <v>20</v>
      </c>
      <c r="AS59" s="4">
        <f t="shared" ca="1" si="71"/>
        <v>30</v>
      </c>
      <c r="AT59" s="19"/>
      <c r="AU59" s="19"/>
      <c r="AV59" s="19"/>
      <c r="AW59" s="19"/>
      <c r="AX59" s="19"/>
      <c r="AY59" s="4">
        <f t="shared" ca="1" si="57"/>
        <v>1</v>
      </c>
      <c r="AZ59" s="19"/>
      <c r="BC59" s="19"/>
      <c r="BD59" s="19"/>
      <c r="BE59" s="19"/>
      <c r="BF59" s="19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</row>
    <row r="60" spans="1:141" s="24" customFormat="1" ht="15" customHeight="1">
      <c r="A60" s="4">
        <v>36</v>
      </c>
      <c r="B60" s="268">
        <f t="shared" ca="1" si="58"/>
        <v>46389</v>
      </c>
      <c r="C60" s="401"/>
      <c r="D60" s="443">
        <f ca="1">IF(N60=0,IF(N59=1,SUM(D$25:E59)," "),IF(N60=0," ",IF(N61=1,D$25,IF(N61=0,D$10-D$25*(M$14-1)," "))))</f>
        <v>555400</v>
      </c>
      <c r="E60" s="443"/>
      <c r="F60" s="84">
        <f ca="1">IF(N60=0,IF(N59=1,SUM(F$25:F59)," "),IF(M$1=1,P60,IF(M$1=2,Q60," ")))</f>
        <v>66590</v>
      </c>
      <c r="G60" s="84">
        <v>0</v>
      </c>
      <c r="H60" s="84">
        <f t="shared" ca="1" si="59"/>
        <v>621990</v>
      </c>
      <c r="I60" s="84">
        <f t="shared" ca="1" si="60"/>
        <v>606080</v>
      </c>
      <c r="J60" s="84">
        <f t="shared" ca="1" si="41"/>
        <v>72660</v>
      </c>
      <c r="K60" s="84">
        <v>0</v>
      </c>
      <c r="L60" s="84">
        <f t="shared" ca="1" si="61"/>
        <v>678740</v>
      </c>
      <c r="M60" s="4">
        <v>36</v>
      </c>
      <c r="N60" s="4">
        <f t="shared" ca="1" si="34"/>
        <v>1</v>
      </c>
      <c r="O60" s="4">
        <f t="shared" ca="1" si="42"/>
        <v>2</v>
      </c>
      <c r="P60" s="22">
        <f t="shared" ca="1" si="43"/>
        <v>66590</v>
      </c>
      <c r="Q60" s="22">
        <f t="shared" ca="1" si="44"/>
        <v>66590</v>
      </c>
      <c r="R60" s="22">
        <f t="shared" ca="1" si="62"/>
        <v>555400</v>
      </c>
      <c r="S60" s="22">
        <f t="shared" ca="1" si="63"/>
        <v>555400</v>
      </c>
      <c r="T60" s="22">
        <f t="shared" ca="1" si="64"/>
        <v>555400</v>
      </c>
      <c r="U60" s="22">
        <f t="shared" ca="1" si="36"/>
        <v>66593.666666666657</v>
      </c>
      <c r="V60" s="22">
        <f t="shared" ca="1" si="37"/>
        <v>66593.666666666657</v>
      </c>
      <c r="W60" s="22">
        <f t="shared" ca="1" si="65"/>
        <v>1475555.5555555555</v>
      </c>
      <c r="X60" s="22">
        <f t="shared" ca="1" si="66"/>
        <v>1475560</v>
      </c>
      <c r="Y60" s="22">
        <f t="shared" ca="1" si="45"/>
        <v>606080</v>
      </c>
      <c r="Z60" s="22">
        <f t="shared" ca="1" si="38"/>
        <v>72661.335555555561</v>
      </c>
      <c r="AA60" s="22">
        <f t="shared" ca="1" si="46"/>
        <v>72660</v>
      </c>
      <c r="AB60" s="22">
        <f t="shared" ca="1" si="35"/>
        <v>1110800</v>
      </c>
      <c r="AC60" s="22">
        <f t="shared" ca="1" si="47"/>
        <v>0</v>
      </c>
      <c r="AD60" s="22">
        <f t="shared" ca="1" si="48"/>
        <v>0</v>
      </c>
      <c r="AE60" s="22">
        <f t="shared" ca="1" si="67"/>
        <v>0</v>
      </c>
      <c r="AF60" s="22">
        <f t="shared" ca="1" si="49"/>
        <v>0</v>
      </c>
      <c r="AG60" s="22">
        <f t="shared" ca="1" si="68"/>
        <v>0</v>
      </c>
      <c r="AH60" s="22">
        <f t="shared" ca="1" si="50"/>
        <v>0</v>
      </c>
      <c r="AI60" s="22">
        <f t="shared" ca="1" si="51"/>
        <v>555400</v>
      </c>
      <c r="AJ60" s="22">
        <f t="shared" ca="1" si="39"/>
        <v>0</v>
      </c>
      <c r="AK60" s="22">
        <f t="shared" ca="1" si="40"/>
        <v>0</v>
      </c>
      <c r="AL60" s="69">
        <f t="shared" ca="1" si="69"/>
        <v>13</v>
      </c>
      <c r="AM60" s="69">
        <f t="shared" ca="1" si="52"/>
        <v>1</v>
      </c>
      <c r="AN60" s="4">
        <f t="shared" ca="1" si="70"/>
        <v>2026</v>
      </c>
      <c r="AO60" s="4">
        <f t="shared" ca="1" si="53"/>
        <v>2027</v>
      </c>
      <c r="AP60" s="4">
        <f t="shared" ca="1" si="54"/>
        <v>0</v>
      </c>
      <c r="AQ60" s="4">
        <f t="shared" ca="1" si="55"/>
        <v>30</v>
      </c>
      <c r="AR60" s="4">
        <f t="shared" si="56"/>
        <v>20</v>
      </c>
      <c r="AS60" s="4">
        <f t="shared" ca="1" si="71"/>
        <v>30</v>
      </c>
      <c r="AT60" s="19"/>
      <c r="AU60" s="19"/>
      <c r="AV60" s="19"/>
      <c r="AW60" s="19"/>
      <c r="AX60" s="19"/>
      <c r="AY60" s="4">
        <f t="shared" ca="1" si="57"/>
        <v>1</v>
      </c>
      <c r="AZ60" s="19"/>
      <c r="BC60" s="19"/>
      <c r="BD60" s="19"/>
      <c r="BE60" s="19"/>
      <c r="BF60" s="19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</row>
    <row r="61" spans="1:141" s="24" customFormat="1" ht="15" customHeight="1">
      <c r="A61" s="4">
        <v>37</v>
      </c>
      <c r="B61" s="268" t="str">
        <f t="shared" ca="1" si="58"/>
        <v>ИТОГО</v>
      </c>
      <c r="C61" s="401"/>
      <c r="D61" s="443">
        <f ca="1">IF(N61=0,IF(N60=1,SUM(D$25:E60)," "),IF(N61=0," ",IF(N62=1,D$25,IF(N62=0,D$10-D$25*(M$14-1)," "))))</f>
        <v>20000000</v>
      </c>
      <c r="E61" s="443"/>
      <c r="F61" s="84">
        <f ca="1">IF(N61=0,IF(N60=1,SUM(F$25:F60)," "),IF(M$1=1,P61,IF(M$1=2,Q61," ")))</f>
        <v>26352290</v>
      </c>
      <c r="G61" s="84">
        <v>0</v>
      </c>
      <c r="H61" s="84">
        <f t="shared" ca="1" si="59"/>
        <v>46352290</v>
      </c>
      <c r="I61" s="84">
        <f t="shared" ca="1" si="60"/>
        <v>0</v>
      </c>
      <c r="J61" s="84">
        <f t="shared" ca="1" si="41"/>
        <v>0</v>
      </c>
      <c r="K61" s="84">
        <v>0</v>
      </c>
      <c r="L61" s="84" t="str">
        <f t="shared" ca="1" si="61"/>
        <v xml:space="preserve"> </v>
      </c>
      <c r="M61" s="4">
        <v>37</v>
      </c>
      <c r="N61" s="4">
        <f t="shared" ca="1" si="34"/>
        <v>0</v>
      </c>
      <c r="O61" s="4">
        <f t="shared" ca="1" si="42"/>
        <v>20</v>
      </c>
      <c r="P61" s="22">
        <f t="shared" ca="1" si="43"/>
        <v>0</v>
      </c>
      <c r="Q61" s="22">
        <f t="shared" ca="1" si="44"/>
        <v>0</v>
      </c>
      <c r="R61" s="22">
        <f t="shared" ca="1" si="62"/>
        <v>0</v>
      </c>
      <c r="S61" s="22">
        <f t="shared" ca="1" si="63"/>
        <v>20000000</v>
      </c>
      <c r="T61" s="22">
        <f t="shared" ca="1" si="64"/>
        <v>20000000</v>
      </c>
      <c r="U61" s="22">
        <f ca="1">IF(N62=1,R60*D$11*20/36000+R61*D$11*10/36000,IF(N62=0,IF(N61=0,0,IF(D$16&gt;20,R60*D$11*20/36000+R61*D$11*(Q$12-20)/36000,R61*D$11*Q$12/36000))))</f>
        <v>0</v>
      </c>
      <c r="V61" s="22">
        <f ca="1">IF(N62=1,R60*D$11*20/36000+R61*D$11*10/36000,IF(N62=0,IF(N61=0,0,IF(D$16&gt;20,R60*D$11*20/36000+R61*D$11*(Q$12-20)/36000,R61*D$11*Q$12/36000))))</f>
        <v>0</v>
      </c>
      <c r="W61" s="22">
        <f t="shared" ca="1" si="65"/>
        <v>0</v>
      </c>
      <c r="X61" s="22">
        <f t="shared" ca="1" si="66"/>
        <v>0</v>
      </c>
      <c r="Y61" s="22">
        <f t="shared" ca="1" si="45"/>
        <v>0</v>
      </c>
      <c r="Z61" s="22">
        <f ca="1">IF(N62=1,Y60*D$11*20/36000+Y61*D$11*10/36000,IF(N62=0,IF(N61=0,0,IF(D$16&gt;20,Y60*D$11*20/36000+Y61*D$11*(Q$12-20)/36000,Y61*D$11*Q$12/36000))))</f>
        <v>0</v>
      </c>
      <c r="AA61" s="22">
        <f t="shared" ca="1" si="46"/>
        <v>0</v>
      </c>
      <c r="AB61" s="22">
        <f t="shared" ca="1" si="35"/>
        <v>0</v>
      </c>
      <c r="AC61" s="22">
        <f t="shared" ca="1" si="47"/>
        <v>0</v>
      </c>
      <c r="AD61" s="22">
        <f t="shared" ca="1" si="48"/>
        <v>0</v>
      </c>
      <c r="AE61" s="22">
        <f t="shared" ca="1" si="67"/>
        <v>0</v>
      </c>
      <c r="AF61" s="22">
        <f t="shared" ca="1" si="49"/>
        <v>0</v>
      </c>
      <c r="AG61" s="22">
        <f t="shared" ca="1" si="68"/>
        <v>0</v>
      </c>
      <c r="AH61" s="22">
        <f t="shared" ca="1" si="50"/>
        <v>0</v>
      </c>
      <c r="AI61" s="22">
        <f t="shared" ca="1" si="51"/>
        <v>0</v>
      </c>
      <c r="AJ61" s="22">
        <f ca="1">IF(N62=1,AI60*G$12*20/36000+AI61*G$12*10/36000,IF(N62=0,IF(N61=0,0,AI61*G$12*Q$12/36000)))</f>
        <v>0</v>
      </c>
      <c r="AK61" s="22">
        <f ca="1">IF(N62=1,AI60*G$12*20/36000+AI61*G$12*10/36000,IF(N62=0,IF(N61=0,0,AI61*G$12*Q$12/36000)))</f>
        <v>0</v>
      </c>
      <c r="AL61" s="69">
        <f t="shared" ca="1" si="69"/>
        <v>0</v>
      </c>
      <c r="AM61" s="69">
        <f t="shared" ca="1" si="52"/>
        <v>0</v>
      </c>
      <c r="AN61" s="4">
        <f t="shared" ca="1" si="70"/>
        <v>0</v>
      </c>
      <c r="AO61" s="4">
        <f t="shared" ca="1" si="53"/>
        <v>0</v>
      </c>
      <c r="AP61" s="4">
        <f t="shared" ca="1" si="54"/>
        <v>0</v>
      </c>
      <c r="AQ61" s="4">
        <f t="shared" ca="1" si="55"/>
        <v>30</v>
      </c>
      <c r="AR61" s="4">
        <f t="shared" si="56"/>
        <v>20</v>
      </c>
      <c r="AS61" s="4">
        <f t="shared" ca="1" si="71"/>
        <v>30</v>
      </c>
      <c r="AT61" s="19"/>
      <c r="AU61" s="19"/>
      <c r="AV61" s="19"/>
      <c r="AW61" s="19"/>
      <c r="AX61" s="19"/>
      <c r="AY61" s="4">
        <f t="shared" ca="1" si="57"/>
        <v>0</v>
      </c>
      <c r="AZ61" s="19"/>
      <c r="BC61" s="19"/>
      <c r="BD61" s="19"/>
      <c r="BE61" s="19"/>
      <c r="BF61" s="19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</row>
    <row r="62" spans="1:141" s="24" customFormat="1" ht="15" customHeight="1">
      <c r="A62" s="4">
        <v>38</v>
      </c>
      <c r="B62" s="268" t="str">
        <f t="shared" ca="1" si="58"/>
        <v xml:space="preserve"> </v>
      </c>
      <c r="C62" s="401"/>
      <c r="D62" s="443" t="str">
        <f ca="1">IF(N62=0,IF(N61=1,SUM(D$25:E61)," "),IF(N62=0," ",IF(N63=1,D$25,IF(N63=0,D$10-D$25*(M$14-1)," "))))</f>
        <v xml:space="preserve"> </v>
      </c>
      <c r="E62" s="443"/>
      <c r="F62" s="84" t="str">
        <f ca="1">IF(N62=0,IF(N61=1,SUM(F$25:F61)," "),IF(M$1=1,P62,IF(M$1=2,Q62," ")))</f>
        <v xml:space="preserve"> </v>
      </c>
      <c r="G62" s="84">
        <v>0</v>
      </c>
      <c r="H62" s="84" t="str">
        <f t="shared" ca="1" si="59"/>
        <v xml:space="preserve"> </v>
      </c>
      <c r="I62" s="84">
        <f t="shared" ca="1" si="60"/>
        <v>0</v>
      </c>
      <c r="J62" s="84">
        <f t="shared" ca="1" si="41"/>
        <v>0</v>
      </c>
      <c r="K62" s="84">
        <v>0</v>
      </c>
      <c r="L62" s="84" t="str">
        <f t="shared" ca="1" si="61"/>
        <v xml:space="preserve"> </v>
      </c>
      <c r="M62" s="4">
        <v>38</v>
      </c>
      <c r="N62" s="4">
        <f t="shared" ca="1" si="34"/>
        <v>0</v>
      </c>
      <c r="O62" s="4">
        <f t="shared" ca="1" si="42"/>
        <v>20</v>
      </c>
      <c r="P62" s="22">
        <f t="shared" ca="1" si="43"/>
        <v>0</v>
      </c>
      <c r="Q62" s="22">
        <f t="shared" ca="1" si="44"/>
        <v>0</v>
      </c>
      <c r="R62" s="22">
        <f t="shared" ca="1" si="62"/>
        <v>0</v>
      </c>
      <c r="S62" s="22" t="str">
        <f t="shared" ca="1" si="63"/>
        <v xml:space="preserve"> </v>
      </c>
      <c r="T62" s="22" t="e">
        <f t="shared" ca="1" si="64"/>
        <v>#VALUE!</v>
      </c>
      <c r="U62" s="22">
        <f t="shared" ref="U62:U72" ca="1" si="72">IF(N63=1,R61*D$11*20/36000+R62*D$11*10/36000,IF(N63=0,IF(N62=0,0,R62*D$11*Q$12/36000+R61*D$11*20/36000+R62*D$11*10/36000)))</f>
        <v>0</v>
      </c>
      <c r="V62" s="22">
        <f t="shared" ref="V62:V72" ca="1" si="73">IF(N63=1,R61*D$11*20/36000+R62*D$11*10/36000,IF(N63=0,IF(N62=0,0,R62*D$11*Q$12/36000+R61*D$11*20/36000+R62*D$11*10/36000)))</f>
        <v>0</v>
      </c>
      <c r="W62" s="22">
        <f t="shared" ca="1" si="65"/>
        <v>0</v>
      </c>
      <c r="X62" s="22">
        <f t="shared" ca="1" si="66"/>
        <v>0</v>
      </c>
      <c r="Y62" s="22">
        <f t="shared" ca="1" si="45"/>
        <v>0</v>
      </c>
      <c r="Z62" s="22">
        <f t="shared" ref="Z62:Z72" ca="1" si="74">IF(N63=1,Y61*D$11*20/36000+Y62*D$11*10/36000,IF(N63=0,IF(N62=0,0,Y62*D$11*Q$12/36000+Y61*D$11*20/36000+Y62*D$11*10/36000)))</f>
        <v>0</v>
      </c>
      <c r="AA62" s="22">
        <f t="shared" ca="1" si="46"/>
        <v>0</v>
      </c>
      <c r="AB62" s="22">
        <f t="shared" ca="1" si="35"/>
        <v>0</v>
      </c>
      <c r="AC62" s="22">
        <f t="shared" ca="1" si="47"/>
        <v>0</v>
      </c>
      <c r="AD62" s="22">
        <f t="shared" ca="1" si="48"/>
        <v>0</v>
      </c>
      <c r="AE62" s="22">
        <f t="shared" ca="1" si="67"/>
        <v>0</v>
      </c>
      <c r="AF62" s="22">
        <f t="shared" ca="1" si="49"/>
        <v>0</v>
      </c>
      <c r="AG62" s="22">
        <f t="shared" ca="1" si="68"/>
        <v>0</v>
      </c>
      <c r="AH62" s="22">
        <f t="shared" ca="1" si="50"/>
        <v>0</v>
      </c>
      <c r="AI62" s="22">
        <f t="shared" ca="1" si="51"/>
        <v>0</v>
      </c>
      <c r="AJ62" s="22">
        <f t="shared" ref="AJ62:AJ72" ca="1" si="75">IF(N63=1,AI61*G$12*20/36000+AI62*G$12*10/36000,IF(N63=0,IF(N62=0,0,AI62*G$12*Q$12/36000+AI61*G$12*20/36000+AI62*G$12*10/36000)))</f>
        <v>0</v>
      </c>
      <c r="AK62" s="22">
        <f t="shared" ref="AK62:AK72" ca="1" si="76">IF(N63=1,AI61*G$12*20/36000+AI62*G$12*10/36000,IF(N63=0,IF(N62=0,0,AI62*G$12*Q$12/36000+AI61*G$12*20/36000+AI62*G$12*10/36000)))</f>
        <v>0</v>
      </c>
      <c r="AL62" s="69">
        <f t="shared" ca="1" si="69"/>
        <v>0</v>
      </c>
      <c r="AM62" s="69">
        <f t="shared" ca="1" si="52"/>
        <v>0</v>
      </c>
      <c r="AN62" s="4">
        <f t="shared" ca="1" si="70"/>
        <v>0</v>
      </c>
      <c r="AO62" s="4">
        <f t="shared" ca="1" si="53"/>
        <v>0</v>
      </c>
      <c r="AP62" s="4">
        <f t="shared" ca="1" si="54"/>
        <v>0</v>
      </c>
      <c r="AQ62" s="4">
        <f t="shared" ca="1" si="55"/>
        <v>30</v>
      </c>
      <c r="AR62" s="4">
        <f t="shared" si="56"/>
        <v>20</v>
      </c>
      <c r="AS62" s="4">
        <f t="shared" ca="1" si="71"/>
        <v>30</v>
      </c>
      <c r="AT62" s="19"/>
      <c r="AU62" s="19"/>
      <c r="AV62" s="19"/>
      <c r="AW62" s="19"/>
      <c r="AX62" s="19"/>
      <c r="AY62" s="4">
        <f t="shared" ca="1" si="57"/>
        <v>0</v>
      </c>
      <c r="AZ62" s="19"/>
      <c r="BC62" s="19"/>
      <c r="BD62" s="19"/>
      <c r="BE62" s="19"/>
      <c r="BF62" s="19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</row>
    <row r="63" spans="1:141" s="24" customFormat="1" ht="15" customHeight="1">
      <c r="A63" s="4">
        <v>39</v>
      </c>
      <c r="B63" s="268" t="str">
        <f t="shared" ca="1" si="58"/>
        <v xml:space="preserve"> </v>
      </c>
      <c r="C63" s="401"/>
      <c r="D63" s="443" t="str">
        <f ca="1">IF(N63=0,IF(N62=1,SUM(D$25:E62)," "),IF(N63=0," ",IF(N64=1,D$25,IF(N64=0,D$10-D$25*(M$14-1)," "))))</f>
        <v xml:space="preserve"> </v>
      </c>
      <c r="E63" s="443"/>
      <c r="F63" s="84" t="str">
        <f ca="1">IF(N63=0,IF(N62=1,SUM(F$25:F62)," "),IF(M$1=1,P63,IF(M$1=2,Q63," ")))</f>
        <v xml:space="preserve"> </v>
      </c>
      <c r="G63" s="84">
        <v>0</v>
      </c>
      <c r="H63" s="84" t="str">
        <f t="shared" ca="1" si="59"/>
        <v xml:space="preserve"> </v>
      </c>
      <c r="I63" s="84">
        <f t="shared" ca="1" si="60"/>
        <v>0</v>
      </c>
      <c r="J63" s="84">
        <f t="shared" ca="1" si="41"/>
        <v>0</v>
      </c>
      <c r="K63" s="84">
        <v>0</v>
      </c>
      <c r="L63" s="84" t="str">
        <f t="shared" ca="1" si="61"/>
        <v xml:space="preserve"> </v>
      </c>
      <c r="M63" s="4">
        <v>39</v>
      </c>
      <c r="N63" s="4">
        <f t="shared" ca="1" si="34"/>
        <v>0</v>
      </c>
      <c r="O63" s="4">
        <f t="shared" ca="1" si="42"/>
        <v>20</v>
      </c>
      <c r="P63" s="22">
        <f t="shared" ca="1" si="43"/>
        <v>0</v>
      </c>
      <c r="Q63" s="22">
        <f t="shared" ca="1" si="44"/>
        <v>0</v>
      </c>
      <c r="R63" s="22">
        <f t="shared" ca="1" si="62"/>
        <v>0</v>
      </c>
      <c r="S63" s="22" t="str">
        <f t="shared" ca="1" si="63"/>
        <v xml:space="preserve"> </v>
      </c>
      <c r="T63" s="22" t="e">
        <f t="shared" ca="1" si="64"/>
        <v>#VALUE!</v>
      </c>
      <c r="U63" s="22">
        <f t="shared" ca="1" si="72"/>
        <v>0</v>
      </c>
      <c r="V63" s="22">
        <f t="shared" ca="1" si="73"/>
        <v>0</v>
      </c>
      <c r="W63" s="22">
        <f t="shared" ca="1" si="65"/>
        <v>0</v>
      </c>
      <c r="X63" s="22">
        <f t="shared" ca="1" si="66"/>
        <v>0</v>
      </c>
      <c r="Y63" s="22">
        <f t="shared" ca="1" si="45"/>
        <v>0</v>
      </c>
      <c r="Z63" s="22">
        <f t="shared" ca="1" si="74"/>
        <v>0</v>
      </c>
      <c r="AA63" s="22">
        <f t="shared" ca="1" si="46"/>
        <v>0</v>
      </c>
      <c r="AB63" s="22">
        <f t="shared" ca="1" si="35"/>
        <v>0</v>
      </c>
      <c r="AC63" s="22">
        <f t="shared" ca="1" si="47"/>
        <v>0</v>
      </c>
      <c r="AD63" s="22">
        <f t="shared" ca="1" si="48"/>
        <v>0</v>
      </c>
      <c r="AE63" s="22">
        <f t="shared" ca="1" si="67"/>
        <v>0</v>
      </c>
      <c r="AF63" s="22">
        <f t="shared" ca="1" si="49"/>
        <v>0</v>
      </c>
      <c r="AG63" s="22">
        <f t="shared" ca="1" si="68"/>
        <v>0</v>
      </c>
      <c r="AH63" s="22">
        <f t="shared" ca="1" si="50"/>
        <v>0</v>
      </c>
      <c r="AI63" s="22">
        <f t="shared" ca="1" si="51"/>
        <v>0</v>
      </c>
      <c r="AJ63" s="22">
        <f t="shared" ca="1" si="75"/>
        <v>0</v>
      </c>
      <c r="AK63" s="22">
        <f t="shared" ca="1" si="76"/>
        <v>0</v>
      </c>
      <c r="AL63" s="69">
        <f t="shared" ca="1" si="69"/>
        <v>0</v>
      </c>
      <c r="AM63" s="69">
        <f t="shared" ca="1" si="52"/>
        <v>0</v>
      </c>
      <c r="AN63" s="4">
        <f t="shared" ca="1" si="70"/>
        <v>0</v>
      </c>
      <c r="AO63" s="4">
        <f t="shared" ca="1" si="53"/>
        <v>0</v>
      </c>
      <c r="AP63" s="4">
        <f t="shared" ca="1" si="54"/>
        <v>0</v>
      </c>
      <c r="AQ63" s="4">
        <f t="shared" ca="1" si="55"/>
        <v>30</v>
      </c>
      <c r="AR63" s="4">
        <f t="shared" si="56"/>
        <v>20</v>
      </c>
      <c r="AS63" s="4">
        <f t="shared" ca="1" si="71"/>
        <v>30</v>
      </c>
      <c r="AT63" s="19"/>
      <c r="AU63" s="19"/>
      <c r="AV63" s="19"/>
      <c r="AW63" s="19"/>
      <c r="AX63" s="19"/>
      <c r="AY63" s="4">
        <f t="shared" ca="1" si="57"/>
        <v>0</v>
      </c>
      <c r="AZ63" s="19"/>
      <c r="BC63" s="19"/>
      <c r="BD63" s="19"/>
      <c r="BE63" s="19"/>
      <c r="BF63" s="19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</row>
    <row r="64" spans="1:141" s="24" customFormat="1" ht="15" customHeight="1">
      <c r="A64" s="4">
        <v>40</v>
      </c>
      <c r="B64" s="268" t="str">
        <f t="shared" ca="1" si="58"/>
        <v xml:space="preserve"> </v>
      </c>
      <c r="C64" s="401"/>
      <c r="D64" s="443" t="str">
        <f ca="1">IF(N64=0,IF(N63=1,SUM(D$25:E63)," "),IF(N64=0," ",IF(N65=1,D$25,IF(N65=0,D$10-D$25*(M$14-1)," "))))</f>
        <v xml:space="preserve"> </v>
      </c>
      <c r="E64" s="443"/>
      <c r="F64" s="84" t="str">
        <f ca="1">IF(N64=0,IF(N63=1,SUM(F$25:F63)," "),IF(M$1=1,P64,IF(M$1=2,Q64," ")))</f>
        <v xml:space="preserve"> </v>
      </c>
      <c r="G64" s="84">
        <v>0</v>
      </c>
      <c r="H64" s="84" t="str">
        <f t="shared" ca="1" si="59"/>
        <v xml:space="preserve"> </v>
      </c>
      <c r="I64" s="84">
        <f t="shared" ca="1" si="60"/>
        <v>0</v>
      </c>
      <c r="J64" s="84">
        <f t="shared" ca="1" si="41"/>
        <v>0</v>
      </c>
      <c r="K64" s="84">
        <v>0</v>
      </c>
      <c r="L64" s="84" t="str">
        <f t="shared" ca="1" si="61"/>
        <v xml:space="preserve"> </v>
      </c>
      <c r="M64" s="4">
        <v>40</v>
      </c>
      <c r="N64" s="4">
        <f t="shared" ca="1" si="34"/>
        <v>0</v>
      </c>
      <c r="O64" s="4">
        <f t="shared" ca="1" si="42"/>
        <v>20</v>
      </c>
      <c r="P64" s="22">
        <f t="shared" ca="1" si="43"/>
        <v>0</v>
      </c>
      <c r="Q64" s="22">
        <f t="shared" ca="1" si="44"/>
        <v>0</v>
      </c>
      <c r="R64" s="22">
        <f t="shared" ca="1" si="62"/>
        <v>0</v>
      </c>
      <c r="S64" s="22" t="str">
        <f t="shared" ca="1" si="63"/>
        <v xml:space="preserve"> </v>
      </c>
      <c r="T64" s="22" t="e">
        <f t="shared" ca="1" si="64"/>
        <v>#VALUE!</v>
      </c>
      <c r="U64" s="22">
        <f t="shared" ca="1" si="72"/>
        <v>0</v>
      </c>
      <c r="V64" s="22">
        <f t="shared" ca="1" si="73"/>
        <v>0</v>
      </c>
      <c r="W64" s="22">
        <f t="shared" ca="1" si="65"/>
        <v>0</v>
      </c>
      <c r="X64" s="22">
        <f t="shared" ca="1" si="66"/>
        <v>0</v>
      </c>
      <c r="Y64" s="22">
        <f t="shared" ca="1" si="45"/>
        <v>0</v>
      </c>
      <c r="Z64" s="22">
        <f t="shared" ca="1" si="74"/>
        <v>0</v>
      </c>
      <c r="AA64" s="22">
        <f t="shared" ca="1" si="46"/>
        <v>0</v>
      </c>
      <c r="AB64" s="22">
        <f t="shared" ca="1" si="35"/>
        <v>0</v>
      </c>
      <c r="AC64" s="22">
        <f t="shared" ca="1" si="47"/>
        <v>0</v>
      </c>
      <c r="AD64" s="22">
        <f t="shared" ca="1" si="48"/>
        <v>0</v>
      </c>
      <c r="AE64" s="22">
        <f t="shared" ca="1" si="67"/>
        <v>0</v>
      </c>
      <c r="AF64" s="22">
        <f t="shared" ca="1" si="49"/>
        <v>0</v>
      </c>
      <c r="AG64" s="22">
        <f t="shared" ca="1" si="68"/>
        <v>0</v>
      </c>
      <c r="AH64" s="22">
        <f t="shared" ca="1" si="50"/>
        <v>0</v>
      </c>
      <c r="AI64" s="22">
        <f t="shared" ca="1" si="51"/>
        <v>0</v>
      </c>
      <c r="AJ64" s="22">
        <f t="shared" ca="1" si="75"/>
        <v>0</v>
      </c>
      <c r="AK64" s="22">
        <f t="shared" ca="1" si="76"/>
        <v>0</v>
      </c>
      <c r="AL64" s="69">
        <f t="shared" ca="1" si="69"/>
        <v>0</v>
      </c>
      <c r="AM64" s="69">
        <f t="shared" ca="1" si="52"/>
        <v>0</v>
      </c>
      <c r="AN64" s="4">
        <f t="shared" ca="1" si="70"/>
        <v>0</v>
      </c>
      <c r="AO64" s="4">
        <f t="shared" ca="1" si="53"/>
        <v>0</v>
      </c>
      <c r="AP64" s="4">
        <f t="shared" ca="1" si="54"/>
        <v>0</v>
      </c>
      <c r="AQ64" s="4">
        <f t="shared" ca="1" si="55"/>
        <v>30</v>
      </c>
      <c r="AR64" s="4">
        <f t="shared" si="56"/>
        <v>20</v>
      </c>
      <c r="AS64" s="4">
        <f t="shared" ca="1" si="71"/>
        <v>30</v>
      </c>
      <c r="AT64" s="19"/>
      <c r="AU64" s="19"/>
      <c r="AV64" s="19"/>
      <c r="AW64" s="19"/>
      <c r="AX64" s="19"/>
      <c r="AY64" s="4">
        <f t="shared" ca="1" si="57"/>
        <v>0</v>
      </c>
      <c r="AZ64" s="19"/>
      <c r="BC64" s="19"/>
      <c r="BD64" s="19"/>
      <c r="BE64" s="19"/>
      <c r="BF64" s="19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</row>
    <row r="65" spans="1:141" s="24" customFormat="1" ht="15" customHeight="1">
      <c r="A65" s="4">
        <v>41</v>
      </c>
      <c r="B65" s="268" t="str">
        <f t="shared" ca="1" si="58"/>
        <v xml:space="preserve"> </v>
      </c>
      <c r="C65" s="401"/>
      <c r="D65" s="443" t="str">
        <f ca="1">IF(N65=0,IF(N64=1,SUM(D$25:E64)," "),IF(N65=0," ",IF(N66=1,D$25,IF(N66=0,D$10-D$25*(M$14-1)," "))))</f>
        <v xml:space="preserve"> </v>
      </c>
      <c r="E65" s="443"/>
      <c r="F65" s="84" t="str">
        <f ca="1">IF(N65=0,IF(N64=1,SUM(F$25:F64)," "),IF(M$1=1,P65,IF(M$1=2,Q65," ")))</f>
        <v xml:space="preserve"> </v>
      </c>
      <c r="G65" s="84">
        <v>0</v>
      </c>
      <c r="H65" s="84" t="str">
        <f t="shared" ca="1" si="59"/>
        <v xml:space="preserve"> </v>
      </c>
      <c r="I65" s="84">
        <f t="shared" ca="1" si="60"/>
        <v>0</v>
      </c>
      <c r="J65" s="84">
        <f t="shared" ca="1" si="41"/>
        <v>0</v>
      </c>
      <c r="K65" s="84">
        <v>0</v>
      </c>
      <c r="L65" s="84" t="str">
        <f t="shared" ca="1" si="61"/>
        <v xml:space="preserve"> </v>
      </c>
      <c r="M65" s="4">
        <v>41</v>
      </c>
      <c r="N65" s="4">
        <f t="shared" ca="1" si="34"/>
        <v>0</v>
      </c>
      <c r="O65" s="4">
        <f t="shared" ca="1" si="42"/>
        <v>20</v>
      </c>
      <c r="P65" s="22">
        <f t="shared" ca="1" si="43"/>
        <v>0</v>
      </c>
      <c r="Q65" s="22">
        <f t="shared" ca="1" si="44"/>
        <v>0</v>
      </c>
      <c r="R65" s="22">
        <f t="shared" ca="1" si="62"/>
        <v>0</v>
      </c>
      <c r="S65" s="22" t="str">
        <f t="shared" ca="1" si="63"/>
        <v xml:space="preserve"> </v>
      </c>
      <c r="T65" s="22" t="e">
        <f t="shared" ca="1" si="64"/>
        <v>#VALUE!</v>
      </c>
      <c r="U65" s="22">
        <f t="shared" ca="1" si="72"/>
        <v>0</v>
      </c>
      <c r="V65" s="22">
        <f t="shared" ca="1" si="73"/>
        <v>0</v>
      </c>
      <c r="W65" s="22">
        <f t="shared" ca="1" si="65"/>
        <v>0</v>
      </c>
      <c r="X65" s="22">
        <f t="shared" ca="1" si="66"/>
        <v>0</v>
      </c>
      <c r="Y65" s="22">
        <f t="shared" ca="1" si="45"/>
        <v>0</v>
      </c>
      <c r="Z65" s="22">
        <f t="shared" ca="1" si="74"/>
        <v>0</v>
      </c>
      <c r="AA65" s="22">
        <f t="shared" ca="1" si="46"/>
        <v>0</v>
      </c>
      <c r="AB65" s="22">
        <f t="shared" ca="1" si="35"/>
        <v>0</v>
      </c>
      <c r="AC65" s="22">
        <f t="shared" ca="1" si="47"/>
        <v>0</v>
      </c>
      <c r="AD65" s="22">
        <f t="shared" ca="1" si="48"/>
        <v>0</v>
      </c>
      <c r="AE65" s="22">
        <f t="shared" ca="1" si="67"/>
        <v>0</v>
      </c>
      <c r="AF65" s="22">
        <f t="shared" ca="1" si="49"/>
        <v>0</v>
      </c>
      <c r="AG65" s="22">
        <f t="shared" ca="1" si="68"/>
        <v>0</v>
      </c>
      <c r="AH65" s="22">
        <f t="shared" ca="1" si="50"/>
        <v>0</v>
      </c>
      <c r="AI65" s="22">
        <f t="shared" ca="1" si="51"/>
        <v>0</v>
      </c>
      <c r="AJ65" s="22">
        <f t="shared" ca="1" si="75"/>
        <v>0</v>
      </c>
      <c r="AK65" s="22">
        <f t="shared" ca="1" si="76"/>
        <v>0</v>
      </c>
      <c r="AL65" s="69">
        <f t="shared" ca="1" si="69"/>
        <v>0</v>
      </c>
      <c r="AM65" s="69">
        <f t="shared" ca="1" si="52"/>
        <v>0</v>
      </c>
      <c r="AN65" s="4">
        <f t="shared" ca="1" si="70"/>
        <v>0</v>
      </c>
      <c r="AO65" s="4">
        <f t="shared" ca="1" si="53"/>
        <v>0</v>
      </c>
      <c r="AP65" s="4">
        <f t="shared" ca="1" si="54"/>
        <v>0</v>
      </c>
      <c r="AQ65" s="4">
        <f t="shared" ca="1" si="55"/>
        <v>30</v>
      </c>
      <c r="AR65" s="4">
        <f t="shared" si="56"/>
        <v>20</v>
      </c>
      <c r="AS65" s="4">
        <f t="shared" ca="1" si="71"/>
        <v>30</v>
      </c>
      <c r="AT65" s="19"/>
      <c r="AU65" s="19"/>
      <c r="AV65" s="19"/>
      <c r="AW65" s="19"/>
      <c r="AX65" s="19"/>
      <c r="AY65" s="4">
        <f t="shared" ca="1" si="57"/>
        <v>0</v>
      </c>
      <c r="AZ65" s="19"/>
      <c r="BC65" s="19"/>
      <c r="BD65" s="19"/>
      <c r="BE65" s="19"/>
      <c r="BF65" s="19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</row>
    <row r="66" spans="1:141" s="24" customFormat="1" ht="15" customHeight="1">
      <c r="A66" s="4">
        <v>42</v>
      </c>
      <c r="B66" s="268" t="str">
        <f t="shared" ca="1" si="58"/>
        <v xml:space="preserve"> </v>
      </c>
      <c r="C66" s="401"/>
      <c r="D66" s="443" t="str">
        <f ca="1">IF(N66=0,IF(N65=1,SUM(D$25:E65)," "),IF(N66=0," ",IF(N67=1,D$25,IF(N67=0,D$10-D$25*(M$14-1)," "))))</f>
        <v xml:space="preserve"> </v>
      </c>
      <c r="E66" s="443"/>
      <c r="F66" s="84" t="str">
        <f ca="1">IF(N66=0,IF(N65=1,SUM(F$25:F65)," "),IF(M$1=1,P66,IF(M$1=2,Q66," ")))</f>
        <v xml:space="preserve"> </v>
      </c>
      <c r="G66" s="84">
        <v>0</v>
      </c>
      <c r="H66" s="84" t="str">
        <f t="shared" ca="1" si="59"/>
        <v xml:space="preserve"> </v>
      </c>
      <c r="I66" s="84">
        <f t="shared" ca="1" si="60"/>
        <v>0</v>
      </c>
      <c r="J66" s="84">
        <f t="shared" ca="1" si="41"/>
        <v>0</v>
      </c>
      <c r="K66" s="84">
        <v>0</v>
      </c>
      <c r="L66" s="84" t="str">
        <f t="shared" ca="1" si="61"/>
        <v xml:space="preserve"> </v>
      </c>
      <c r="M66" s="4">
        <v>42</v>
      </c>
      <c r="N66" s="4">
        <f t="shared" ca="1" si="34"/>
        <v>0</v>
      </c>
      <c r="O66" s="4">
        <f t="shared" ca="1" si="42"/>
        <v>20</v>
      </c>
      <c r="P66" s="22">
        <f t="shared" ca="1" si="43"/>
        <v>0</v>
      </c>
      <c r="Q66" s="22">
        <f t="shared" ca="1" si="44"/>
        <v>0</v>
      </c>
      <c r="R66" s="22">
        <f t="shared" ca="1" si="62"/>
        <v>0</v>
      </c>
      <c r="S66" s="22" t="str">
        <f t="shared" ca="1" si="63"/>
        <v xml:space="preserve"> </v>
      </c>
      <c r="T66" s="22" t="e">
        <f t="shared" ca="1" si="64"/>
        <v>#VALUE!</v>
      </c>
      <c r="U66" s="22">
        <f t="shared" ca="1" si="72"/>
        <v>0</v>
      </c>
      <c r="V66" s="22">
        <f t="shared" ca="1" si="73"/>
        <v>0</v>
      </c>
      <c r="W66" s="22">
        <f t="shared" ca="1" si="65"/>
        <v>0</v>
      </c>
      <c r="X66" s="22">
        <f t="shared" ca="1" si="66"/>
        <v>0</v>
      </c>
      <c r="Y66" s="22">
        <f t="shared" ca="1" si="45"/>
        <v>0</v>
      </c>
      <c r="Z66" s="22">
        <f t="shared" ca="1" si="74"/>
        <v>0</v>
      </c>
      <c r="AA66" s="22">
        <f t="shared" ca="1" si="46"/>
        <v>0</v>
      </c>
      <c r="AB66" s="22">
        <f t="shared" ca="1" si="35"/>
        <v>0</v>
      </c>
      <c r="AC66" s="22">
        <f t="shared" ca="1" si="47"/>
        <v>0</v>
      </c>
      <c r="AD66" s="22">
        <f t="shared" ca="1" si="48"/>
        <v>0</v>
      </c>
      <c r="AE66" s="22">
        <f t="shared" ca="1" si="67"/>
        <v>0</v>
      </c>
      <c r="AF66" s="22">
        <f t="shared" ca="1" si="49"/>
        <v>0</v>
      </c>
      <c r="AG66" s="22">
        <f t="shared" ca="1" si="68"/>
        <v>0</v>
      </c>
      <c r="AH66" s="22">
        <f t="shared" ca="1" si="50"/>
        <v>0</v>
      </c>
      <c r="AI66" s="22">
        <f t="shared" ca="1" si="51"/>
        <v>0</v>
      </c>
      <c r="AJ66" s="22">
        <f t="shared" ca="1" si="75"/>
        <v>0</v>
      </c>
      <c r="AK66" s="22">
        <f t="shared" ca="1" si="76"/>
        <v>0</v>
      </c>
      <c r="AL66" s="69">
        <f t="shared" ca="1" si="69"/>
        <v>0</v>
      </c>
      <c r="AM66" s="69">
        <f t="shared" ca="1" si="52"/>
        <v>0</v>
      </c>
      <c r="AN66" s="4">
        <f t="shared" ca="1" si="70"/>
        <v>0</v>
      </c>
      <c r="AO66" s="4">
        <f t="shared" ca="1" si="53"/>
        <v>0</v>
      </c>
      <c r="AP66" s="4">
        <f t="shared" ca="1" si="54"/>
        <v>0</v>
      </c>
      <c r="AQ66" s="4">
        <f t="shared" ca="1" si="55"/>
        <v>30</v>
      </c>
      <c r="AR66" s="4">
        <f t="shared" si="56"/>
        <v>20</v>
      </c>
      <c r="AS66" s="4">
        <f t="shared" ca="1" si="71"/>
        <v>30</v>
      </c>
      <c r="AT66" s="19"/>
      <c r="AU66" s="19"/>
      <c r="AV66" s="19"/>
      <c r="AW66" s="19"/>
      <c r="AX66" s="19"/>
      <c r="AY66" s="4">
        <f t="shared" ca="1" si="57"/>
        <v>0</v>
      </c>
      <c r="AZ66" s="19"/>
      <c r="BC66" s="19"/>
      <c r="BD66" s="19"/>
      <c r="BE66" s="19"/>
      <c r="BF66" s="19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</row>
    <row r="67" spans="1:141" s="24" customFormat="1" ht="15" customHeight="1">
      <c r="A67" s="4">
        <v>43</v>
      </c>
      <c r="B67" s="268" t="str">
        <f t="shared" ca="1" si="58"/>
        <v xml:space="preserve"> </v>
      </c>
      <c r="C67" s="401"/>
      <c r="D67" s="443" t="str">
        <f ca="1">IF(N67=0,IF(N66=1,SUM(D$25:E66)," "),IF(N67=0," ",IF(N68=1,D$25,IF(N68=0,D$10-D$25*(M$14-1)," "))))</f>
        <v xml:space="preserve"> </v>
      </c>
      <c r="E67" s="443"/>
      <c r="F67" s="84" t="str">
        <f ca="1">IF(N67=0,IF(N66=1,SUM(F$25:F66)," "),IF(M$1=1,P67,IF(M$1=2,Q67," ")))</f>
        <v xml:space="preserve"> </v>
      </c>
      <c r="G67" s="84">
        <v>0</v>
      </c>
      <c r="H67" s="84" t="str">
        <f t="shared" ca="1" si="59"/>
        <v xml:space="preserve"> </v>
      </c>
      <c r="I67" s="84">
        <f t="shared" ca="1" si="60"/>
        <v>0</v>
      </c>
      <c r="J67" s="84">
        <f t="shared" ca="1" si="41"/>
        <v>0</v>
      </c>
      <c r="K67" s="84">
        <v>0</v>
      </c>
      <c r="L67" s="84" t="str">
        <f t="shared" ca="1" si="61"/>
        <v xml:space="preserve"> </v>
      </c>
      <c r="M67" s="4">
        <v>43</v>
      </c>
      <c r="N67" s="4">
        <f t="shared" ca="1" si="34"/>
        <v>0</v>
      </c>
      <c r="O67" s="4">
        <f t="shared" ca="1" si="42"/>
        <v>20</v>
      </c>
      <c r="P67" s="22">
        <f t="shared" ca="1" si="43"/>
        <v>0</v>
      </c>
      <c r="Q67" s="22">
        <f t="shared" ca="1" si="44"/>
        <v>0</v>
      </c>
      <c r="R67" s="22">
        <f t="shared" ca="1" si="62"/>
        <v>0</v>
      </c>
      <c r="S67" s="22" t="str">
        <f t="shared" ca="1" si="63"/>
        <v xml:space="preserve"> </v>
      </c>
      <c r="T67" s="22" t="e">
        <f t="shared" ca="1" si="64"/>
        <v>#VALUE!</v>
      </c>
      <c r="U67" s="22">
        <f t="shared" ca="1" si="72"/>
        <v>0</v>
      </c>
      <c r="V67" s="22">
        <f t="shared" ca="1" si="73"/>
        <v>0</v>
      </c>
      <c r="W67" s="22">
        <f t="shared" ca="1" si="65"/>
        <v>0</v>
      </c>
      <c r="X67" s="22">
        <f t="shared" ca="1" si="66"/>
        <v>0</v>
      </c>
      <c r="Y67" s="22">
        <f t="shared" ca="1" si="45"/>
        <v>0</v>
      </c>
      <c r="Z67" s="22">
        <f t="shared" ca="1" si="74"/>
        <v>0</v>
      </c>
      <c r="AA67" s="22">
        <f t="shared" ca="1" si="46"/>
        <v>0</v>
      </c>
      <c r="AB67" s="22">
        <f t="shared" ca="1" si="35"/>
        <v>0</v>
      </c>
      <c r="AC67" s="22">
        <f t="shared" ca="1" si="47"/>
        <v>0</v>
      </c>
      <c r="AD67" s="22">
        <f t="shared" ca="1" si="48"/>
        <v>0</v>
      </c>
      <c r="AE67" s="22">
        <f t="shared" ca="1" si="67"/>
        <v>0</v>
      </c>
      <c r="AF67" s="22">
        <f t="shared" ca="1" si="49"/>
        <v>0</v>
      </c>
      <c r="AG67" s="22">
        <f t="shared" ca="1" si="68"/>
        <v>0</v>
      </c>
      <c r="AH67" s="22">
        <f t="shared" ca="1" si="50"/>
        <v>0</v>
      </c>
      <c r="AI67" s="22">
        <f t="shared" ca="1" si="51"/>
        <v>0</v>
      </c>
      <c r="AJ67" s="22">
        <f t="shared" ca="1" si="75"/>
        <v>0</v>
      </c>
      <c r="AK67" s="22">
        <f t="shared" ca="1" si="76"/>
        <v>0</v>
      </c>
      <c r="AL67" s="69">
        <f t="shared" ca="1" si="69"/>
        <v>0</v>
      </c>
      <c r="AM67" s="69">
        <f t="shared" ca="1" si="52"/>
        <v>0</v>
      </c>
      <c r="AN67" s="4">
        <f t="shared" ca="1" si="70"/>
        <v>0</v>
      </c>
      <c r="AO67" s="4">
        <f t="shared" ca="1" si="53"/>
        <v>0</v>
      </c>
      <c r="AP67" s="4">
        <f t="shared" ca="1" si="54"/>
        <v>0</v>
      </c>
      <c r="AQ67" s="4">
        <f t="shared" ca="1" si="55"/>
        <v>30</v>
      </c>
      <c r="AR67" s="4">
        <f t="shared" si="56"/>
        <v>20</v>
      </c>
      <c r="AS67" s="4">
        <f t="shared" ca="1" si="71"/>
        <v>30</v>
      </c>
      <c r="AT67" s="19"/>
      <c r="AU67" s="19"/>
      <c r="AV67" s="19"/>
      <c r="AW67" s="19"/>
      <c r="AX67" s="19"/>
      <c r="AY67" s="4">
        <f t="shared" ca="1" si="57"/>
        <v>0</v>
      </c>
      <c r="AZ67" s="19"/>
      <c r="BC67" s="19"/>
      <c r="BD67" s="19"/>
      <c r="BE67" s="19"/>
      <c r="BF67" s="19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</row>
    <row r="68" spans="1:141" s="24" customFormat="1" ht="15" customHeight="1">
      <c r="A68" s="4">
        <v>44</v>
      </c>
      <c r="B68" s="268" t="str">
        <f t="shared" ca="1" si="58"/>
        <v xml:space="preserve"> </v>
      </c>
      <c r="C68" s="401"/>
      <c r="D68" s="443" t="str">
        <f ca="1">IF(N68=0,IF(N67=1,SUM(D$25:E67)," "),IF(N68=0," ",IF(N69=1,D$25,IF(N69=0,D$10-D$25*(M$14-1)," "))))</f>
        <v xml:space="preserve"> </v>
      </c>
      <c r="E68" s="443"/>
      <c r="F68" s="84" t="str">
        <f ca="1">IF(N68=0,IF(N67=1,SUM(F$25:F67)," "),IF(M$1=1,P68,IF(M$1=2,Q68," ")))</f>
        <v xml:space="preserve"> </v>
      </c>
      <c r="G68" s="84">
        <v>0</v>
      </c>
      <c r="H68" s="84" t="str">
        <f t="shared" ca="1" si="59"/>
        <v xml:space="preserve"> </v>
      </c>
      <c r="I68" s="84">
        <f t="shared" ca="1" si="60"/>
        <v>0</v>
      </c>
      <c r="J68" s="84">
        <f t="shared" ca="1" si="41"/>
        <v>0</v>
      </c>
      <c r="K68" s="84">
        <v>0</v>
      </c>
      <c r="L68" s="84" t="str">
        <f t="shared" ca="1" si="61"/>
        <v xml:space="preserve"> </v>
      </c>
      <c r="M68" s="4">
        <v>44</v>
      </c>
      <c r="N68" s="4">
        <f t="shared" ca="1" si="34"/>
        <v>0</v>
      </c>
      <c r="O68" s="4">
        <f t="shared" ca="1" si="42"/>
        <v>20</v>
      </c>
      <c r="P68" s="22">
        <f t="shared" ca="1" si="43"/>
        <v>0</v>
      </c>
      <c r="Q68" s="22">
        <f t="shared" ca="1" si="44"/>
        <v>0</v>
      </c>
      <c r="R68" s="22">
        <f t="shared" ca="1" si="62"/>
        <v>0</v>
      </c>
      <c r="S68" s="22" t="str">
        <f t="shared" ca="1" si="63"/>
        <v xml:space="preserve"> </v>
      </c>
      <c r="T68" s="22" t="e">
        <f t="shared" ca="1" si="64"/>
        <v>#VALUE!</v>
      </c>
      <c r="U68" s="22">
        <f t="shared" ca="1" si="72"/>
        <v>0</v>
      </c>
      <c r="V68" s="22">
        <f t="shared" ca="1" si="73"/>
        <v>0</v>
      </c>
      <c r="W68" s="22">
        <f t="shared" ca="1" si="65"/>
        <v>0</v>
      </c>
      <c r="X68" s="22">
        <f t="shared" ca="1" si="66"/>
        <v>0</v>
      </c>
      <c r="Y68" s="22">
        <f t="shared" ca="1" si="45"/>
        <v>0</v>
      </c>
      <c r="Z68" s="22">
        <f t="shared" ca="1" si="74"/>
        <v>0</v>
      </c>
      <c r="AA68" s="22">
        <f t="shared" ca="1" si="46"/>
        <v>0</v>
      </c>
      <c r="AB68" s="22">
        <f t="shared" ca="1" si="35"/>
        <v>0</v>
      </c>
      <c r="AC68" s="22">
        <f t="shared" ca="1" si="47"/>
        <v>0</v>
      </c>
      <c r="AD68" s="22">
        <f t="shared" ca="1" si="48"/>
        <v>0</v>
      </c>
      <c r="AE68" s="22">
        <f t="shared" ca="1" si="67"/>
        <v>0</v>
      </c>
      <c r="AF68" s="22">
        <f t="shared" ca="1" si="49"/>
        <v>0</v>
      </c>
      <c r="AG68" s="22">
        <f t="shared" ca="1" si="68"/>
        <v>0</v>
      </c>
      <c r="AH68" s="22">
        <f t="shared" ca="1" si="50"/>
        <v>0</v>
      </c>
      <c r="AI68" s="22">
        <f t="shared" ca="1" si="51"/>
        <v>0</v>
      </c>
      <c r="AJ68" s="22">
        <f t="shared" ca="1" si="75"/>
        <v>0</v>
      </c>
      <c r="AK68" s="22">
        <f t="shared" ca="1" si="76"/>
        <v>0</v>
      </c>
      <c r="AL68" s="69">
        <f t="shared" ca="1" si="69"/>
        <v>0</v>
      </c>
      <c r="AM68" s="69">
        <f t="shared" ca="1" si="52"/>
        <v>0</v>
      </c>
      <c r="AN68" s="4">
        <f t="shared" ca="1" si="70"/>
        <v>0</v>
      </c>
      <c r="AO68" s="4">
        <f t="shared" ca="1" si="53"/>
        <v>0</v>
      </c>
      <c r="AP68" s="4">
        <f t="shared" ca="1" si="54"/>
        <v>0</v>
      </c>
      <c r="AQ68" s="4">
        <f t="shared" ca="1" si="55"/>
        <v>30</v>
      </c>
      <c r="AR68" s="4">
        <f t="shared" si="56"/>
        <v>20</v>
      </c>
      <c r="AS68" s="4">
        <f t="shared" ca="1" si="71"/>
        <v>30</v>
      </c>
      <c r="AT68" s="19"/>
      <c r="AU68" s="19"/>
      <c r="AV68" s="19"/>
      <c r="AW68" s="19"/>
      <c r="AX68" s="19"/>
      <c r="AY68" s="4">
        <f t="shared" ca="1" si="57"/>
        <v>0</v>
      </c>
      <c r="AZ68" s="19"/>
      <c r="BC68" s="19"/>
      <c r="BD68" s="19"/>
      <c r="BE68" s="19"/>
      <c r="BF68" s="19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</row>
    <row r="69" spans="1:141" s="24" customFormat="1" ht="15" customHeight="1">
      <c r="A69" s="4">
        <v>45</v>
      </c>
      <c r="B69" s="268" t="str">
        <f t="shared" ca="1" si="58"/>
        <v xml:space="preserve"> </v>
      </c>
      <c r="C69" s="401"/>
      <c r="D69" s="443" t="str">
        <f ca="1">IF(N69=0,IF(N68=1,SUM(D$25:E68)," "),IF(N69=0," ",IF(N70=1,D$25,IF(N70=0,D$10-D$25*(M$14-1)," "))))</f>
        <v xml:space="preserve"> </v>
      </c>
      <c r="E69" s="443"/>
      <c r="F69" s="84" t="str">
        <f ca="1">IF(N69=0,IF(N68=1,SUM(F$25:F68)," "),IF(M$1=1,P69,IF(M$1=2,Q69," ")))</f>
        <v xml:space="preserve"> </v>
      </c>
      <c r="G69" s="84">
        <v>0</v>
      </c>
      <c r="H69" s="84" t="str">
        <f t="shared" ca="1" si="59"/>
        <v xml:space="preserve"> </v>
      </c>
      <c r="I69" s="84">
        <f t="shared" ca="1" si="60"/>
        <v>0</v>
      </c>
      <c r="J69" s="84">
        <f t="shared" ca="1" si="41"/>
        <v>0</v>
      </c>
      <c r="K69" s="84">
        <v>0</v>
      </c>
      <c r="L69" s="84" t="str">
        <f t="shared" ca="1" si="61"/>
        <v xml:space="preserve"> </v>
      </c>
      <c r="M69" s="4">
        <v>45</v>
      </c>
      <c r="N69" s="4">
        <f t="shared" ca="1" si="34"/>
        <v>0</v>
      </c>
      <c r="O69" s="4">
        <f t="shared" ca="1" si="42"/>
        <v>20</v>
      </c>
      <c r="P69" s="22">
        <f t="shared" ca="1" si="43"/>
        <v>0</v>
      </c>
      <c r="Q69" s="22">
        <f t="shared" ca="1" si="44"/>
        <v>0</v>
      </c>
      <c r="R69" s="22">
        <f t="shared" ca="1" si="62"/>
        <v>0</v>
      </c>
      <c r="S69" s="22" t="str">
        <f t="shared" ca="1" si="63"/>
        <v xml:space="preserve"> </v>
      </c>
      <c r="T69" s="22" t="e">
        <f t="shared" ca="1" si="64"/>
        <v>#VALUE!</v>
      </c>
      <c r="U69" s="22">
        <f t="shared" ca="1" si="72"/>
        <v>0</v>
      </c>
      <c r="V69" s="22">
        <f t="shared" ca="1" si="73"/>
        <v>0</v>
      </c>
      <c r="W69" s="22">
        <f t="shared" ca="1" si="65"/>
        <v>0</v>
      </c>
      <c r="X69" s="22">
        <f t="shared" ca="1" si="66"/>
        <v>0</v>
      </c>
      <c r="Y69" s="22">
        <f t="shared" ca="1" si="45"/>
        <v>0</v>
      </c>
      <c r="Z69" s="22">
        <f t="shared" ca="1" si="74"/>
        <v>0</v>
      </c>
      <c r="AA69" s="22">
        <f t="shared" ca="1" si="46"/>
        <v>0</v>
      </c>
      <c r="AB69" s="22">
        <f t="shared" ca="1" si="35"/>
        <v>0</v>
      </c>
      <c r="AC69" s="22">
        <f t="shared" ca="1" si="47"/>
        <v>0</v>
      </c>
      <c r="AD69" s="22">
        <f t="shared" ca="1" si="48"/>
        <v>0</v>
      </c>
      <c r="AE69" s="22">
        <f t="shared" ca="1" si="67"/>
        <v>0</v>
      </c>
      <c r="AF69" s="22">
        <f t="shared" ca="1" si="49"/>
        <v>0</v>
      </c>
      <c r="AG69" s="22">
        <f t="shared" ca="1" si="68"/>
        <v>0</v>
      </c>
      <c r="AH69" s="22">
        <f t="shared" ca="1" si="50"/>
        <v>0</v>
      </c>
      <c r="AI69" s="22">
        <f t="shared" ca="1" si="51"/>
        <v>0</v>
      </c>
      <c r="AJ69" s="22">
        <f t="shared" ca="1" si="75"/>
        <v>0</v>
      </c>
      <c r="AK69" s="22">
        <f t="shared" ca="1" si="76"/>
        <v>0</v>
      </c>
      <c r="AL69" s="69">
        <f t="shared" ca="1" si="69"/>
        <v>0</v>
      </c>
      <c r="AM69" s="69">
        <f t="shared" ca="1" si="52"/>
        <v>0</v>
      </c>
      <c r="AN69" s="4">
        <f t="shared" ca="1" si="70"/>
        <v>0</v>
      </c>
      <c r="AO69" s="4">
        <f t="shared" ca="1" si="53"/>
        <v>0</v>
      </c>
      <c r="AP69" s="4">
        <f t="shared" ca="1" si="54"/>
        <v>0</v>
      </c>
      <c r="AQ69" s="4">
        <f t="shared" ca="1" si="55"/>
        <v>30</v>
      </c>
      <c r="AR69" s="4">
        <f t="shared" si="56"/>
        <v>20</v>
      </c>
      <c r="AS69" s="4">
        <f t="shared" ca="1" si="71"/>
        <v>30</v>
      </c>
      <c r="AT69" s="19"/>
      <c r="AU69" s="19"/>
      <c r="AV69" s="19"/>
      <c r="AW69" s="19"/>
      <c r="AX69" s="19"/>
      <c r="AY69" s="4">
        <f t="shared" ca="1" si="57"/>
        <v>0</v>
      </c>
      <c r="AZ69" s="19"/>
      <c r="BC69" s="19"/>
      <c r="BD69" s="19"/>
      <c r="BE69" s="19"/>
      <c r="BF69" s="19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</row>
    <row r="70" spans="1:141" s="24" customFormat="1" ht="15" customHeight="1">
      <c r="A70" s="4">
        <v>46</v>
      </c>
      <c r="B70" s="268" t="str">
        <f t="shared" ca="1" si="58"/>
        <v xml:space="preserve"> </v>
      </c>
      <c r="C70" s="401"/>
      <c r="D70" s="443" t="str">
        <f ca="1">IF(N70=0,IF(N69=1,SUM(D$25:E69)," "),IF(N70=0," ",IF(N71=1,D$25,IF(N71=0,D$10-D$25*(M$14-1)," "))))</f>
        <v xml:space="preserve"> </v>
      </c>
      <c r="E70" s="443"/>
      <c r="F70" s="84" t="str">
        <f ca="1">IF(N70=0,IF(N69=1,SUM(F$25:F69)," "),IF(M$1=1,P70,IF(M$1=2,Q70," ")))</f>
        <v xml:space="preserve"> </v>
      </c>
      <c r="G70" s="84">
        <v>0</v>
      </c>
      <c r="H70" s="84" t="str">
        <f t="shared" ca="1" si="59"/>
        <v xml:space="preserve"> </v>
      </c>
      <c r="I70" s="84">
        <f t="shared" ca="1" si="60"/>
        <v>0</v>
      </c>
      <c r="J70" s="84">
        <f t="shared" ca="1" si="41"/>
        <v>0</v>
      </c>
      <c r="K70" s="84">
        <v>0</v>
      </c>
      <c r="L70" s="84" t="str">
        <f t="shared" ca="1" si="61"/>
        <v xml:space="preserve"> </v>
      </c>
      <c r="M70" s="4">
        <v>46</v>
      </c>
      <c r="N70" s="4">
        <f t="shared" ca="1" si="34"/>
        <v>0</v>
      </c>
      <c r="O70" s="4">
        <f t="shared" ca="1" si="42"/>
        <v>20</v>
      </c>
      <c r="P70" s="22">
        <f t="shared" ca="1" si="43"/>
        <v>0</v>
      </c>
      <c r="Q70" s="22">
        <f t="shared" ca="1" si="44"/>
        <v>0</v>
      </c>
      <c r="R70" s="22">
        <f t="shared" ca="1" si="62"/>
        <v>0</v>
      </c>
      <c r="S70" s="22" t="str">
        <f t="shared" ca="1" si="63"/>
        <v xml:space="preserve"> </v>
      </c>
      <c r="T70" s="22" t="e">
        <f t="shared" ca="1" si="64"/>
        <v>#VALUE!</v>
      </c>
      <c r="U70" s="22">
        <f t="shared" ca="1" si="72"/>
        <v>0</v>
      </c>
      <c r="V70" s="22">
        <f t="shared" ca="1" si="73"/>
        <v>0</v>
      </c>
      <c r="W70" s="22">
        <f t="shared" ca="1" si="65"/>
        <v>0</v>
      </c>
      <c r="X70" s="22">
        <f t="shared" ca="1" si="66"/>
        <v>0</v>
      </c>
      <c r="Y70" s="22">
        <f t="shared" ca="1" si="45"/>
        <v>0</v>
      </c>
      <c r="Z70" s="22">
        <f t="shared" ca="1" si="74"/>
        <v>0</v>
      </c>
      <c r="AA70" s="22">
        <f t="shared" ca="1" si="46"/>
        <v>0</v>
      </c>
      <c r="AB70" s="22">
        <f t="shared" ca="1" si="35"/>
        <v>0</v>
      </c>
      <c r="AC70" s="22">
        <f t="shared" ca="1" si="47"/>
        <v>0</v>
      </c>
      <c r="AD70" s="22">
        <f t="shared" ca="1" si="48"/>
        <v>0</v>
      </c>
      <c r="AE70" s="22">
        <f t="shared" ca="1" si="67"/>
        <v>0</v>
      </c>
      <c r="AF70" s="22">
        <f t="shared" ca="1" si="49"/>
        <v>0</v>
      </c>
      <c r="AG70" s="22">
        <f t="shared" ca="1" si="68"/>
        <v>0</v>
      </c>
      <c r="AH70" s="22">
        <f t="shared" ca="1" si="50"/>
        <v>0</v>
      </c>
      <c r="AI70" s="22">
        <f t="shared" ca="1" si="51"/>
        <v>0</v>
      </c>
      <c r="AJ70" s="22">
        <f t="shared" ca="1" si="75"/>
        <v>0</v>
      </c>
      <c r="AK70" s="22">
        <f t="shared" ca="1" si="76"/>
        <v>0</v>
      </c>
      <c r="AL70" s="69">
        <f t="shared" ca="1" si="69"/>
        <v>0</v>
      </c>
      <c r="AM70" s="69">
        <f t="shared" ca="1" si="52"/>
        <v>0</v>
      </c>
      <c r="AN70" s="4">
        <f t="shared" ca="1" si="70"/>
        <v>0</v>
      </c>
      <c r="AO70" s="4">
        <f t="shared" ca="1" si="53"/>
        <v>0</v>
      </c>
      <c r="AP70" s="4">
        <f t="shared" ca="1" si="54"/>
        <v>0</v>
      </c>
      <c r="AQ70" s="4">
        <f t="shared" ca="1" si="55"/>
        <v>30</v>
      </c>
      <c r="AR70" s="4">
        <f t="shared" si="56"/>
        <v>20</v>
      </c>
      <c r="AS70" s="4">
        <f t="shared" ca="1" si="71"/>
        <v>30</v>
      </c>
      <c r="AT70" s="19"/>
      <c r="AU70" s="19"/>
      <c r="AV70" s="19"/>
      <c r="AW70" s="19"/>
      <c r="AX70" s="19"/>
      <c r="AY70" s="4">
        <f t="shared" ca="1" si="57"/>
        <v>0</v>
      </c>
      <c r="AZ70" s="19"/>
      <c r="BC70" s="19"/>
      <c r="BD70" s="19"/>
      <c r="BE70" s="19"/>
      <c r="BF70" s="19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</row>
    <row r="71" spans="1:141" s="24" customFormat="1" ht="15" customHeight="1">
      <c r="A71" s="4">
        <v>47</v>
      </c>
      <c r="B71" s="268" t="str">
        <f t="shared" ca="1" si="58"/>
        <v xml:space="preserve"> </v>
      </c>
      <c r="C71" s="401"/>
      <c r="D71" s="443" t="str">
        <f ca="1">IF(N71=0,IF(N70=1,SUM(D$25:E70)," "),IF(N71=0," ",IF(N72=1,D$25,IF(N72=0,D$10-D$25*(M$14-1)," "))))</f>
        <v xml:space="preserve"> </v>
      </c>
      <c r="E71" s="443"/>
      <c r="F71" s="84" t="str">
        <f ca="1">IF(N71=0,IF(N70=1,SUM(F$25:F70)," "),IF(M$1=1,P71,IF(M$1=2,Q71," ")))</f>
        <v xml:space="preserve"> </v>
      </c>
      <c r="G71" s="84">
        <v>0</v>
      </c>
      <c r="H71" s="84" t="str">
        <f t="shared" ca="1" si="59"/>
        <v xml:space="preserve"> </v>
      </c>
      <c r="I71" s="84">
        <f t="shared" ca="1" si="60"/>
        <v>0</v>
      </c>
      <c r="J71" s="84">
        <f t="shared" ca="1" si="41"/>
        <v>0</v>
      </c>
      <c r="K71" s="84">
        <v>0</v>
      </c>
      <c r="L71" s="84" t="str">
        <f t="shared" ca="1" si="61"/>
        <v xml:space="preserve"> </v>
      </c>
      <c r="M71" s="4">
        <v>47</v>
      </c>
      <c r="N71" s="4">
        <f t="shared" ca="1" si="34"/>
        <v>0</v>
      </c>
      <c r="O71" s="4">
        <f t="shared" ca="1" si="42"/>
        <v>20</v>
      </c>
      <c r="P71" s="22">
        <f t="shared" ca="1" si="43"/>
        <v>0</v>
      </c>
      <c r="Q71" s="22">
        <f t="shared" ca="1" si="44"/>
        <v>0</v>
      </c>
      <c r="R71" s="22">
        <f t="shared" ca="1" si="62"/>
        <v>0</v>
      </c>
      <c r="S71" s="22" t="str">
        <f t="shared" ca="1" si="63"/>
        <v xml:space="preserve"> </v>
      </c>
      <c r="T71" s="22" t="e">
        <f t="shared" ca="1" si="64"/>
        <v>#VALUE!</v>
      </c>
      <c r="U71" s="22">
        <f t="shared" ca="1" si="72"/>
        <v>0</v>
      </c>
      <c r="V71" s="22">
        <f t="shared" ca="1" si="73"/>
        <v>0</v>
      </c>
      <c r="W71" s="22">
        <f t="shared" ca="1" si="65"/>
        <v>0</v>
      </c>
      <c r="X71" s="22">
        <f t="shared" ca="1" si="66"/>
        <v>0</v>
      </c>
      <c r="Y71" s="22">
        <f t="shared" ca="1" si="45"/>
        <v>0</v>
      </c>
      <c r="Z71" s="22">
        <f t="shared" ca="1" si="74"/>
        <v>0</v>
      </c>
      <c r="AA71" s="22">
        <f t="shared" ca="1" si="46"/>
        <v>0</v>
      </c>
      <c r="AB71" s="22">
        <f t="shared" ca="1" si="35"/>
        <v>0</v>
      </c>
      <c r="AC71" s="22">
        <f t="shared" ca="1" si="47"/>
        <v>0</v>
      </c>
      <c r="AD71" s="22">
        <f t="shared" ca="1" si="48"/>
        <v>0</v>
      </c>
      <c r="AE71" s="22">
        <f t="shared" ca="1" si="67"/>
        <v>0</v>
      </c>
      <c r="AF71" s="22">
        <f t="shared" ca="1" si="49"/>
        <v>0</v>
      </c>
      <c r="AG71" s="22">
        <f t="shared" ca="1" si="68"/>
        <v>0</v>
      </c>
      <c r="AH71" s="22">
        <f t="shared" ca="1" si="50"/>
        <v>0</v>
      </c>
      <c r="AI71" s="22">
        <f t="shared" ca="1" si="51"/>
        <v>0</v>
      </c>
      <c r="AJ71" s="22">
        <f t="shared" ca="1" si="75"/>
        <v>0</v>
      </c>
      <c r="AK71" s="22">
        <f t="shared" ca="1" si="76"/>
        <v>0</v>
      </c>
      <c r="AL71" s="69">
        <f t="shared" ca="1" si="69"/>
        <v>0</v>
      </c>
      <c r="AM71" s="69">
        <f t="shared" ca="1" si="52"/>
        <v>0</v>
      </c>
      <c r="AN71" s="4">
        <f t="shared" ca="1" si="70"/>
        <v>0</v>
      </c>
      <c r="AO71" s="4">
        <f t="shared" ca="1" si="53"/>
        <v>0</v>
      </c>
      <c r="AP71" s="4">
        <f t="shared" ca="1" si="54"/>
        <v>0</v>
      </c>
      <c r="AQ71" s="4">
        <f t="shared" ca="1" si="55"/>
        <v>30</v>
      </c>
      <c r="AR71" s="4">
        <f t="shared" si="56"/>
        <v>20</v>
      </c>
      <c r="AS71" s="4">
        <f t="shared" ca="1" si="71"/>
        <v>30</v>
      </c>
      <c r="AT71" s="19"/>
      <c r="AU71" s="19"/>
      <c r="AV71" s="19"/>
      <c r="AW71" s="19"/>
      <c r="AX71" s="19"/>
      <c r="AY71" s="4">
        <f t="shared" ca="1" si="57"/>
        <v>0</v>
      </c>
      <c r="AZ71" s="19"/>
      <c r="BC71" s="19"/>
      <c r="BD71" s="19"/>
      <c r="BE71" s="19"/>
      <c r="BF71" s="19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</row>
    <row r="72" spans="1:141" s="24" customFormat="1" ht="15" customHeight="1">
      <c r="A72" s="4">
        <v>48</v>
      </c>
      <c r="B72" s="268" t="str">
        <f t="shared" ca="1" si="58"/>
        <v xml:space="preserve"> </v>
      </c>
      <c r="C72" s="401"/>
      <c r="D72" s="443" t="str">
        <f ca="1">IF(N72=0,IF(N71=1,SUM(D$25:E71)," "),IF(N72=0," ",IF(N73=1,D$25,IF(N73=0,D$10-D$25*(M$14-1)," "))))</f>
        <v xml:space="preserve"> </v>
      </c>
      <c r="E72" s="443"/>
      <c r="F72" s="84" t="str">
        <f ca="1">IF(N72=0,IF(N71=1,SUM(F$25:F71)," "),IF(M$1=1,P72,IF(M$1=2,Q72," ")))</f>
        <v xml:space="preserve"> </v>
      </c>
      <c r="G72" s="84">
        <v>0</v>
      </c>
      <c r="H72" s="84" t="str">
        <f t="shared" ca="1" si="59"/>
        <v xml:space="preserve"> </v>
      </c>
      <c r="I72" s="84">
        <f t="shared" ca="1" si="60"/>
        <v>0</v>
      </c>
      <c r="J72" s="84">
        <f t="shared" ca="1" si="41"/>
        <v>0</v>
      </c>
      <c r="K72" s="84">
        <v>0</v>
      </c>
      <c r="L72" s="84" t="str">
        <f t="shared" ca="1" si="61"/>
        <v xml:space="preserve"> </v>
      </c>
      <c r="M72" s="4">
        <v>48</v>
      </c>
      <c r="N72" s="4">
        <f t="shared" ca="1" si="34"/>
        <v>0</v>
      </c>
      <c r="O72" s="4">
        <f t="shared" ca="1" si="42"/>
        <v>20</v>
      </c>
      <c r="P72" s="22">
        <f t="shared" ca="1" si="43"/>
        <v>0</v>
      </c>
      <c r="Q72" s="22">
        <f t="shared" ca="1" si="44"/>
        <v>0</v>
      </c>
      <c r="R72" s="22">
        <f t="shared" ca="1" si="62"/>
        <v>0</v>
      </c>
      <c r="S72" s="22" t="str">
        <f t="shared" ca="1" si="63"/>
        <v xml:space="preserve"> </v>
      </c>
      <c r="T72" s="22" t="e">
        <f t="shared" ca="1" si="64"/>
        <v>#VALUE!</v>
      </c>
      <c r="U72" s="22">
        <f t="shared" ca="1" si="72"/>
        <v>0</v>
      </c>
      <c r="V72" s="22">
        <f t="shared" ca="1" si="73"/>
        <v>0</v>
      </c>
      <c r="W72" s="22">
        <f t="shared" ca="1" si="65"/>
        <v>0</v>
      </c>
      <c r="X72" s="22">
        <f t="shared" ca="1" si="66"/>
        <v>0</v>
      </c>
      <c r="Y72" s="22">
        <f t="shared" ca="1" si="45"/>
        <v>0</v>
      </c>
      <c r="Z72" s="22">
        <f t="shared" ca="1" si="74"/>
        <v>0</v>
      </c>
      <c r="AA72" s="22">
        <f t="shared" ca="1" si="46"/>
        <v>0</v>
      </c>
      <c r="AB72" s="22">
        <f t="shared" ca="1" si="35"/>
        <v>0</v>
      </c>
      <c r="AC72" s="22">
        <f t="shared" ca="1" si="47"/>
        <v>0</v>
      </c>
      <c r="AD72" s="22">
        <f t="shared" ca="1" si="48"/>
        <v>0</v>
      </c>
      <c r="AE72" s="22">
        <f t="shared" ca="1" si="67"/>
        <v>0</v>
      </c>
      <c r="AF72" s="22">
        <f t="shared" ca="1" si="49"/>
        <v>0</v>
      </c>
      <c r="AG72" s="22">
        <f t="shared" ca="1" si="68"/>
        <v>0</v>
      </c>
      <c r="AH72" s="22">
        <f t="shared" ca="1" si="50"/>
        <v>0</v>
      </c>
      <c r="AI72" s="22">
        <f t="shared" ca="1" si="51"/>
        <v>0</v>
      </c>
      <c r="AJ72" s="22">
        <f t="shared" ca="1" si="75"/>
        <v>0</v>
      </c>
      <c r="AK72" s="22">
        <f t="shared" ca="1" si="76"/>
        <v>0</v>
      </c>
      <c r="AL72" s="69">
        <f t="shared" ca="1" si="69"/>
        <v>0</v>
      </c>
      <c r="AM72" s="69">
        <f t="shared" ca="1" si="52"/>
        <v>0</v>
      </c>
      <c r="AN72" s="4">
        <f t="shared" ca="1" si="70"/>
        <v>0</v>
      </c>
      <c r="AO72" s="4">
        <f t="shared" ca="1" si="53"/>
        <v>0</v>
      </c>
      <c r="AP72" s="4">
        <f t="shared" ca="1" si="54"/>
        <v>0</v>
      </c>
      <c r="AQ72" s="4">
        <f t="shared" ca="1" si="55"/>
        <v>30</v>
      </c>
      <c r="AR72" s="4">
        <f t="shared" si="56"/>
        <v>20</v>
      </c>
      <c r="AS72" s="4">
        <f t="shared" ca="1" si="71"/>
        <v>30</v>
      </c>
      <c r="AT72" s="19"/>
      <c r="AU72" s="19"/>
      <c r="AV72" s="19"/>
      <c r="AW72" s="19"/>
      <c r="AX72" s="19"/>
      <c r="AY72" s="4">
        <f t="shared" ca="1" si="57"/>
        <v>0</v>
      </c>
      <c r="AZ72" s="19"/>
      <c r="BC72" s="19"/>
      <c r="BD72" s="19"/>
      <c r="BE72" s="19"/>
      <c r="BF72" s="19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</row>
    <row r="73" spans="1:141" s="24" customFormat="1" ht="15" customHeight="1">
      <c r="A73" s="4">
        <v>49</v>
      </c>
      <c r="B73" s="268" t="str">
        <f t="shared" ca="1" si="58"/>
        <v xml:space="preserve"> </v>
      </c>
      <c r="C73" s="401"/>
      <c r="D73" s="443" t="str">
        <f ca="1">IF(N73=0,IF(N72=1,SUM(D$25:E72)," "),IF(N73=0," ",IF(N74=1,D$25,IF(N74=0,D$10-D$25*(M$14-1)," "))))</f>
        <v xml:space="preserve"> </v>
      </c>
      <c r="E73" s="443"/>
      <c r="F73" s="84" t="str">
        <f ca="1">IF(N73=0,IF(N72=1,SUM(F$25:F72)," "),IF(M$1=1,P73,IF(M$1=2,Q73," ")))</f>
        <v xml:space="preserve"> </v>
      </c>
      <c r="G73" s="84">
        <v>0</v>
      </c>
      <c r="H73" s="84" t="str">
        <f t="shared" ca="1" si="59"/>
        <v xml:space="preserve"> </v>
      </c>
      <c r="I73" s="84">
        <f t="shared" ca="1" si="60"/>
        <v>0</v>
      </c>
      <c r="J73" s="84">
        <f t="shared" ca="1" si="41"/>
        <v>0</v>
      </c>
      <c r="K73" s="84">
        <v>0</v>
      </c>
      <c r="L73" s="84" t="str">
        <f t="shared" ca="1" si="61"/>
        <v xml:space="preserve"> </v>
      </c>
      <c r="M73" s="4">
        <v>49</v>
      </c>
      <c r="N73" s="4">
        <f t="shared" ca="1" si="34"/>
        <v>0</v>
      </c>
      <c r="O73" s="4">
        <f t="shared" ca="1" si="42"/>
        <v>20</v>
      </c>
      <c r="P73" s="22">
        <f t="shared" ca="1" si="43"/>
        <v>0</v>
      </c>
      <c r="Q73" s="22">
        <f t="shared" ca="1" si="44"/>
        <v>0</v>
      </c>
      <c r="R73" s="22">
        <f t="shared" ca="1" si="62"/>
        <v>0</v>
      </c>
      <c r="S73" s="22" t="str">
        <f t="shared" ca="1" si="63"/>
        <v xml:space="preserve"> </v>
      </c>
      <c r="T73" s="22" t="e">
        <f t="shared" ca="1" si="64"/>
        <v>#VALUE!</v>
      </c>
      <c r="U73" s="22">
        <f ca="1">IF(N74=1,R72*D$11*20/36000+R73*D$11*10/36000,IF(N74=0,IF(N73=0,0,IF(D$16&gt;20,R72*D$11*20/36000+R73*D$11*(Q$12-20)/36000,R73*D$11*Q$12/36000))))</f>
        <v>0</v>
      </c>
      <c r="V73" s="22">
        <f ca="1">IF(N74=1,R72*D$11*20/36000+R73*D$11*10/36000,IF(N74=0,IF(N73=0,0,IF(D$16&gt;20,R72*D$11*20/36000+R73*D$11*(Q$12-20)/36000,R73*D$11*Q$12/36000))))</f>
        <v>0</v>
      </c>
      <c r="W73" s="22">
        <f t="shared" ca="1" si="65"/>
        <v>0</v>
      </c>
      <c r="X73" s="22">
        <f t="shared" ca="1" si="66"/>
        <v>0</v>
      </c>
      <c r="Y73" s="22">
        <f t="shared" ca="1" si="45"/>
        <v>0</v>
      </c>
      <c r="Z73" s="22">
        <f ca="1">IF(N74=1,Y72*D$11*20/36000+Y73*D$11*10/36000,IF(N74=0,IF(N73=0,0,IF(D$16&gt;20,Y72*D$11*20/36000+Y73*D$11*(Q$12-20)/36000,Y73*D$11*Q$12/36000))))</f>
        <v>0</v>
      </c>
      <c r="AA73" s="22">
        <f t="shared" ca="1" si="46"/>
        <v>0</v>
      </c>
      <c r="AB73" s="22">
        <f t="shared" ca="1" si="35"/>
        <v>0</v>
      </c>
      <c r="AC73" s="22">
        <f t="shared" ca="1" si="47"/>
        <v>0</v>
      </c>
      <c r="AD73" s="22">
        <f t="shared" ca="1" si="48"/>
        <v>0</v>
      </c>
      <c r="AE73" s="22">
        <f t="shared" ca="1" si="67"/>
        <v>0</v>
      </c>
      <c r="AF73" s="22">
        <f t="shared" ca="1" si="49"/>
        <v>0</v>
      </c>
      <c r="AG73" s="22">
        <f t="shared" ca="1" si="68"/>
        <v>0</v>
      </c>
      <c r="AH73" s="22">
        <f t="shared" ca="1" si="50"/>
        <v>0</v>
      </c>
      <c r="AI73" s="22">
        <f t="shared" ca="1" si="51"/>
        <v>0</v>
      </c>
      <c r="AJ73" s="22">
        <f ca="1">IF(N74=1,AI72*G$12*20/36000+AI73*G$12*10/36000,IF(N74=0,IF(N73=0,0,AI73*G$12*Q$12/36000)))</f>
        <v>0</v>
      </c>
      <c r="AK73" s="22">
        <f ca="1">IF(N74=1,AI72*G$12*20/36000+AI73*G$12*10/36000,IF(N74=0,IF(N73=0,0,AI73*G$12*Q$12/36000)))</f>
        <v>0</v>
      </c>
      <c r="AL73" s="69">
        <f t="shared" ca="1" si="69"/>
        <v>0</v>
      </c>
      <c r="AM73" s="69">
        <f t="shared" ca="1" si="52"/>
        <v>0</v>
      </c>
      <c r="AN73" s="4">
        <f t="shared" ca="1" si="70"/>
        <v>0</v>
      </c>
      <c r="AO73" s="4">
        <f t="shared" ca="1" si="53"/>
        <v>0</v>
      </c>
      <c r="AP73" s="4">
        <f t="shared" ca="1" si="54"/>
        <v>0</v>
      </c>
      <c r="AQ73" s="4">
        <f t="shared" ca="1" si="55"/>
        <v>30</v>
      </c>
      <c r="AR73" s="4">
        <f t="shared" si="56"/>
        <v>20</v>
      </c>
      <c r="AS73" s="4">
        <f t="shared" ca="1" si="71"/>
        <v>30</v>
      </c>
      <c r="AT73" s="19"/>
      <c r="AU73" s="19"/>
      <c r="AV73" s="19"/>
      <c r="AW73" s="19"/>
      <c r="AX73" s="19"/>
      <c r="AY73" s="4">
        <f t="shared" ca="1" si="57"/>
        <v>0</v>
      </c>
      <c r="AZ73" s="19"/>
      <c r="BC73" s="19"/>
      <c r="BD73" s="19"/>
      <c r="BE73" s="19"/>
      <c r="BF73" s="19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</row>
    <row r="74" spans="1:141" s="24" customFormat="1" ht="15" customHeight="1">
      <c r="A74" s="4"/>
      <c r="B74" s="268" t="str">
        <f t="shared" ca="1" si="58"/>
        <v xml:space="preserve"> </v>
      </c>
      <c r="C74" s="401"/>
      <c r="D74" s="443" t="str">
        <f ca="1">IF(N74=0,IF(N73=1,SUM(D$25:E73)," "),IF(N74=0," ",IF(N75=1,D$25,IF(N75=0,D$10-D$25*(M$14-1)," "))))</f>
        <v xml:space="preserve"> </v>
      </c>
      <c r="E74" s="443"/>
      <c r="F74" s="84" t="str">
        <f ca="1">IF(N74=0,IF(N73=1,SUM(F$25:F73)," "),IF(M$1=1,P74,IF(M$1=2,Q74," ")))</f>
        <v xml:space="preserve"> </v>
      </c>
      <c r="G74" s="84">
        <v>0</v>
      </c>
      <c r="H74" s="84" t="str">
        <f t="shared" ca="1" si="59"/>
        <v xml:space="preserve"> </v>
      </c>
      <c r="I74" s="84">
        <f t="shared" ca="1" si="60"/>
        <v>0</v>
      </c>
      <c r="J74" s="84">
        <f t="shared" ca="1" si="41"/>
        <v>0</v>
      </c>
      <c r="K74" s="84">
        <v>0</v>
      </c>
      <c r="L74" s="84" t="str">
        <f t="shared" ca="1" si="61"/>
        <v xml:space="preserve"> </v>
      </c>
      <c r="M74" s="4">
        <v>50</v>
      </c>
      <c r="N74" s="4">
        <f t="shared" ca="1" si="34"/>
        <v>0</v>
      </c>
      <c r="O74" s="4">
        <f t="shared" ca="1" si="42"/>
        <v>20</v>
      </c>
      <c r="P74" s="22">
        <f t="shared" ca="1" si="43"/>
        <v>0</v>
      </c>
      <c r="Q74" s="22">
        <f t="shared" ca="1" si="44"/>
        <v>0</v>
      </c>
      <c r="R74" s="22">
        <f t="shared" ca="1" si="62"/>
        <v>0</v>
      </c>
      <c r="S74" s="22" t="str">
        <f t="shared" ca="1" si="63"/>
        <v xml:space="preserve"> </v>
      </c>
      <c r="T74" s="22" t="e">
        <f t="shared" ca="1" si="64"/>
        <v>#VALUE!</v>
      </c>
      <c r="U74" s="22">
        <f t="shared" ref="U74:U84" ca="1" si="77">IF(N75=1,R73*D$11*20/36000+R74*D$11*10/36000,IF(N75=0,IF(N74=0,0,R74*D$11*Q$12/36000+R73*D$11*20/36000+R74*D$11*10/36000)))</f>
        <v>0</v>
      </c>
      <c r="V74" s="22">
        <f t="shared" ref="V74:V84" ca="1" si="78">IF(N75=1,R73*D$11*20/36000+R74*D$11*10/36000,IF(N75=0,IF(N74=0,0,R74*D$11*Q$12/36000+R73*D$11*20/36000+R74*D$11*10/36000)))</f>
        <v>0</v>
      </c>
      <c r="W74" s="22">
        <f t="shared" ca="1" si="65"/>
        <v>0</v>
      </c>
      <c r="X74" s="22">
        <f t="shared" ca="1" si="66"/>
        <v>0</v>
      </c>
      <c r="Y74" s="22">
        <f t="shared" ca="1" si="45"/>
        <v>0</v>
      </c>
      <c r="Z74" s="22">
        <f t="shared" ref="Z74:Z84" ca="1" si="79">IF(N75=1,Y73*D$11*20/36000+Y74*D$11*10/36000,IF(N75=0,IF(N74=0,0,Y74*D$11*Q$12/36000+Y73*D$11*20/36000+Y74*D$11*10/36000)))</f>
        <v>0</v>
      </c>
      <c r="AA74" s="22">
        <f t="shared" ca="1" si="46"/>
        <v>0</v>
      </c>
      <c r="AB74" s="22">
        <f t="shared" ca="1" si="35"/>
        <v>0</v>
      </c>
      <c r="AC74" s="22">
        <f t="shared" ca="1" si="47"/>
        <v>0</v>
      </c>
      <c r="AD74" s="22">
        <f t="shared" ca="1" si="48"/>
        <v>0</v>
      </c>
      <c r="AE74" s="22">
        <f t="shared" ca="1" si="67"/>
        <v>0</v>
      </c>
      <c r="AF74" s="22">
        <f t="shared" ca="1" si="49"/>
        <v>0</v>
      </c>
      <c r="AG74" s="22">
        <f t="shared" ca="1" si="68"/>
        <v>0</v>
      </c>
      <c r="AH74" s="22">
        <f t="shared" ca="1" si="50"/>
        <v>0</v>
      </c>
      <c r="AI74" s="22">
        <f t="shared" ca="1" si="51"/>
        <v>0</v>
      </c>
      <c r="AJ74" s="22">
        <f t="shared" ref="AJ74:AJ84" ca="1" si="80">IF(N75=1,AI73*G$12*20/36000+AI74*G$12*10/36000,IF(N75=0,IF(N74=0,0,AI74*G$12*Q$12/36000+AI73*G$12*20/36000+AI74*G$12*10/36000)))</f>
        <v>0</v>
      </c>
      <c r="AK74" s="22">
        <f t="shared" ref="AK74:AK84" ca="1" si="81">IF(N75=1,AI73*G$12*20/36000+AI74*G$12*10/36000,IF(N75=0,IF(N74=0,0,AI74*G$12*Q$12/36000+AI73*G$12*20/36000+AI74*G$12*10/36000)))</f>
        <v>0</v>
      </c>
      <c r="AL74" s="69">
        <f t="shared" ca="1" si="69"/>
        <v>0</v>
      </c>
      <c r="AM74" s="69">
        <f t="shared" ca="1" si="52"/>
        <v>0</v>
      </c>
      <c r="AN74" s="4">
        <f t="shared" ca="1" si="70"/>
        <v>0</v>
      </c>
      <c r="AO74" s="4">
        <f t="shared" ca="1" si="53"/>
        <v>0</v>
      </c>
      <c r="AP74" s="4">
        <f t="shared" ca="1" si="54"/>
        <v>0</v>
      </c>
      <c r="AQ74" s="4">
        <f t="shared" ca="1" si="55"/>
        <v>30</v>
      </c>
      <c r="AR74" s="4">
        <f t="shared" si="56"/>
        <v>20</v>
      </c>
      <c r="AS74" s="4">
        <f t="shared" ca="1" si="71"/>
        <v>30</v>
      </c>
      <c r="AT74" s="19"/>
      <c r="AU74" s="19"/>
      <c r="AV74" s="19"/>
      <c r="AW74" s="19"/>
      <c r="AX74" s="19"/>
      <c r="AY74" s="4">
        <f t="shared" ca="1" si="57"/>
        <v>0</v>
      </c>
      <c r="AZ74" s="19"/>
      <c r="BC74" s="19"/>
      <c r="BD74" s="19"/>
      <c r="BE74" s="19"/>
      <c r="BF74" s="19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</row>
    <row r="75" spans="1:141" s="24" customFormat="1" ht="15" customHeight="1">
      <c r="A75" s="4"/>
      <c r="B75" s="268" t="str">
        <f t="shared" ca="1" si="58"/>
        <v xml:space="preserve"> </v>
      </c>
      <c r="C75" s="401"/>
      <c r="D75" s="443" t="str">
        <f ca="1">IF(N75=0,IF(N74=1,SUM(D$25:E74)," "),IF(N75=0," ",IF(N76=1,D$25,IF(N76=0,D$10-D$25*(M$14-1)," "))))</f>
        <v xml:space="preserve"> </v>
      </c>
      <c r="E75" s="443"/>
      <c r="F75" s="84" t="str">
        <f ca="1">IF(N75=0,IF(N74=1,SUM(F$25:F74)," "),IF(M$1=1,P75,IF(M$1=2,Q75," ")))</f>
        <v xml:space="preserve"> </v>
      </c>
      <c r="G75" s="84">
        <v>0</v>
      </c>
      <c r="H75" s="84" t="str">
        <f t="shared" ca="1" si="59"/>
        <v xml:space="preserve"> </v>
      </c>
      <c r="I75" s="84">
        <f t="shared" ca="1" si="60"/>
        <v>0</v>
      </c>
      <c r="J75" s="84">
        <f t="shared" ca="1" si="41"/>
        <v>0</v>
      </c>
      <c r="K75" s="84">
        <v>0</v>
      </c>
      <c r="L75" s="84" t="str">
        <f t="shared" ca="1" si="61"/>
        <v xml:space="preserve"> </v>
      </c>
      <c r="M75" s="4">
        <v>51</v>
      </c>
      <c r="N75" s="4">
        <f t="shared" ca="1" si="34"/>
        <v>0</v>
      </c>
      <c r="O75" s="4">
        <f t="shared" ca="1" si="42"/>
        <v>20</v>
      </c>
      <c r="P75" s="22">
        <f t="shared" ca="1" si="43"/>
        <v>0</v>
      </c>
      <c r="Q75" s="22">
        <f t="shared" ca="1" si="44"/>
        <v>0</v>
      </c>
      <c r="R75" s="22">
        <f t="shared" ca="1" si="62"/>
        <v>0</v>
      </c>
      <c r="S75" s="22" t="str">
        <f t="shared" ca="1" si="63"/>
        <v xml:space="preserve"> </v>
      </c>
      <c r="T75" s="22" t="e">
        <f t="shared" ca="1" si="64"/>
        <v>#VALUE!</v>
      </c>
      <c r="U75" s="22">
        <f t="shared" ca="1" si="77"/>
        <v>0</v>
      </c>
      <c r="V75" s="22">
        <f t="shared" ca="1" si="78"/>
        <v>0</v>
      </c>
      <c r="W75" s="22">
        <f t="shared" ca="1" si="65"/>
        <v>0</v>
      </c>
      <c r="X75" s="22">
        <f t="shared" ca="1" si="66"/>
        <v>0</v>
      </c>
      <c r="Y75" s="22">
        <f t="shared" ca="1" si="45"/>
        <v>0</v>
      </c>
      <c r="Z75" s="22">
        <f t="shared" ca="1" si="79"/>
        <v>0</v>
      </c>
      <c r="AA75" s="22">
        <f t="shared" ca="1" si="46"/>
        <v>0</v>
      </c>
      <c r="AB75" s="22">
        <f t="shared" ca="1" si="35"/>
        <v>0</v>
      </c>
      <c r="AC75" s="22">
        <f t="shared" ca="1" si="47"/>
        <v>0</v>
      </c>
      <c r="AD75" s="22">
        <f t="shared" ca="1" si="48"/>
        <v>0</v>
      </c>
      <c r="AE75" s="22">
        <f t="shared" ca="1" si="67"/>
        <v>0</v>
      </c>
      <c r="AF75" s="22">
        <f t="shared" ca="1" si="49"/>
        <v>0</v>
      </c>
      <c r="AG75" s="22">
        <f t="shared" ca="1" si="68"/>
        <v>0</v>
      </c>
      <c r="AH75" s="22">
        <f t="shared" ca="1" si="50"/>
        <v>0</v>
      </c>
      <c r="AI75" s="22">
        <f t="shared" ca="1" si="51"/>
        <v>0</v>
      </c>
      <c r="AJ75" s="22">
        <f t="shared" ca="1" si="80"/>
        <v>0</v>
      </c>
      <c r="AK75" s="22">
        <f t="shared" ca="1" si="81"/>
        <v>0</v>
      </c>
      <c r="AL75" s="69">
        <f t="shared" ca="1" si="69"/>
        <v>0</v>
      </c>
      <c r="AM75" s="69">
        <f t="shared" ca="1" si="52"/>
        <v>0</v>
      </c>
      <c r="AN75" s="4">
        <f t="shared" ca="1" si="70"/>
        <v>0</v>
      </c>
      <c r="AO75" s="4">
        <f t="shared" ca="1" si="53"/>
        <v>0</v>
      </c>
      <c r="AP75" s="4">
        <f t="shared" ca="1" si="54"/>
        <v>0</v>
      </c>
      <c r="AQ75" s="4">
        <f t="shared" ca="1" si="55"/>
        <v>30</v>
      </c>
      <c r="AR75" s="4">
        <f t="shared" si="56"/>
        <v>20</v>
      </c>
      <c r="AS75" s="4">
        <f t="shared" ca="1" si="71"/>
        <v>30</v>
      </c>
      <c r="AT75" s="19"/>
      <c r="AU75" s="19"/>
      <c r="AV75" s="19"/>
      <c r="AW75" s="19"/>
      <c r="AX75" s="19"/>
      <c r="AY75" s="4">
        <f t="shared" ca="1" si="57"/>
        <v>0</v>
      </c>
      <c r="AZ75" s="19"/>
      <c r="BC75" s="19"/>
      <c r="BD75" s="19"/>
      <c r="BE75" s="19"/>
      <c r="BF75" s="19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</row>
    <row r="76" spans="1:141" s="24" customFormat="1" ht="15" customHeight="1">
      <c r="A76" s="4"/>
      <c r="B76" s="268" t="str">
        <f t="shared" ca="1" si="58"/>
        <v xml:space="preserve"> </v>
      </c>
      <c r="C76" s="401"/>
      <c r="D76" s="443" t="str">
        <f ca="1">IF(N76=0,IF(N75=1,SUM(D$25:E75)," "),IF(N76=0," ",IF(N77=1,D$25,IF(N77=0,D$10-D$25*(M$14-1)," "))))</f>
        <v xml:space="preserve"> </v>
      </c>
      <c r="E76" s="443"/>
      <c r="F76" s="84" t="str">
        <f ca="1">IF(N76=0,IF(N75=1,SUM(F$25:F75)," "),IF(M$1=1,P76,IF(M$1=2,Q76," ")))</f>
        <v xml:space="preserve"> </v>
      </c>
      <c r="G76" s="84">
        <v>0</v>
      </c>
      <c r="H76" s="84" t="str">
        <f t="shared" ca="1" si="59"/>
        <v xml:space="preserve"> </v>
      </c>
      <c r="I76" s="84">
        <f t="shared" ca="1" si="60"/>
        <v>0</v>
      </c>
      <c r="J76" s="84">
        <f t="shared" ca="1" si="41"/>
        <v>0</v>
      </c>
      <c r="K76" s="84">
        <v>0</v>
      </c>
      <c r="L76" s="84" t="str">
        <f t="shared" ca="1" si="61"/>
        <v xml:space="preserve"> </v>
      </c>
      <c r="M76" s="4">
        <v>52</v>
      </c>
      <c r="N76" s="4">
        <f t="shared" ca="1" si="34"/>
        <v>0</v>
      </c>
      <c r="O76" s="4">
        <f t="shared" ca="1" si="42"/>
        <v>20</v>
      </c>
      <c r="P76" s="22">
        <f t="shared" ca="1" si="43"/>
        <v>0</v>
      </c>
      <c r="Q76" s="22">
        <f t="shared" ca="1" si="44"/>
        <v>0</v>
      </c>
      <c r="R76" s="22">
        <f t="shared" ca="1" si="62"/>
        <v>0</v>
      </c>
      <c r="S76" s="22" t="str">
        <f t="shared" ca="1" si="63"/>
        <v xml:space="preserve"> </v>
      </c>
      <c r="T76" s="22" t="e">
        <f t="shared" ca="1" si="64"/>
        <v>#VALUE!</v>
      </c>
      <c r="U76" s="22">
        <f t="shared" ca="1" si="77"/>
        <v>0</v>
      </c>
      <c r="V76" s="22">
        <f t="shared" ca="1" si="78"/>
        <v>0</v>
      </c>
      <c r="W76" s="22">
        <f t="shared" ca="1" si="65"/>
        <v>0</v>
      </c>
      <c r="X76" s="22">
        <f t="shared" ca="1" si="66"/>
        <v>0</v>
      </c>
      <c r="Y76" s="22">
        <f t="shared" ca="1" si="45"/>
        <v>0</v>
      </c>
      <c r="Z76" s="22">
        <f t="shared" ca="1" si="79"/>
        <v>0</v>
      </c>
      <c r="AA76" s="22">
        <f t="shared" ca="1" si="46"/>
        <v>0</v>
      </c>
      <c r="AB76" s="22">
        <f t="shared" ca="1" si="35"/>
        <v>0</v>
      </c>
      <c r="AC76" s="22">
        <f t="shared" ca="1" si="47"/>
        <v>0</v>
      </c>
      <c r="AD76" s="22">
        <f t="shared" ca="1" si="48"/>
        <v>0</v>
      </c>
      <c r="AE76" s="22">
        <f t="shared" ca="1" si="67"/>
        <v>0</v>
      </c>
      <c r="AF76" s="22">
        <f t="shared" ca="1" si="49"/>
        <v>0</v>
      </c>
      <c r="AG76" s="22">
        <f t="shared" ca="1" si="68"/>
        <v>0</v>
      </c>
      <c r="AH76" s="22">
        <f t="shared" ca="1" si="50"/>
        <v>0</v>
      </c>
      <c r="AI76" s="22">
        <f t="shared" ca="1" si="51"/>
        <v>0</v>
      </c>
      <c r="AJ76" s="22">
        <f t="shared" ca="1" si="80"/>
        <v>0</v>
      </c>
      <c r="AK76" s="22">
        <f t="shared" ca="1" si="81"/>
        <v>0</v>
      </c>
      <c r="AL76" s="69">
        <f t="shared" ca="1" si="69"/>
        <v>0</v>
      </c>
      <c r="AM76" s="69">
        <f t="shared" ca="1" si="52"/>
        <v>0</v>
      </c>
      <c r="AN76" s="4">
        <f t="shared" ca="1" si="70"/>
        <v>0</v>
      </c>
      <c r="AO76" s="4">
        <f t="shared" ca="1" si="53"/>
        <v>0</v>
      </c>
      <c r="AP76" s="4">
        <f t="shared" ca="1" si="54"/>
        <v>0</v>
      </c>
      <c r="AQ76" s="4">
        <f t="shared" ca="1" si="55"/>
        <v>30</v>
      </c>
      <c r="AR76" s="4">
        <f t="shared" si="56"/>
        <v>20</v>
      </c>
      <c r="AS76" s="4">
        <f t="shared" ca="1" si="71"/>
        <v>30</v>
      </c>
      <c r="AT76" s="19"/>
      <c r="AU76" s="19"/>
      <c r="AV76" s="19"/>
      <c r="AW76" s="19"/>
      <c r="AX76" s="19"/>
      <c r="AY76" s="4">
        <f t="shared" ca="1" si="57"/>
        <v>0</v>
      </c>
      <c r="AZ76" s="19"/>
      <c r="BC76" s="19"/>
      <c r="BD76" s="19"/>
      <c r="BE76" s="19"/>
      <c r="BF76" s="19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</row>
    <row r="77" spans="1:141" s="24" customFormat="1" ht="15" customHeight="1">
      <c r="A77" s="4"/>
      <c r="B77" s="268" t="str">
        <f t="shared" ca="1" si="58"/>
        <v xml:space="preserve"> </v>
      </c>
      <c r="C77" s="401"/>
      <c r="D77" s="443" t="str">
        <f ca="1">IF(N77=0,IF(N76=1,SUM(D$25:E76)," "),IF(N77=0," ",IF(N78=1,D$25,IF(N78=0,D$10-D$25*(M$14-1)," "))))</f>
        <v xml:space="preserve"> </v>
      </c>
      <c r="E77" s="443"/>
      <c r="F77" s="84" t="str">
        <f ca="1">IF(N77=0,IF(N76=1,SUM(F$25:F76)," "),IF(M$1=1,P77,IF(M$1=2,Q77," ")))</f>
        <v xml:space="preserve"> </v>
      </c>
      <c r="G77" s="84">
        <v>0</v>
      </c>
      <c r="H77" s="84" t="str">
        <f t="shared" ca="1" si="59"/>
        <v xml:space="preserve"> </v>
      </c>
      <c r="I77" s="84">
        <f t="shared" ca="1" si="60"/>
        <v>0</v>
      </c>
      <c r="J77" s="84">
        <f t="shared" ca="1" si="41"/>
        <v>0</v>
      </c>
      <c r="K77" s="84">
        <v>0</v>
      </c>
      <c r="L77" s="84" t="str">
        <f t="shared" ca="1" si="61"/>
        <v xml:space="preserve"> </v>
      </c>
      <c r="M77" s="4">
        <v>53</v>
      </c>
      <c r="N77" s="4">
        <f t="shared" ca="1" si="34"/>
        <v>0</v>
      </c>
      <c r="O77" s="4">
        <f t="shared" ca="1" si="42"/>
        <v>20</v>
      </c>
      <c r="P77" s="22">
        <f t="shared" ca="1" si="43"/>
        <v>0</v>
      </c>
      <c r="Q77" s="22">
        <f t="shared" ca="1" si="44"/>
        <v>0</v>
      </c>
      <c r="R77" s="22">
        <f t="shared" ca="1" si="62"/>
        <v>0</v>
      </c>
      <c r="S77" s="22" t="str">
        <f t="shared" ca="1" si="63"/>
        <v xml:space="preserve"> </v>
      </c>
      <c r="T77" s="22" t="e">
        <f t="shared" ca="1" si="64"/>
        <v>#VALUE!</v>
      </c>
      <c r="U77" s="22">
        <f t="shared" ca="1" si="77"/>
        <v>0</v>
      </c>
      <c r="V77" s="22">
        <f t="shared" ca="1" si="78"/>
        <v>0</v>
      </c>
      <c r="W77" s="22">
        <f t="shared" ca="1" si="65"/>
        <v>0</v>
      </c>
      <c r="X77" s="22">
        <f t="shared" ca="1" si="66"/>
        <v>0</v>
      </c>
      <c r="Y77" s="22">
        <f t="shared" ca="1" si="45"/>
        <v>0</v>
      </c>
      <c r="Z77" s="22">
        <f t="shared" ca="1" si="79"/>
        <v>0</v>
      </c>
      <c r="AA77" s="22">
        <f t="shared" ca="1" si="46"/>
        <v>0</v>
      </c>
      <c r="AB77" s="22">
        <f t="shared" ca="1" si="35"/>
        <v>0</v>
      </c>
      <c r="AC77" s="22">
        <f t="shared" ca="1" si="47"/>
        <v>0</v>
      </c>
      <c r="AD77" s="22">
        <f t="shared" ca="1" si="48"/>
        <v>0</v>
      </c>
      <c r="AE77" s="22">
        <f t="shared" ca="1" si="67"/>
        <v>0</v>
      </c>
      <c r="AF77" s="22">
        <f t="shared" ca="1" si="49"/>
        <v>0</v>
      </c>
      <c r="AG77" s="22">
        <f t="shared" ca="1" si="68"/>
        <v>0</v>
      </c>
      <c r="AH77" s="22">
        <f t="shared" ca="1" si="50"/>
        <v>0</v>
      </c>
      <c r="AI77" s="22">
        <f t="shared" ca="1" si="51"/>
        <v>0</v>
      </c>
      <c r="AJ77" s="22">
        <f t="shared" ca="1" si="80"/>
        <v>0</v>
      </c>
      <c r="AK77" s="22">
        <f t="shared" ca="1" si="81"/>
        <v>0</v>
      </c>
      <c r="AL77" s="69">
        <f t="shared" ca="1" si="69"/>
        <v>0</v>
      </c>
      <c r="AM77" s="69">
        <f t="shared" ca="1" si="52"/>
        <v>0</v>
      </c>
      <c r="AN77" s="4">
        <f t="shared" ca="1" si="70"/>
        <v>0</v>
      </c>
      <c r="AO77" s="4">
        <f t="shared" ca="1" si="53"/>
        <v>0</v>
      </c>
      <c r="AP77" s="4">
        <f t="shared" ca="1" si="54"/>
        <v>0</v>
      </c>
      <c r="AQ77" s="4">
        <f t="shared" ca="1" si="55"/>
        <v>30</v>
      </c>
      <c r="AR77" s="4">
        <f t="shared" si="56"/>
        <v>20</v>
      </c>
      <c r="AS77" s="4">
        <f t="shared" ca="1" si="71"/>
        <v>30</v>
      </c>
      <c r="AT77" s="19"/>
      <c r="AU77" s="19"/>
      <c r="AV77" s="19"/>
      <c r="AW77" s="19"/>
      <c r="AX77" s="19"/>
      <c r="AY77" s="4">
        <f t="shared" ca="1" si="57"/>
        <v>0</v>
      </c>
      <c r="AZ77" s="19"/>
      <c r="BC77" s="19"/>
      <c r="BD77" s="19"/>
      <c r="BE77" s="19"/>
      <c r="BF77" s="19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</row>
    <row r="78" spans="1:141" s="24" customFormat="1" ht="15" customHeight="1">
      <c r="A78" s="4"/>
      <c r="B78" s="268" t="str">
        <f t="shared" ca="1" si="58"/>
        <v xml:space="preserve"> </v>
      </c>
      <c r="C78" s="401"/>
      <c r="D78" s="443" t="str">
        <f ca="1">IF(N78=0,IF(N77=1,SUM(D$25:E77)," "),IF(N78=0," ",IF(N79=1,D$25,IF(N79=0,D$10-D$25*(M$14-1)," "))))</f>
        <v xml:space="preserve"> </v>
      </c>
      <c r="E78" s="443"/>
      <c r="F78" s="84" t="str">
        <f ca="1">IF(N78=0,IF(N77=1,SUM(F$25:F77)," "),IF(M$1=1,P78,IF(M$1=2,Q78," ")))</f>
        <v xml:space="preserve"> </v>
      </c>
      <c r="G78" s="84">
        <v>0</v>
      </c>
      <c r="H78" s="84" t="str">
        <f t="shared" ca="1" si="59"/>
        <v xml:space="preserve"> </v>
      </c>
      <c r="I78" s="84">
        <f t="shared" ca="1" si="60"/>
        <v>0</v>
      </c>
      <c r="J78" s="84">
        <f t="shared" ca="1" si="41"/>
        <v>0</v>
      </c>
      <c r="K78" s="84">
        <v>0</v>
      </c>
      <c r="L78" s="84" t="str">
        <f t="shared" ca="1" si="61"/>
        <v xml:space="preserve"> </v>
      </c>
      <c r="M78" s="4">
        <v>54</v>
      </c>
      <c r="N78" s="4">
        <f t="shared" ca="1" si="34"/>
        <v>0</v>
      </c>
      <c r="O78" s="4">
        <f t="shared" ca="1" si="42"/>
        <v>20</v>
      </c>
      <c r="P78" s="22">
        <f t="shared" ca="1" si="43"/>
        <v>0</v>
      </c>
      <c r="Q78" s="22">
        <f t="shared" ca="1" si="44"/>
        <v>0</v>
      </c>
      <c r="R78" s="22">
        <f t="shared" ca="1" si="62"/>
        <v>0</v>
      </c>
      <c r="S78" s="22" t="str">
        <f t="shared" ca="1" si="63"/>
        <v xml:space="preserve"> </v>
      </c>
      <c r="T78" s="22" t="e">
        <f t="shared" ca="1" si="64"/>
        <v>#VALUE!</v>
      </c>
      <c r="U78" s="22">
        <f t="shared" ca="1" si="77"/>
        <v>0</v>
      </c>
      <c r="V78" s="22">
        <f t="shared" ca="1" si="78"/>
        <v>0</v>
      </c>
      <c r="W78" s="22">
        <f t="shared" ca="1" si="65"/>
        <v>0</v>
      </c>
      <c r="X78" s="22">
        <f t="shared" ca="1" si="66"/>
        <v>0</v>
      </c>
      <c r="Y78" s="22">
        <f t="shared" ca="1" si="45"/>
        <v>0</v>
      </c>
      <c r="Z78" s="22">
        <f t="shared" ca="1" si="79"/>
        <v>0</v>
      </c>
      <c r="AA78" s="22">
        <f t="shared" ca="1" si="46"/>
        <v>0</v>
      </c>
      <c r="AB78" s="22">
        <f t="shared" ca="1" si="35"/>
        <v>0</v>
      </c>
      <c r="AC78" s="22">
        <f t="shared" ca="1" si="47"/>
        <v>0</v>
      </c>
      <c r="AD78" s="22">
        <f t="shared" ca="1" si="48"/>
        <v>0</v>
      </c>
      <c r="AE78" s="22">
        <f t="shared" ca="1" si="67"/>
        <v>0</v>
      </c>
      <c r="AF78" s="22">
        <f t="shared" ca="1" si="49"/>
        <v>0</v>
      </c>
      <c r="AG78" s="22">
        <f t="shared" ca="1" si="68"/>
        <v>0</v>
      </c>
      <c r="AH78" s="22">
        <f t="shared" ca="1" si="50"/>
        <v>0</v>
      </c>
      <c r="AI78" s="22">
        <f t="shared" ca="1" si="51"/>
        <v>0</v>
      </c>
      <c r="AJ78" s="22">
        <f t="shared" ca="1" si="80"/>
        <v>0</v>
      </c>
      <c r="AK78" s="22">
        <f t="shared" ca="1" si="81"/>
        <v>0</v>
      </c>
      <c r="AL78" s="69">
        <f t="shared" ca="1" si="69"/>
        <v>0</v>
      </c>
      <c r="AM78" s="69">
        <f t="shared" ca="1" si="52"/>
        <v>0</v>
      </c>
      <c r="AN78" s="4">
        <f t="shared" ca="1" si="70"/>
        <v>0</v>
      </c>
      <c r="AO78" s="4">
        <f t="shared" ca="1" si="53"/>
        <v>0</v>
      </c>
      <c r="AP78" s="4">
        <f t="shared" ca="1" si="54"/>
        <v>0</v>
      </c>
      <c r="AQ78" s="4">
        <f t="shared" ca="1" si="55"/>
        <v>30</v>
      </c>
      <c r="AR78" s="4">
        <f t="shared" si="56"/>
        <v>20</v>
      </c>
      <c r="AS78" s="4">
        <f t="shared" ca="1" si="71"/>
        <v>30</v>
      </c>
      <c r="AT78" s="19"/>
      <c r="AU78" s="19"/>
      <c r="AV78" s="19"/>
      <c r="AW78" s="19"/>
      <c r="AX78" s="19"/>
      <c r="AY78" s="4">
        <f t="shared" ca="1" si="57"/>
        <v>0</v>
      </c>
      <c r="AZ78" s="19"/>
      <c r="BC78" s="19"/>
      <c r="BD78" s="19"/>
      <c r="BE78" s="19"/>
      <c r="BF78" s="19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</row>
    <row r="79" spans="1:141" s="24" customFormat="1" ht="15" customHeight="1">
      <c r="A79" s="4"/>
      <c r="B79" s="268" t="str">
        <f t="shared" ca="1" si="58"/>
        <v xml:space="preserve"> </v>
      </c>
      <c r="C79" s="401"/>
      <c r="D79" s="443" t="str">
        <f ca="1">IF(N79=0,IF(N78=1,SUM(D$25:E78)," "),IF(N79=0," ",IF(N80=1,D$25,IF(N80=0,D$10-D$25*(M$14-1)," "))))</f>
        <v xml:space="preserve"> </v>
      </c>
      <c r="E79" s="443"/>
      <c r="F79" s="84" t="str">
        <f ca="1">IF(N79=0,IF(N78=1,SUM(F$25:F78)," "),IF(M$1=1,P79,IF(M$1=2,Q79," ")))</f>
        <v xml:space="preserve"> </v>
      </c>
      <c r="G79" s="84">
        <v>0</v>
      </c>
      <c r="H79" s="84" t="str">
        <f t="shared" ca="1" si="59"/>
        <v xml:space="preserve"> </v>
      </c>
      <c r="I79" s="84">
        <f t="shared" ca="1" si="60"/>
        <v>0</v>
      </c>
      <c r="J79" s="84">
        <f t="shared" ca="1" si="41"/>
        <v>0</v>
      </c>
      <c r="K79" s="84">
        <v>0</v>
      </c>
      <c r="L79" s="84" t="str">
        <f t="shared" ca="1" si="61"/>
        <v xml:space="preserve"> </v>
      </c>
      <c r="M79" s="4">
        <v>55</v>
      </c>
      <c r="N79" s="4">
        <f t="shared" ca="1" si="34"/>
        <v>0</v>
      </c>
      <c r="O79" s="4">
        <f t="shared" ca="1" si="42"/>
        <v>20</v>
      </c>
      <c r="P79" s="22">
        <f t="shared" ca="1" si="43"/>
        <v>0</v>
      </c>
      <c r="Q79" s="22">
        <f t="shared" ca="1" si="44"/>
        <v>0</v>
      </c>
      <c r="R79" s="22">
        <f t="shared" ca="1" si="62"/>
        <v>0</v>
      </c>
      <c r="S79" s="22" t="str">
        <f t="shared" ca="1" si="63"/>
        <v xml:space="preserve"> </v>
      </c>
      <c r="T79" s="22" t="e">
        <f t="shared" ca="1" si="64"/>
        <v>#VALUE!</v>
      </c>
      <c r="U79" s="22">
        <f t="shared" ca="1" si="77"/>
        <v>0</v>
      </c>
      <c r="V79" s="22">
        <f t="shared" ca="1" si="78"/>
        <v>0</v>
      </c>
      <c r="W79" s="22">
        <f t="shared" ca="1" si="65"/>
        <v>0</v>
      </c>
      <c r="X79" s="22">
        <f t="shared" ca="1" si="66"/>
        <v>0</v>
      </c>
      <c r="Y79" s="22">
        <f t="shared" ca="1" si="45"/>
        <v>0</v>
      </c>
      <c r="Z79" s="22">
        <f t="shared" ca="1" si="79"/>
        <v>0</v>
      </c>
      <c r="AA79" s="22">
        <f t="shared" ca="1" si="46"/>
        <v>0</v>
      </c>
      <c r="AB79" s="22">
        <f t="shared" ca="1" si="35"/>
        <v>0</v>
      </c>
      <c r="AC79" s="22">
        <f t="shared" ca="1" si="47"/>
        <v>0</v>
      </c>
      <c r="AD79" s="22">
        <f t="shared" ca="1" si="48"/>
        <v>0</v>
      </c>
      <c r="AE79" s="22">
        <f t="shared" ca="1" si="67"/>
        <v>0</v>
      </c>
      <c r="AF79" s="22">
        <f t="shared" ca="1" si="49"/>
        <v>0</v>
      </c>
      <c r="AG79" s="22">
        <f t="shared" ca="1" si="68"/>
        <v>0</v>
      </c>
      <c r="AH79" s="22">
        <f t="shared" ca="1" si="50"/>
        <v>0</v>
      </c>
      <c r="AI79" s="22">
        <f t="shared" ca="1" si="51"/>
        <v>0</v>
      </c>
      <c r="AJ79" s="22">
        <f t="shared" ca="1" si="80"/>
        <v>0</v>
      </c>
      <c r="AK79" s="22">
        <f t="shared" ca="1" si="81"/>
        <v>0</v>
      </c>
      <c r="AL79" s="69">
        <f t="shared" ca="1" si="69"/>
        <v>0</v>
      </c>
      <c r="AM79" s="69">
        <f t="shared" ca="1" si="52"/>
        <v>0</v>
      </c>
      <c r="AN79" s="4">
        <f t="shared" ca="1" si="70"/>
        <v>0</v>
      </c>
      <c r="AO79" s="4">
        <f t="shared" ca="1" si="53"/>
        <v>0</v>
      </c>
      <c r="AP79" s="4">
        <f t="shared" ca="1" si="54"/>
        <v>0</v>
      </c>
      <c r="AQ79" s="4">
        <f t="shared" ca="1" si="55"/>
        <v>30</v>
      </c>
      <c r="AR79" s="4">
        <f t="shared" si="56"/>
        <v>20</v>
      </c>
      <c r="AS79" s="4">
        <f t="shared" ca="1" si="71"/>
        <v>30</v>
      </c>
      <c r="AT79" s="19"/>
      <c r="AU79" s="19"/>
      <c r="AV79" s="19"/>
      <c r="AW79" s="19"/>
      <c r="AX79" s="19"/>
      <c r="AY79" s="4">
        <f t="shared" ca="1" si="57"/>
        <v>0</v>
      </c>
      <c r="AZ79" s="19"/>
      <c r="BC79" s="19"/>
      <c r="BD79" s="19"/>
      <c r="BE79" s="19"/>
      <c r="BF79" s="19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</row>
    <row r="80" spans="1:141" s="24" customFormat="1" ht="15" customHeight="1">
      <c r="A80" s="4"/>
      <c r="B80" s="268" t="str">
        <f t="shared" ca="1" si="58"/>
        <v xml:space="preserve"> </v>
      </c>
      <c r="C80" s="401"/>
      <c r="D80" s="443" t="str">
        <f ca="1">IF(N80=0,IF(N79=1,SUM(D$25:E79)," "),IF(N80=0," ",IF(N81=1,D$25,IF(N81=0,D$10-D$25*(M$14-1)," "))))</f>
        <v xml:space="preserve"> </v>
      </c>
      <c r="E80" s="443"/>
      <c r="F80" s="84" t="str">
        <f ca="1">IF(N80=0,IF(N79=1,SUM(F$25:F79)," "),IF(M$1=1,P80,IF(M$1=2,Q80," ")))</f>
        <v xml:space="preserve"> </v>
      </c>
      <c r="G80" s="84">
        <v>0</v>
      </c>
      <c r="H80" s="84" t="str">
        <f t="shared" ca="1" si="59"/>
        <v xml:space="preserve"> </v>
      </c>
      <c r="I80" s="84">
        <f t="shared" ca="1" si="60"/>
        <v>0</v>
      </c>
      <c r="J80" s="84">
        <f t="shared" ca="1" si="41"/>
        <v>0</v>
      </c>
      <c r="K80" s="84">
        <v>0</v>
      </c>
      <c r="L80" s="84" t="str">
        <f t="shared" ca="1" si="61"/>
        <v xml:space="preserve"> </v>
      </c>
      <c r="M80" s="4">
        <v>56</v>
      </c>
      <c r="N80" s="4">
        <f t="shared" ca="1" si="34"/>
        <v>0</v>
      </c>
      <c r="O80" s="4">
        <f t="shared" ca="1" si="42"/>
        <v>20</v>
      </c>
      <c r="P80" s="22">
        <f t="shared" ca="1" si="43"/>
        <v>0</v>
      </c>
      <c r="Q80" s="22">
        <f t="shared" ca="1" si="44"/>
        <v>0</v>
      </c>
      <c r="R80" s="22">
        <f t="shared" ca="1" si="62"/>
        <v>0</v>
      </c>
      <c r="S80" s="22" t="str">
        <f t="shared" ca="1" si="63"/>
        <v xml:space="preserve"> </v>
      </c>
      <c r="T80" s="22" t="e">
        <f t="shared" ca="1" si="64"/>
        <v>#VALUE!</v>
      </c>
      <c r="U80" s="22">
        <f t="shared" ca="1" si="77"/>
        <v>0</v>
      </c>
      <c r="V80" s="22">
        <f t="shared" ca="1" si="78"/>
        <v>0</v>
      </c>
      <c r="W80" s="22">
        <f t="shared" ca="1" si="65"/>
        <v>0</v>
      </c>
      <c r="X80" s="22">
        <f t="shared" ca="1" si="66"/>
        <v>0</v>
      </c>
      <c r="Y80" s="22">
        <f t="shared" ca="1" si="45"/>
        <v>0</v>
      </c>
      <c r="Z80" s="22">
        <f t="shared" ca="1" si="79"/>
        <v>0</v>
      </c>
      <c r="AA80" s="22">
        <f t="shared" ca="1" si="46"/>
        <v>0</v>
      </c>
      <c r="AB80" s="22">
        <f t="shared" ca="1" si="35"/>
        <v>0</v>
      </c>
      <c r="AC80" s="22">
        <f t="shared" ca="1" si="47"/>
        <v>0</v>
      </c>
      <c r="AD80" s="22">
        <f t="shared" ca="1" si="48"/>
        <v>0</v>
      </c>
      <c r="AE80" s="22">
        <f t="shared" ca="1" si="67"/>
        <v>0</v>
      </c>
      <c r="AF80" s="22">
        <f t="shared" ca="1" si="49"/>
        <v>0</v>
      </c>
      <c r="AG80" s="22">
        <f t="shared" ca="1" si="68"/>
        <v>0</v>
      </c>
      <c r="AH80" s="22">
        <f t="shared" ca="1" si="50"/>
        <v>0</v>
      </c>
      <c r="AI80" s="22">
        <f t="shared" ca="1" si="51"/>
        <v>0</v>
      </c>
      <c r="AJ80" s="22">
        <f t="shared" ca="1" si="80"/>
        <v>0</v>
      </c>
      <c r="AK80" s="22">
        <f t="shared" ca="1" si="81"/>
        <v>0</v>
      </c>
      <c r="AL80" s="69">
        <f t="shared" ca="1" si="69"/>
        <v>0</v>
      </c>
      <c r="AM80" s="69">
        <f t="shared" ca="1" si="52"/>
        <v>0</v>
      </c>
      <c r="AN80" s="4">
        <f t="shared" ca="1" si="70"/>
        <v>0</v>
      </c>
      <c r="AO80" s="4">
        <f t="shared" ca="1" si="53"/>
        <v>0</v>
      </c>
      <c r="AP80" s="4">
        <f t="shared" ca="1" si="54"/>
        <v>0</v>
      </c>
      <c r="AQ80" s="4">
        <f t="shared" ca="1" si="55"/>
        <v>30</v>
      </c>
      <c r="AR80" s="4">
        <f t="shared" si="56"/>
        <v>20</v>
      </c>
      <c r="AS80" s="4">
        <f t="shared" ca="1" si="71"/>
        <v>30</v>
      </c>
      <c r="AT80" s="19"/>
      <c r="AU80" s="19"/>
      <c r="AV80" s="19"/>
      <c r="AW80" s="19"/>
      <c r="AX80" s="19"/>
      <c r="AY80" s="4">
        <f t="shared" ca="1" si="57"/>
        <v>0</v>
      </c>
      <c r="AZ80" s="19"/>
      <c r="BC80" s="19"/>
      <c r="BD80" s="19"/>
      <c r="BE80" s="19"/>
      <c r="BF80" s="19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</row>
    <row r="81" spans="1:141" s="24" customFormat="1" ht="15" customHeight="1">
      <c r="A81" s="4"/>
      <c r="B81" s="268" t="str">
        <f t="shared" ca="1" si="58"/>
        <v xml:space="preserve"> </v>
      </c>
      <c r="C81" s="401"/>
      <c r="D81" s="443" t="str">
        <f ca="1">IF(N81=0,IF(N80=1,SUM(D$25:E80)," "),IF(N81=0," ",IF(N82=1,D$25,IF(N82=0,D$10-D$25*(M$14-1)," "))))</f>
        <v xml:space="preserve"> </v>
      </c>
      <c r="E81" s="443"/>
      <c r="F81" s="84" t="str">
        <f ca="1">IF(N81=0,IF(N80=1,SUM(F$25:F80)," "),IF(M$1=1,P81,IF(M$1=2,Q81," ")))</f>
        <v xml:space="preserve"> </v>
      </c>
      <c r="G81" s="84">
        <v>0</v>
      </c>
      <c r="H81" s="84" t="str">
        <f t="shared" ca="1" si="59"/>
        <v xml:space="preserve"> </v>
      </c>
      <c r="I81" s="84">
        <f t="shared" ca="1" si="60"/>
        <v>0</v>
      </c>
      <c r="J81" s="84">
        <f t="shared" ca="1" si="41"/>
        <v>0</v>
      </c>
      <c r="K81" s="84">
        <v>0</v>
      </c>
      <c r="L81" s="84" t="str">
        <f t="shared" ca="1" si="61"/>
        <v xml:space="preserve"> </v>
      </c>
      <c r="M81" s="4">
        <v>57</v>
      </c>
      <c r="N81" s="4">
        <f t="shared" ca="1" si="34"/>
        <v>0</v>
      </c>
      <c r="O81" s="4">
        <f t="shared" ca="1" si="42"/>
        <v>20</v>
      </c>
      <c r="P81" s="22">
        <f t="shared" ca="1" si="43"/>
        <v>0</v>
      </c>
      <c r="Q81" s="22">
        <f t="shared" ca="1" si="44"/>
        <v>0</v>
      </c>
      <c r="R81" s="22">
        <f t="shared" ca="1" si="62"/>
        <v>0</v>
      </c>
      <c r="S81" s="22" t="str">
        <f t="shared" ca="1" si="63"/>
        <v xml:space="preserve"> </v>
      </c>
      <c r="T81" s="22" t="e">
        <f t="shared" ca="1" si="64"/>
        <v>#VALUE!</v>
      </c>
      <c r="U81" s="22">
        <f t="shared" ca="1" si="77"/>
        <v>0</v>
      </c>
      <c r="V81" s="22">
        <f t="shared" ca="1" si="78"/>
        <v>0</v>
      </c>
      <c r="W81" s="22">
        <f t="shared" ca="1" si="65"/>
        <v>0</v>
      </c>
      <c r="X81" s="22">
        <f t="shared" ca="1" si="66"/>
        <v>0</v>
      </c>
      <c r="Y81" s="22">
        <f t="shared" ca="1" si="45"/>
        <v>0</v>
      </c>
      <c r="Z81" s="22">
        <f t="shared" ca="1" si="79"/>
        <v>0</v>
      </c>
      <c r="AA81" s="22">
        <f t="shared" ca="1" si="46"/>
        <v>0</v>
      </c>
      <c r="AB81" s="22">
        <f t="shared" ca="1" si="35"/>
        <v>0</v>
      </c>
      <c r="AC81" s="22">
        <f t="shared" ca="1" si="47"/>
        <v>0</v>
      </c>
      <c r="AD81" s="22">
        <f t="shared" ca="1" si="48"/>
        <v>0</v>
      </c>
      <c r="AE81" s="22">
        <f t="shared" ca="1" si="67"/>
        <v>0</v>
      </c>
      <c r="AF81" s="22">
        <f t="shared" ca="1" si="49"/>
        <v>0</v>
      </c>
      <c r="AG81" s="22">
        <f t="shared" ca="1" si="68"/>
        <v>0</v>
      </c>
      <c r="AH81" s="22">
        <f t="shared" ca="1" si="50"/>
        <v>0</v>
      </c>
      <c r="AI81" s="22">
        <f t="shared" ca="1" si="51"/>
        <v>0</v>
      </c>
      <c r="AJ81" s="22">
        <f t="shared" ca="1" si="80"/>
        <v>0</v>
      </c>
      <c r="AK81" s="22">
        <f t="shared" ca="1" si="81"/>
        <v>0</v>
      </c>
      <c r="AL81" s="69">
        <f t="shared" ca="1" si="69"/>
        <v>0</v>
      </c>
      <c r="AM81" s="69">
        <f t="shared" ca="1" si="52"/>
        <v>0</v>
      </c>
      <c r="AN81" s="4">
        <f t="shared" ca="1" si="70"/>
        <v>0</v>
      </c>
      <c r="AO81" s="4">
        <f t="shared" ca="1" si="53"/>
        <v>0</v>
      </c>
      <c r="AP81" s="4">
        <f t="shared" ca="1" si="54"/>
        <v>0</v>
      </c>
      <c r="AQ81" s="4">
        <f t="shared" ca="1" si="55"/>
        <v>30</v>
      </c>
      <c r="AR81" s="4">
        <f t="shared" si="56"/>
        <v>20</v>
      </c>
      <c r="AS81" s="4">
        <f t="shared" ca="1" si="71"/>
        <v>30</v>
      </c>
      <c r="AT81" s="19"/>
      <c r="AU81" s="19"/>
      <c r="AV81" s="19"/>
      <c r="AW81" s="19"/>
      <c r="AX81" s="19"/>
      <c r="AY81" s="4">
        <f t="shared" ca="1" si="57"/>
        <v>0</v>
      </c>
      <c r="AZ81" s="19"/>
      <c r="BC81" s="19"/>
      <c r="BD81" s="19"/>
      <c r="BE81" s="19"/>
      <c r="BF81" s="19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</row>
    <row r="82" spans="1:141" s="24" customFormat="1" ht="15" customHeight="1">
      <c r="A82" s="4"/>
      <c r="B82" s="268" t="str">
        <f t="shared" ca="1" si="58"/>
        <v xml:space="preserve"> </v>
      </c>
      <c r="C82" s="401"/>
      <c r="D82" s="443" t="str">
        <f ca="1">IF(N82=0,IF(N81=1,SUM(D$25:E81)," "),IF(N82=0," ",IF(N83=1,D$25,IF(N83=0,D$10-D$25*(M$14-1)," "))))</f>
        <v xml:space="preserve"> </v>
      </c>
      <c r="E82" s="443"/>
      <c r="F82" s="84" t="str">
        <f ca="1">IF(N82=0,IF(N81=1,SUM(F$25:F81)," "),IF(M$1=1,P82,IF(M$1=2,Q82," ")))</f>
        <v xml:space="preserve"> </v>
      </c>
      <c r="G82" s="84">
        <v>0</v>
      </c>
      <c r="H82" s="84" t="str">
        <f t="shared" ca="1" si="59"/>
        <v xml:space="preserve"> </v>
      </c>
      <c r="I82" s="84">
        <f t="shared" ca="1" si="60"/>
        <v>0</v>
      </c>
      <c r="J82" s="84">
        <f t="shared" ca="1" si="41"/>
        <v>0</v>
      </c>
      <c r="K82" s="84">
        <v>0</v>
      </c>
      <c r="L82" s="84" t="str">
        <f t="shared" ca="1" si="61"/>
        <v xml:space="preserve"> </v>
      </c>
      <c r="M82" s="4">
        <v>58</v>
      </c>
      <c r="N82" s="4">
        <f t="shared" ca="1" si="34"/>
        <v>0</v>
      </c>
      <c r="O82" s="4">
        <f t="shared" ca="1" si="42"/>
        <v>20</v>
      </c>
      <c r="P82" s="22">
        <f t="shared" ca="1" si="43"/>
        <v>0</v>
      </c>
      <c r="Q82" s="22">
        <f t="shared" ca="1" si="44"/>
        <v>0</v>
      </c>
      <c r="R82" s="22">
        <f t="shared" ca="1" si="62"/>
        <v>0</v>
      </c>
      <c r="S82" s="22" t="str">
        <f t="shared" ca="1" si="63"/>
        <v xml:space="preserve"> </v>
      </c>
      <c r="T82" s="22" t="e">
        <f t="shared" ca="1" si="64"/>
        <v>#VALUE!</v>
      </c>
      <c r="U82" s="22">
        <f t="shared" ca="1" si="77"/>
        <v>0</v>
      </c>
      <c r="V82" s="22">
        <f t="shared" ca="1" si="78"/>
        <v>0</v>
      </c>
      <c r="W82" s="22">
        <f t="shared" ca="1" si="65"/>
        <v>0</v>
      </c>
      <c r="X82" s="22">
        <f t="shared" ca="1" si="66"/>
        <v>0</v>
      </c>
      <c r="Y82" s="22">
        <f t="shared" ca="1" si="45"/>
        <v>0</v>
      </c>
      <c r="Z82" s="22">
        <f t="shared" ca="1" si="79"/>
        <v>0</v>
      </c>
      <c r="AA82" s="22">
        <f t="shared" ca="1" si="46"/>
        <v>0</v>
      </c>
      <c r="AB82" s="22">
        <f t="shared" ca="1" si="35"/>
        <v>0</v>
      </c>
      <c r="AC82" s="22">
        <f t="shared" ca="1" si="47"/>
        <v>0</v>
      </c>
      <c r="AD82" s="22">
        <f t="shared" ca="1" si="48"/>
        <v>0</v>
      </c>
      <c r="AE82" s="22">
        <f t="shared" ca="1" si="67"/>
        <v>0</v>
      </c>
      <c r="AF82" s="22">
        <f t="shared" ca="1" si="49"/>
        <v>0</v>
      </c>
      <c r="AG82" s="22">
        <f t="shared" ca="1" si="68"/>
        <v>0</v>
      </c>
      <c r="AH82" s="22">
        <f t="shared" ca="1" si="50"/>
        <v>0</v>
      </c>
      <c r="AI82" s="22">
        <f t="shared" ca="1" si="51"/>
        <v>0</v>
      </c>
      <c r="AJ82" s="22">
        <f t="shared" ca="1" si="80"/>
        <v>0</v>
      </c>
      <c r="AK82" s="22">
        <f t="shared" ca="1" si="81"/>
        <v>0</v>
      </c>
      <c r="AL82" s="69">
        <f t="shared" ca="1" si="69"/>
        <v>0</v>
      </c>
      <c r="AM82" s="69">
        <f t="shared" ca="1" si="52"/>
        <v>0</v>
      </c>
      <c r="AN82" s="4">
        <f t="shared" ca="1" si="70"/>
        <v>0</v>
      </c>
      <c r="AO82" s="4">
        <f t="shared" ca="1" si="53"/>
        <v>0</v>
      </c>
      <c r="AP82" s="4">
        <f t="shared" ca="1" si="54"/>
        <v>0</v>
      </c>
      <c r="AQ82" s="4">
        <f t="shared" ca="1" si="55"/>
        <v>30</v>
      </c>
      <c r="AR82" s="4">
        <f t="shared" si="56"/>
        <v>20</v>
      </c>
      <c r="AS82" s="4">
        <f t="shared" ca="1" si="71"/>
        <v>30</v>
      </c>
      <c r="AT82" s="19"/>
      <c r="AU82" s="19"/>
      <c r="AV82" s="19"/>
      <c r="AW82" s="19"/>
      <c r="AX82" s="19"/>
      <c r="AY82" s="4">
        <f t="shared" ca="1" si="57"/>
        <v>0</v>
      </c>
      <c r="AZ82" s="19"/>
      <c r="BC82" s="19"/>
      <c r="BD82" s="19"/>
      <c r="BE82" s="19"/>
      <c r="BF82" s="19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</row>
    <row r="83" spans="1:141" s="24" customFormat="1" ht="15" customHeight="1">
      <c r="A83" s="4"/>
      <c r="B83" s="268" t="str">
        <f t="shared" ca="1" si="58"/>
        <v xml:space="preserve"> </v>
      </c>
      <c r="C83" s="401"/>
      <c r="D83" s="443" t="str">
        <f ca="1">IF(N83=0,IF(N82=1,SUM(D$25:E82)," "),IF(N83=0," ",IF(N84=1,D$25,IF(N84=0,D$10-D$25*(M$14-1)," "))))</f>
        <v xml:space="preserve"> </v>
      </c>
      <c r="E83" s="443"/>
      <c r="F83" s="84" t="str">
        <f ca="1">IF(N83=0,IF(N82=1,SUM(F$25:F82)," "),IF(M$1=1,P83,IF(M$1=2,Q83," ")))</f>
        <v xml:space="preserve"> </v>
      </c>
      <c r="G83" s="84">
        <v>0</v>
      </c>
      <c r="H83" s="84" t="str">
        <f t="shared" ca="1" si="59"/>
        <v xml:space="preserve"> </v>
      </c>
      <c r="I83" s="84">
        <f t="shared" ca="1" si="60"/>
        <v>0</v>
      </c>
      <c r="J83" s="84">
        <f t="shared" ca="1" si="41"/>
        <v>0</v>
      </c>
      <c r="K83" s="84">
        <v>0</v>
      </c>
      <c r="L83" s="84" t="str">
        <f t="shared" ca="1" si="61"/>
        <v xml:space="preserve"> </v>
      </c>
      <c r="M83" s="4">
        <v>59</v>
      </c>
      <c r="N83" s="4">
        <f t="shared" ca="1" si="34"/>
        <v>0</v>
      </c>
      <c r="O83" s="4">
        <f t="shared" ca="1" si="42"/>
        <v>20</v>
      </c>
      <c r="P83" s="22">
        <f t="shared" ca="1" si="43"/>
        <v>0</v>
      </c>
      <c r="Q83" s="22">
        <f t="shared" ca="1" si="44"/>
        <v>0</v>
      </c>
      <c r="R83" s="22">
        <f t="shared" ca="1" si="62"/>
        <v>0</v>
      </c>
      <c r="S83" s="22" t="str">
        <f t="shared" ca="1" si="63"/>
        <v xml:space="preserve"> </v>
      </c>
      <c r="T83" s="22" t="e">
        <f t="shared" ca="1" si="64"/>
        <v>#VALUE!</v>
      </c>
      <c r="U83" s="22">
        <f t="shared" ca="1" si="77"/>
        <v>0</v>
      </c>
      <c r="V83" s="22">
        <f t="shared" ca="1" si="78"/>
        <v>0</v>
      </c>
      <c r="W83" s="22">
        <f t="shared" ca="1" si="65"/>
        <v>0</v>
      </c>
      <c r="X83" s="22">
        <f t="shared" ca="1" si="66"/>
        <v>0</v>
      </c>
      <c r="Y83" s="22">
        <f t="shared" ca="1" si="45"/>
        <v>0</v>
      </c>
      <c r="Z83" s="22">
        <f t="shared" ca="1" si="79"/>
        <v>0</v>
      </c>
      <c r="AA83" s="22">
        <f t="shared" ca="1" si="46"/>
        <v>0</v>
      </c>
      <c r="AB83" s="22">
        <f t="shared" ca="1" si="35"/>
        <v>0</v>
      </c>
      <c r="AC83" s="22">
        <f t="shared" ca="1" si="47"/>
        <v>0</v>
      </c>
      <c r="AD83" s="22">
        <f t="shared" ca="1" si="48"/>
        <v>0</v>
      </c>
      <c r="AE83" s="22">
        <f t="shared" ca="1" si="67"/>
        <v>0</v>
      </c>
      <c r="AF83" s="22">
        <f t="shared" ca="1" si="49"/>
        <v>0</v>
      </c>
      <c r="AG83" s="22">
        <f t="shared" ca="1" si="68"/>
        <v>0</v>
      </c>
      <c r="AH83" s="22">
        <f t="shared" ca="1" si="50"/>
        <v>0</v>
      </c>
      <c r="AI83" s="22">
        <f t="shared" ca="1" si="51"/>
        <v>0</v>
      </c>
      <c r="AJ83" s="22">
        <f t="shared" ca="1" si="80"/>
        <v>0</v>
      </c>
      <c r="AK83" s="22">
        <f t="shared" ca="1" si="81"/>
        <v>0</v>
      </c>
      <c r="AL83" s="69">
        <f t="shared" ca="1" si="69"/>
        <v>0</v>
      </c>
      <c r="AM83" s="69">
        <f t="shared" ca="1" si="52"/>
        <v>0</v>
      </c>
      <c r="AN83" s="4">
        <f t="shared" ca="1" si="70"/>
        <v>0</v>
      </c>
      <c r="AO83" s="4">
        <f t="shared" ca="1" si="53"/>
        <v>0</v>
      </c>
      <c r="AP83" s="4">
        <f t="shared" ca="1" si="54"/>
        <v>0</v>
      </c>
      <c r="AQ83" s="4">
        <f t="shared" ca="1" si="55"/>
        <v>30</v>
      </c>
      <c r="AR83" s="4">
        <f t="shared" si="56"/>
        <v>20</v>
      </c>
      <c r="AS83" s="4">
        <f t="shared" ca="1" si="71"/>
        <v>30</v>
      </c>
      <c r="AT83" s="19"/>
      <c r="AU83" s="19"/>
      <c r="AV83" s="19"/>
      <c r="AW83" s="19"/>
      <c r="AX83" s="19"/>
      <c r="AY83" s="4">
        <f t="shared" ca="1" si="57"/>
        <v>0</v>
      </c>
      <c r="AZ83" s="19"/>
      <c r="BC83" s="19"/>
      <c r="BD83" s="19"/>
      <c r="BE83" s="19"/>
      <c r="BF83" s="19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</row>
    <row r="84" spans="1:141" s="24" customFormat="1" ht="15" customHeight="1">
      <c r="A84" s="4"/>
      <c r="B84" s="268" t="str">
        <f t="shared" ca="1" si="58"/>
        <v xml:space="preserve"> </v>
      </c>
      <c r="C84" s="401"/>
      <c r="D84" s="443" t="str">
        <f ca="1">IF(N84=0,IF(N83=1,SUM(D$25:E83)," "),IF(N84=0," ",IF(N85=1,D$25,IF(N85=0,D$10-D$25*(M$14-1)," "))))</f>
        <v xml:space="preserve"> </v>
      </c>
      <c r="E84" s="443"/>
      <c r="F84" s="84" t="str">
        <f ca="1">IF(N84=0,IF(N83=1,SUM(F$25:F83)," "),IF(M$1=1,P84,IF(M$1=2,Q84," ")))</f>
        <v xml:space="preserve"> </v>
      </c>
      <c r="G84" s="84">
        <v>0</v>
      </c>
      <c r="H84" s="84" t="str">
        <f t="shared" ca="1" si="59"/>
        <v xml:space="preserve"> </v>
      </c>
      <c r="I84" s="84">
        <f t="shared" ca="1" si="60"/>
        <v>0</v>
      </c>
      <c r="J84" s="84">
        <f t="shared" ca="1" si="41"/>
        <v>0</v>
      </c>
      <c r="K84" s="84">
        <v>0</v>
      </c>
      <c r="L84" s="84" t="str">
        <f t="shared" ca="1" si="61"/>
        <v xml:space="preserve"> </v>
      </c>
      <c r="M84" s="4">
        <v>60</v>
      </c>
      <c r="N84" s="4">
        <f t="shared" ca="1" si="34"/>
        <v>0</v>
      </c>
      <c r="O84" s="4">
        <f t="shared" ca="1" si="42"/>
        <v>20</v>
      </c>
      <c r="P84" s="22">
        <f t="shared" ca="1" si="43"/>
        <v>0</v>
      </c>
      <c r="Q84" s="22">
        <f t="shared" ca="1" si="44"/>
        <v>0</v>
      </c>
      <c r="R84" s="22">
        <f t="shared" ca="1" si="62"/>
        <v>0</v>
      </c>
      <c r="S84" s="22" t="str">
        <f t="shared" ca="1" si="63"/>
        <v xml:space="preserve"> </v>
      </c>
      <c r="T84" s="22" t="e">
        <f t="shared" ca="1" si="64"/>
        <v>#VALUE!</v>
      </c>
      <c r="U84" s="22">
        <f t="shared" ca="1" si="77"/>
        <v>0</v>
      </c>
      <c r="V84" s="22">
        <f t="shared" ca="1" si="78"/>
        <v>0</v>
      </c>
      <c r="W84" s="22">
        <f t="shared" ca="1" si="65"/>
        <v>0</v>
      </c>
      <c r="X84" s="22">
        <f t="shared" ca="1" si="66"/>
        <v>0</v>
      </c>
      <c r="Y84" s="22">
        <f t="shared" ca="1" si="45"/>
        <v>0</v>
      </c>
      <c r="Z84" s="22">
        <f t="shared" ca="1" si="79"/>
        <v>0</v>
      </c>
      <c r="AA84" s="22">
        <f t="shared" ca="1" si="46"/>
        <v>0</v>
      </c>
      <c r="AB84" s="22">
        <f t="shared" ca="1" si="35"/>
        <v>0</v>
      </c>
      <c r="AC84" s="22">
        <f t="shared" ca="1" si="47"/>
        <v>0</v>
      </c>
      <c r="AD84" s="22">
        <f t="shared" ca="1" si="48"/>
        <v>0</v>
      </c>
      <c r="AE84" s="22">
        <f t="shared" ca="1" si="67"/>
        <v>0</v>
      </c>
      <c r="AF84" s="22">
        <f t="shared" ca="1" si="49"/>
        <v>0</v>
      </c>
      <c r="AG84" s="22">
        <f t="shared" ca="1" si="68"/>
        <v>0</v>
      </c>
      <c r="AH84" s="22">
        <f t="shared" ca="1" si="50"/>
        <v>0</v>
      </c>
      <c r="AI84" s="22">
        <f t="shared" ca="1" si="51"/>
        <v>0</v>
      </c>
      <c r="AJ84" s="22">
        <f t="shared" ca="1" si="80"/>
        <v>0</v>
      </c>
      <c r="AK84" s="22">
        <f t="shared" ca="1" si="81"/>
        <v>0</v>
      </c>
      <c r="AL84" s="69">
        <f t="shared" ca="1" si="69"/>
        <v>0</v>
      </c>
      <c r="AM84" s="69">
        <f t="shared" ca="1" si="52"/>
        <v>0</v>
      </c>
      <c r="AN84" s="4">
        <f t="shared" ca="1" si="70"/>
        <v>0</v>
      </c>
      <c r="AO84" s="4">
        <f t="shared" ca="1" si="53"/>
        <v>0</v>
      </c>
      <c r="AP84" s="4">
        <f t="shared" ca="1" si="54"/>
        <v>0</v>
      </c>
      <c r="AQ84" s="4">
        <f t="shared" ca="1" si="55"/>
        <v>30</v>
      </c>
      <c r="AR84" s="4">
        <f t="shared" si="56"/>
        <v>20</v>
      </c>
      <c r="AS84" s="4">
        <f t="shared" ca="1" si="71"/>
        <v>30</v>
      </c>
      <c r="AT84" s="19"/>
      <c r="AU84" s="19"/>
      <c r="AV84" s="19"/>
      <c r="AW84" s="19"/>
      <c r="AX84" s="19"/>
      <c r="AY84" s="4">
        <f t="shared" ca="1" si="57"/>
        <v>0</v>
      </c>
      <c r="AZ84" s="19"/>
      <c r="BC84" s="19"/>
      <c r="BD84" s="19"/>
      <c r="BE84" s="19"/>
      <c r="BF84" s="19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</row>
    <row r="85" spans="1:141" s="24" customFormat="1" ht="15" customHeight="1">
      <c r="A85" s="4"/>
      <c r="B85" s="268" t="str">
        <f t="shared" ca="1" si="58"/>
        <v xml:space="preserve"> </v>
      </c>
      <c r="C85" s="401"/>
      <c r="D85" s="443" t="str">
        <f ca="1">IF(N85=0,IF(N84=1,SUM(D$25:E84)," "),IF(N85=0," ",IF(N86=1,D$25,IF(N86=0,D$10-D$25*(M$14-1)," "))))</f>
        <v xml:space="preserve"> </v>
      </c>
      <c r="E85" s="443"/>
      <c r="F85" s="84" t="str">
        <f ca="1">IF(N85=0,IF(N84=1,SUM(F$25:F84)," "),IF(M$1=1,P85,IF(M$1=2,Q85," ")))</f>
        <v xml:space="preserve"> </v>
      </c>
      <c r="G85" s="84">
        <v>0</v>
      </c>
      <c r="H85" s="84" t="str">
        <f t="shared" ca="1" si="59"/>
        <v xml:space="preserve"> </v>
      </c>
      <c r="I85" s="84">
        <f t="shared" ca="1" si="60"/>
        <v>0</v>
      </c>
      <c r="J85" s="84">
        <f t="shared" ca="1" si="41"/>
        <v>0</v>
      </c>
      <c r="K85" s="84">
        <v>0</v>
      </c>
      <c r="L85" s="84" t="str">
        <f t="shared" ca="1" si="61"/>
        <v xml:space="preserve"> </v>
      </c>
      <c r="M85" s="4">
        <v>61</v>
      </c>
      <c r="N85" s="4">
        <f t="shared" ca="1" si="34"/>
        <v>0</v>
      </c>
      <c r="O85" s="4">
        <f t="shared" ca="1" si="42"/>
        <v>20</v>
      </c>
      <c r="P85" s="22">
        <f t="shared" ca="1" si="43"/>
        <v>0</v>
      </c>
      <c r="Q85" s="22">
        <f t="shared" ca="1" si="44"/>
        <v>0</v>
      </c>
      <c r="R85" s="22">
        <f t="shared" ca="1" si="62"/>
        <v>0</v>
      </c>
      <c r="S85" s="22" t="str">
        <f t="shared" ca="1" si="63"/>
        <v xml:space="preserve"> </v>
      </c>
      <c r="T85" s="22" t="e">
        <f t="shared" ca="1" si="64"/>
        <v>#VALUE!</v>
      </c>
      <c r="U85" s="22">
        <f ca="1">IF(N86=1,R84*D$11*20/36000+R85*D$11*10/36000,IF(N86=0,IF(N85=0,0,IF(D$16&gt;20,R84*D$11*20/36000+R85*D$11*(Q$12-20)/36000,R85*D$11*Q$12/36000))))</f>
        <v>0</v>
      </c>
      <c r="V85" s="22">
        <f ca="1">IF(N86=1,R84*D$11*20/36000+R85*D$11*10/36000,IF(N86=0,IF(N85=0,0,IF(D$16&gt;20,R84*D$11*20/36000+R85*D$11*(Q$12-20)/36000,R85*D$11*Q$12/36000))))</f>
        <v>0</v>
      </c>
      <c r="W85" s="22">
        <f ca="1">IF(N86=1,D10*D$11*20/36000+D10*D$11*10/36000,IF(N86=0,IF(N85=0,0,D10*D$11*Q$12/36000)))</f>
        <v>0</v>
      </c>
      <c r="X85" s="22">
        <f t="shared" ca="1" si="66"/>
        <v>0</v>
      </c>
      <c r="Y85" s="22">
        <f t="shared" ca="1" si="45"/>
        <v>0</v>
      </c>
      <c r="Z85" s="22">
        <f ca="1">IF(N86=1,Y84*D$11*20/36000+Y85*D$11*10/36000,IF(N86=0,IF(N85=0,0,IF(D$16&gt;20,Y84*D$11*20/36000+Y85*D$11*(Q$12-20)/36000,Y85*D$11*Q$12/36000))))</f>
        <v>0</v>
      </c>
      <c r="AA85" s="22">
        <f t="shared" ca="1" si="46"/>
        <v>0</v>
      </c>
      <c r="AB85" s="22">
        <f ca="1">R85*Q$12</f>
        <v>0</v>
      </c>
      <c r="AC85" s="22">
        <f t="shared" ca="1" si="47"/>
        <v>0</v>
      </c>
      <c r="AD85" s="22">
        <f t="shared" ca="1" si="48"/>
        <v>0</v>
      </c>
      <c r="AE85" s="22">
        <f ca="1">IF(N86=1,D10*G$12*20/36000+D10*G$12*10/36000,IF(N86=0,IF(N85=0,0,D10*G$12*Q$12/36000)))</f>
        <v>0</v>
      </c>
      <c r="AF85" s="22">
        <f t="shared" ca="1" si="49"/>
        <v>0</v>
      </c>
      <c r="AG85" s="22">
        <f ca="1">IF(N86=1,Y85*G$12*20/36000+Y85*G$12*10/36000,IF(N86=0,IF(N85=0,0,Y85*G$12*Q$12/36000)))</f>
        <v>0</v>
      </c>
      <c r="AH85" s="22">
        <f t="shared" ca="1" si="50"/>
        <v>0</v>
      </c>
      <c r="AI85" s="22">
        <f t="shared" ca="1" si="51"/>
        <v>0</v>
      </c>
      <c r="AJ85" s="22">
        <f ca="1">IF(N86=1,AI84*G$12*20/36000+AI85*G$12*10/36000,IF(N86=0,IF(N85=0,0,AI85*G$12*Q$12/36000)))</f>
        <v>0</v>
      </c>
      <c r="AK85" s="22">
        <f ca="1">IF(N86=1,AI84*G$12*20/36000+AI85*G$12*10/36000,IF(N86=0,IF(N85=0,0,AI85*G$12*Q$12/36000)))</f>
        <v>0</v>
      </c>
      <c r="AL85" s="69">
        <f t="shared" ca="1" si="69"/>
        <v>0</v>
      </c>
      <c r="AM85" s="69">
        <f t="shared" ca="1" si="52"/>
        <v>0</v>
      </c>
      <c r="AN85" s="4">
        <f t="shared" ca="1" si="70"/>
        <v>0</v>
      </c>
      <c r="AO85" s="4">
        <f t="shared" ca="1" si="53"/>
        <v>0</v>
      </c>
      <c r="AP85" s="4">
        <f t="shared" ca="1" si="54"/>
        <v>0</v>
      </c>
      <c r="AQ85" s="4">
        <f t="shared" ca="1" si="55"/>
        <v>30</v>
      </c>
      <c r="AR85" s="4">
        <f t="shared" si="56"/>
        <v>20</v>
      </c>
      <c r="AS85" s="4">
        <f t="shared" ca="1" si="71"/>
        <v>30</v>
      </c>
      <c r="AT85" s="19"/>
      <c r="AU85" s="19"/>
      <c r="AV85" s="19"/>
      <c r="AW85" s="19"/>
      <c r="AX85" s="19"/>
      <c r="AY85" s="4">
        <f t="shared" ca="1" si="57"/>
        <v>0</v>
      </c>
      <c r="AZ85" s="19"/>
      <c r="BC85" s="19"/>
      <c r="BD85" s="19"/>
      <c r="BE85" s="19"/>
      <c r="BF85" s="19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</row>
    <row r="86" spans="1:141" s="26" customFormat="1" ht="15" customHeight="1">
      <c r="B86" s="405" t="str">
        <f ca="1">IF(N86=0,IF(N85=1,"ИТОГО"," ")," ")</f>
        <v xml:space="preserve"> </v>
      </c>
      <c r="C86" s="405"/>
      <c r="D86" s="441" t="str">
        <f ca="1">IF(N86=0,IF(N85=1,D22," ")," ")</f>
        <v xml:space="preserve"> </v>
      </c>
      <c r="E86" s="441"/>
      <c r="F86" s="66" t="str">
        <f ca="1">IF(N86=0,IF(N85=1,SUM(F25:F85)," ")," ")</f>
        <v xml:space="preserve"> </v>
      </c>
      <c r="G86" s="66">
        <v>0</v>
      </c>
      <c r="H86" s="66" t="str">
        <f t="shared" ca="1" si="59"/>
        <v xml:space="preserve"> </v>
      </c>
      <c r="I86" s="66"/>
      <c r="J86" s="66"/>
      <c r="K86" s="66"/>
      <c r="L86" s="66"/>
      <c r="M86" s="70">
        <f>IF(A94=0,0,62000)</f>
        <v>0</v>
      </c>
      <c r="N86" s="70"/>
      <c r="O86" s="70"/>
      <c r="P86" s="71">
        <f ca="1">SUM(P25:P85)</f>
        <v>26352290</v>
      </c>
      <c r="Q86" s="71">
        <f ca="1">SUM(Q25:Q85)</f>
        <v>26352290</v>
      </c>
      <c r="R86" s="71">
        <f ca="1">SUM(R25:R85)</f>
        <v>369997200</v>
      </c>
      <c r="S86" s="71"/>
      <c r="T86" s="71"/>
      <c r="U86" s="71">
        <f ca="1">SUM(U25:U85)</f>
        <v>26352312.788888894</v>
      </c>
      <c r="V86" s="71">
        <f ca="1">SUM(V25:V85)</f>
        <v>26352312.788888894</v>
      </c>
      <c r="W86" s="71">
        <f ca="1">SUM(W25:W85)</f>
        <v>49753888.888888903</v>
      </c>
      <c r="X86" s="71">
        <f ca="1">SUM(X25:X85)</f>
        <v>49753780</v>
      </c>
      <c r="Y86" s="71"/>
      <c r="Z86" s="71"/>
      <c r="AA86" s="71"/>
      <c r="AB86" s="71">
        <f ca="1">SUM(AB25:AB85)</f>
        <v>11402145600</v>
      </c>
      <c r="AC86" s="71">
        <f ca="1">SUM(AC25:AC85)</f>
        <v>0</v>
      </c>
      <c r="AD86" s="71">
        <f ca="1">SUM(AD25:AD85)</f>
        <v>0</v>
      </c>
      <c r="AE86" s="71">
        <f ca="1">SUM(AE25:AE85)</f>
        <v>0</v>
      </c>
      <c r="AF86" s="71">
        <f ca="1">SUM(AF25:AF85)</f>
        <v>0</v>
      </c>
      <c r="AG86" s="71"/>
      <c r="AH86" s="71"/>
      <c r="AI86" s="71">
        <f ca="1">SUM(AI25:AI85)</f>
        <v>369997200</v>
      </c>
      <c r="AJ86" s="71">
        <f ca="1">SUM(AJ25:AJ85)</f>
        <v>0</v>
      </c>
      <c r="AK86" s="71">
        <f ca="1">SUM(AK25:AK85)</f>
        <v>0</v>
      </c>
      <c r="AL86" s="71"/>
      <c r="AM86" s="70"/>
      <c r="AN86" s="70"/>
      <c r="AO86" s="70"/>
      <c r="AP86" s="70"/>
      <c r="AQ86" s="70"/>
      <c r="AR86" s="70"/>
      <c r="AS86" s="70"/>
      <c r="AY86" s="70"/>
      <c r="BA86" s="43"/>
      <c r="BB86" s="43"/>
    </row>
    <row r="87" spans="1:141" ht="67.5" hidden="1" customHeight="1">
      <c r="A87" s="99">
        <v>0</v>
      </c>
      <c r="B87" s="301" t="str">
        <f>IF(M1=2,IF(F10="USD",O87,IF(F10="бел. рублей",N87)),IF(H8=1,N93," "))</f>
        <v>*Тариф 50 000 белорусских рублей должен быть внесен Вами в течение 30 дней с момента подписания Соглашения об овердрафтном кредите одним из нижеприведенных способов:
1. путем пополнения карт-счета Кредитополучателя в порядке, установленном Договором карт-</v>
      </c>
      <c r="C87" s="301"/>
      <c r="D87" s="301"/>
      <c r="E87" s="301"/>
      <c r="F87" s="301"/>
      <c r="G87" s="301"/>
      <c r="H87" s="301"/>
      <c r="I87" s="301"/>
      <c r="J87" s="301"/>
      <c r="K87" s="301"/>
      <c r="L87" s="79"/>
      <c r="M87" s="28"/>
      <c r="N87" s="28" t="s">
        <v>145</v>
      </c>
      <c r="O87" s="28" t="s">
        <v>145</v>
      </c>
      <c r="P87" s="28"/>
      <c r="Q87" s="28"/>
    </row>
    <row r="88" spans="1:141" ht="9" hidden="1" customHeight="1">
      <c r="A88" s="28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8"/>
      <c r="N88" s="28"/>
      <c r="O88" s="28"/>
      <c r="P88" s="28"/>
      <c r="Q88" s="28"/>
    </row>
    <row r="89" spans="1:141" ht="6.75" hidden="1" customHeight="1">
      <c r="A89" s="28"/>
      <c r="B89" s="301" t="s">
        <v>36</v>
      </c>
      <c r="C89" s="301"/>
      <c r="D89" s="301"/>
      <c r="E89" s="301"/>
      <c r="F89" s="301"/>
      <c r="G89" s="301"/>
      <c r="H89" s="301"/>
      <c r="I89" s="79"/>
      <c r="J89" s="79"/>
      <c r="K89" s="79"/>
      <c r="L89" s="79"/>
      <c r="M89" s="28"/>
      <c r="P89" s="28"/>
      <c r="Q89" s="28"/>
    </row>
    <row r="90" spans="1:141" ht="14.25" hidden="1" customHeight="1">
      <c r="A90" s="4"/>
      <c r="B90" s="2"/>
      <c r="C90" s="2"/>
      <c r="D90" s="2"/>
      <c r="E90" s="2"/>
      <c r="F90" s="2"/>
      <c r="G90" s="30"/>
      <c r="H90" s="30"/>
      <c r="I90" s="30"/>
      <c r="J90" s="30"/>
      <c r="K90" s="30"/>
      <c r="L90" s="30"/>
      <c r="M90" s="31"/>
      <c r="N90" s="31"/>
      <c r="O90" s="31"/>
      <c r="P90" s="31"/>
    </row>
    <row r="91" spans="1:141" ht="5.25" hidden="1" customHeight="1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41" s="19" customFormat="1" ht="26.25" hidden="1" customHeight="1">
      <c r="A92" s="4">
        <f>IF(M1=2,A87,IF(M1=1,0," "))</f>
        <v>0</v>
      </c>
      <c r="B92" s="305" t="str">
        <f>IF(M1=2,O92,IF(M1=1,N92," "))</f>
        <v>* Все платежи в погашение кредитов осуществляются не позднее 20-го числа текущего месяца.</v>
      </c>
      <c r="C92" s="305"/>
      <c r="D92" s="305"/>
      <c r="E92" s="305"/>
      <c r="F92" s="305"/>
      <c r="G92" s="305"/>
      <c r="H92" s="305"/>
      <c r="I92" s="305"/>
      <c r="J92" s="305"/>
      <c r="K92" s="106"/>
      <c r="L92" s="106"/>
      <c r="M92" s="4"/>
      <c r="N92" s="28" t="str">
        <f>IF(C24=30,"* Погашение платежей по кредиту осуществлять через отделения РУП &lt;Белпочта&gt; не позднее 29 числа каждого месяца.","* Погашение платежей по кредиту осуществлять через отделения РУП &lt;Белпочта&gt; не позднее 19 числа каждого месяца.")</f>
        <v>* Погашение платежей по кредиту осуществлять через отделения РУП &lt;Белпочта&gt; не позднее 19 числа каждого месяца.</v>
      </c>
      <c r="O92" s="28" t="str">
        <f>IF(C24=30,"* Все платежи в погашение кредитов осуществляются не позднее 30-го числа текущего месяца.","* Все платежи в погашение кредитов осуществляются не позднее 20-го числа текущего месяца.")</f>
        <v>* Все платежи в погашение кредитов осуществляются не позднее 20-го числа текущего месяца.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Y92" s="4"/>
      <c r="BA92" s="24"/>
      <c r="BB92" s="24"/>
    </row>
    <row r="93" spans="1:141" s="19" customFormat="1" ht="30" hidden="1" customHeight="1">
      <c r="A93" s="31"/>
      <c r="B93" s="454" t="s">
        <v>152</v>
      </c>
      <c r="C93" s="454"/>
      <c r="D93" s="454"/>
      <c r="E93" s="454"/>
      <c r="F93" s="454"/>
      <c r="G93" s="454"/>
      <c r="H93" s="454"/>
      <c r="I93" s="454"/>
      <c r="J93" s="454"/>
      <c r="K93" s="107"/>
      <c r="L93" s="107"/>
      <c r="M93" s="4"/>
      <c r="N93" s="28" t="s">
        <v>145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Y93" s="4"/>
      <c r="BA93" s="24"/>
      <c r="BB93" s="24"/>
    </row>
    <row r="94" spans="1:141" s="19" customFormat="1" ht="5.25" hidden="1" customHeight="1">
      <c r="A94" s="3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272" t="s">
        <v>80</v>
      </c>
      <c r="O94" s="272"/>
      <c r="P94" s="272" t="s">
        <v>38</v>
      </c>
      <c r="Q94" s="27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Y94" s="4"/>
      <c r="BA94" s="24"/>
      <c r="BB94" s="24"/>
    </row>
    <row r="95" spans="1:141" s="19" customFormat="1" hidden="1">
      <c r="A95" s="31"/>
      <c r="B95" s="4" t="s">
        <v>87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 t="s">
        <v>39</v>
      </c>
      <c r="O95" s="4" t="s">
        <v>40</v>
      </c>
      <c r="P95" s="4" t="s">
        <v>39</v>
      </c>
      <c r="Q95" s="4" t="s">
        <v>40</v>
      </c>
      <c r="R95" s="4" t="s">
        <v>41</v>
      </c>
      <c r="S95" s="4"/>
      <c r="T95" s="4"/>
      <c r="U95" s="4" t="s">
        <v>42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Y95" s="4"/>
      <c r="BA95" s="24"/>
      <c r="BB95" s="24"/>
    </row>
    <row r="96" spans="1:141" s="34" customFormat="1" ht="25.5" hidden="1" customHeight="1">
      <c r="A96" s="32">
        <f t="shared" ref="A96:A103" si="82">IF(LEFT(B96,1)="I",1,0)</f>
        <v>1</v>
      </c>
      <c r="B96" s="299" t="str">
        <f>IF(H$8=1,R96,IF(N$8=1,U96,IF(M$8=1,IF(F$10="бел. рублей",IF(D$17="Неустойка",O96,Q96),IF(D$17="Неустойка",N96,P96)))))</f>
        <v>I. Иные платежи, согласно Перечню ставок вознаграждения за операции ЗАО «Трастбанк»:</v>
      </c>
      <c r="C96" s="299"/>
      <c r="D96" s="299"/>
      <c r="E96" s="299"/>
      <c r="F96" s="299"/>
      <c r="G96" s="299"/>
      <c r="H96" s="299"/>
      <c r="I96" s="67"/>
      <c r="J96" s="67"/>
      <c r="K96" s="67"/>
      <c r="L96" s="67"/>
      <c r="M96" s="65"/>
      <c r="N96" s="33" t="s">
        <v>43</v>
      </c>
      <c r="O96" s="33" t="s">
        <v>43</v>
      </c>
      <c r="P96" s="33" t="s">
        <v>43</v>
      </c>
      <c r="Q96" s="33" t="s">
        <v>43</v>
      </c>
      <c r="R96" s="33" t="s">
        <v>43</v>
      </c>
      <c r="S96" s="33"/>
      <c r="T96" s="33"/>
      <c r="U96" s="33" t="s">
        <v>43</v>
      </c>
      <c r="V96" s="33" t="s">
        <v>43</v>
      </c>
      <c r="W96" s="33"/>
      <c r="X96" s="33"/>
      <c r="Y96" s="33"/>
      <c r="Z96" s="33"/>
      <c r="AA96" s="33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Y96" s="65"/>
      <c r="BA96" s="122"/>
      <c r="BB96" s="122"/>
    </row>
    <row r="97" spans="1:54" s="34" customFormat="1" ht="25.5" hidden="1" customHeight="1">
      <c r="A97" s="32">
        <f t="shared" si="82"/>
        <v>0</v>
      </c>
      <c r="B97" s="299" t="str">
        <f>IF(H$8=1,R97,IF(N$8=1,U97,IF(M$8=1,IF(F$10="бел. рублей",IF(D$17="Неустойка",O97,Q97),IF(D$17="Неустойка",N97,P97)))))</f>
        <v>1) Регистрация в платежной системе карточки на три года  (уплачивается в течение первого месяца с даты открытия карт-счета): 50 000 белорусских рублей;</v>
      </c>
      <c r="C97" s="299"/>
      <c r="D97" s="299"/>
      <c r="E97" s="299"/>
      <c r="F97" s="299"/>
      <c r="G97" s="299"/>
      <c r="H97" s="299"/>
      <c r="I97" s="299"/>
      <c r="J97" s="299"/>
      <c r="K97" s="299"/>
      <c r="L97" s="67"/>
      <c r="M97" s="65"/>
      <c r="N97" s="37" t="s">
        <v>44</v>
      </c>
      <c r="O97" s="37" t="s">
        <v>120</v>
      </c>
      <c r="P97" s="37" t="s">
        <v>44</v>
      </c>
      <c r="Q97" s="37" t="s">
        <v>120</v>
      </c>
      <c r="R97" s="37" t="s">
        <v>119</v>
      </c>
      <c r="S97" s="37"/>
      <c r="T97" s="37"/>
      <c r="U97" s="37" t="s">
        <v>45</v>
      </c>
      <c r="V97" s="37" t="s">
        <v>45</v>
      </c>
      <c r="W97" s="37"/>
      <c r="X97" s="37"/>
      <c r="Y97" s="37"/>
      <c r="Z97" s="37"/>
      <c r="AA97" s="37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Y97" s="65"/>
      <c r="BA97" s="122"/>
      <c r="BB97" s="122"/>
    </row>
    <row r="98" spans="1:54" s="34" customFormat="1" ht="25.5" hidden="1" customHeight="1">
      <c r="A98" s="32">
        <f t="shared" si="82"/>
        <v>0</v>
      </c>
      <c r="B98" s="299" t="str">
        <f>IF(H$8=1,R98,IF(N$8=1,U98,IF(M$8=1,IF(F$10="бел. рублей",IF(D$17="Неустойка",O98,Q98),IF(D$17="Неустойка",N98,P98)))))</f>
        <v>2) Выдача наличных средств при овердрафтном кредите по карт-счету:</v>
      </c>
      <c r="C98" s="299"/>
      <c r="D98" s="299"/>
      <c r="E98" s="299"/>
      <c r="F98" s="299"/>
      <c r="G98" s="299"/>
      <c r="H98" s="299"/>
      <c r="I98" s="67"/>
      <c r="J98" s="67"/>
      <c r="K98" s="67"/>
      <c r="L98" s="67"/>
      <c r="M98" s="65"/>
      <c r="N98" s="37" t="s">
        <v>46</v>
      </c>
      <c r="O98" s="37" t="s">
        <v>46</v>
      </c>
      <c r="P98" s="37" t="s">
        <v>46</v>
      </c>
      <c r="Q98" s="37" t="s">
        <v>46</v>
      </c>
      <c r="R98" s="37" t="s">
        <v>47</v>
      </c>
      <c r="S98" s="37"/>
      <c r="T98" s="37"/>
      <c r="U98" s="33" t="s">
        <v>48</v>
      </c>
      <c r="V98" s="33" t="s">
        <v>48</v>
      </c>
      <c r="W98" s="33"/>
      <c r="X98" s="33"/>
      <c r="Y98" s="33"/>
      <c r="Z98" s="33"/>
      <c r="AA98" s="33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Y98" s="65"/>
      <c r="BA98" s="122"/>
      <c r="BB98" s="122"/>
    </row>
    <row r="99" spans="1:54" s="34" customFormat="1" ht="25.5" hidden="1" customHeight="1">
      <c r="A99" s="32">
        <f t="shared" si="82"/>
        <v>0</v>
      </c>
      <c r="B99" s="299" t="str">
        <f>IF(H$8=1,R99,IF(N$8=1,IF(D$17="Неустойка",V99,U99),IF(M$8=1,IF(F$10="бел. рублей",IF(D$17="Неустойка",O99,Q99),IF(D$17="Неустойка",N99,P99)))))</f>
        <v>- в кассах и банкоматах Банка (в том числе Пунктов выдачи наличных): 2,5% от выданной суммы, но не менее 5000 бел.руб.;</v>
      </c>
      <c r="C99" s="299"/>
      <c r="D99" s="299"/>
      <c r="E99" s="299"/>
      <c r="F99" s="299"/>
      <c r="G99" s="299"/>
      <c r="H99" s="299"/>
      <c r="I99" s="299"/>
      <c r="J99" s="299"/>
      <c r="K99" s="299"/>
      <c r="L99" s="67"/>
      <c r="M99" s="65"/>
      <c r="N99" s="37" t="s">
        <v>83</v>
      </c>
      <c r="O99" s="37" t="s">
        <v>83</v>
      </c>
      <c r="P99" s="37" t="s">
        <v>83</v>
      </c>
      <c r="Q99" s="37" t="s">
        <v>83</v>
      </c>
      <c r="R99" s="38" t="s">
        <v>49</v>
      </c>
      <c r="S99" s="38"/>
      <c r="T99" s="38"/>
      <c r="U99" s="37" t="s">
        <v>99</v>
      </c>
      <c r="V99" s="37" t="s">
        <v>99</v>
      </c>
      <c r="W99" s="37"/>
      <c r="X99" s="37"/>
      <c r="Y99" s="37"/>
      <c r="Z99" s="37"/>
      <c r="AA99" s="37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Y99" s="65"/>
      <c r="BA99" s="122"/>
      <c r="BB99" s="122"/>
    </row>
    <row r="100" spans="1:54" s="34" customFormat="1" ht="25.5" hidden="1" customHeight="1">
      <c r="A100" s="32">
        <f t="shared" si="82"/>
        <v>0</v>
      </c>
      <c r="B100" s="299" t="str">
        <f>IF(H$8=1,R100,IF(N$8=1,IF(D$17="Неустойка",V100,U100),IF(M$8=1,IF(F$10="бел. рублей",IF(D$17="Неустойка",O100,Q100),IF(D$17="Неустойка",N100,P100)))))</f>
        <v>- в кассах Банков и их филиалов (без учета дополнительных комиссий Банков) и  банкоматах Банков, подключенных к ОАО «БПЦ», на территории Республики Беларусь: 3,5% от выданной суммы, но не менее 5000 бел.руб.;</v>
      </c>
      <c r="C100" s="299"/>
      <c r="D100" s="299"/>
      <c r="E100" s="299"/>
      <c r="F100" s="299"/>
      <c r="G100" s="299"/>
      <c r="H100" s="299"/>
      <c r="I100" s="299"/>
      <c r="J100" s="299"/>
      <c r="K100" s="299"/>
      <c r="L100" s="67"/>
      <c r="M100" s="65"/>
      <c r="N100" s="37" t="s">
        <v>52</v>
      </c>
      <c r="O100" s="37" t="s">
        <v>52</v>
      </c>
      <c r="P100" s="37" t="s">
        <v>52</v>
      </c>
      <c r="Q100" s="37" t="s">
        <v>52</v>
      </c>
      <c r="R100" s="37" t="s">
        <v>122</v>
      </c>
      <c r="S100" s="37"/>
      <c r="T100" s="37"/>
      <c r="U100" s="37" t="s">
        <v>54</v>
      </c>
      <c r="V100" s="37" t="s">
        <v>55</v>
      </c>
      <c r="W100" s="37"/>
      <c r="X100" s="37"/>
      <c r="Y100" s="37"/>
      <c r="Z100" s="37"/>
      <c r="AA100" s="37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Y100" s="65"/>
      <c r="BA100" s="122"/>
      <c r="BB100" s="122"/>
    </row>
    <row r="101" spans="1:54" s="34" customFormat="1" ht="25.5" hidden="1" customHeight="1">
      <c r="A101" s="32">
        <f t="shared" si="82"/>
        <v>0</v>
      </c>
      <c r="B101" s="299" t="str">
        <f>IF(H$8=1,R101,IF(N$8=1,IF(D$17="Неустойка",V101,U101),IF(M$8=1,IF(F$10="бел. рублей",IF(D$17="Неустойка",O101,Q101),IF(D$17="Неустойка",N101,P101)))))</f>
        <v>- в кассах Банков и их филиалов (без учета дополнительных комиссий Банков) и  банкоматах Банков, не подключенных к ОАО «БПЦ»: 3,5% от выданной суммы, но не менее 5000 бел.руб.;</v>
      </c>
      <c r="C101" s="299"/>
      <c r="D101" s="299"/>
      <c r="E101" s="299"/>
      <c r="F101" s="299"/>
      <c r="G101" s="299"/>
      <c r="H101" s="299"/>
      <c r="I101" s="299"/>
      <c r="J101" s="299"/>
      <c r="K101" s="299"/>
      <c r="L101" s="67"/>
      <c r="M101" s="65"/>
      <c r="N101" s="37" t="s">
        <v>57</v>
      </c>
      <c r="O101" s="37" t="s">
        <v>57</v>
      </c>
      <c r="P101" s="37" t="s">
        <v>56</v>
      </c>
      <c r="Q101" s="37" t="s">
        <v>57</v>
      </c>
      <c r="R101" s="37" t="s">
        <v>53</v>
      </c>
      <c r="S101" s="37"/>
      <c r="T101" s="37"/>
      <c r="U101" s="37" t="s">
        <v>106</v>
      </c>
      <c r="V101" s="37" t="s">
        <v>106</v>
      </c>
      <c r="W101" s="37"/>
      <c r="X101" s="37"/>
      <c r="Y101" s="37"/>
      <c r="Z101" s="37"/>
      <c r="AA101" s="37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Y101" s="65"/>
      <c r="BA101" s="122"/>
      <c r="BB101" s="122"/>
    </row>
    <row r="102" spans="1:54" s="34" customFormat="1" ht="25.5" hidden="1" customHeight="1">
      <c r="A102" s="32">
        <f t="shared" si="82"/>
        <v>0</v>
      </c>
      <c r="B102" s="299" t="str">
        <f>IF(H$8=1,R102,IF(N$8=1,IF(D$17="Неустойка",V102,U102),IF(M$8=1,IF(F$10="бел. рублей",IF(D$17="Неустойка",O102,Q102),IF(D$17="Неустойка",N102,P102)))))</f>
        <v>- в кассах Банков и их филиалов (без учета дополнительных комиссий Банков) и  банкоматах Банков за пределами Республики Беларусь: 3,5% от выданной суммы, но не менее 15 000 бел.руб.</v>
      </c>
      <c r="C102" s="299"/>
      <c r="D102" s="299"/>
      <c r="E102" s="299"/>
      <c r="F102" s="299"/>
      <c r="G102" s="299"/>
      <c r="H102" s="299"/>
      <c r="I102" s="299"/>
      <c r="J102" s="299"/>
      <c r="K102" s="299"/>
      <c r="L102" s="67"/>
      <c r="M102" s="65"/>
      <c r="N102" s="37" t="s">
        <v>60</v>
      </c>
      <c r="O102" s="37" t="s">
        <v>121</v>
      </c>
      <c r="P102" s="37" t="s">
        <v>60</v>
      </c>
      <c r="Q102" s="37" t="s">
        <v>121</v>
      </c>
      <c r="R102" s="37" t="s">
        <v>58</v>
      </c>
      <c r="S102" s="37"/>
      <c r="T102" s="37"/>
      <c r="U102" s="33" t="s">
        <v>61</v>
      </c>
      <c r="V102" s="33" t="s">
        <v>62</v>
      </c>
      <c r="W102" s="33"/>
      <c r="X102" s="33"/>
      <c r="Y102" s="33"/>
      <c r="Z102" s="33"/>
      <c r="AA102" s="33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Y102" s="65"/>
      <c r="BA102" s="122"/>
      <c r="BB102" s="122"/>
    </row>
    <row r="103" spans="1:54" s="34" customFormat="1" ht="25.5" hidden="1" customHeight="1">
      <c r="A103" s="32">
        <f t="shared" si="82"/>
        <v>0</v>
      </c>
      <c r="B103" s="299" t="str">
        <f>IF(H$8=1,R103,IF(N$8=1,IF(D$17="Неустойка",V103,U103),IF(M$8=1,IF(F$10="бел. рублей",IF(D$17="Неустойка",O103,Q103),IF(D$17="Неустойка",N103,P103)))))</f>
        <v>3) Пополнение карт-счета бесплатно, кроме случаев:</v>
      </c>
      <c r="C103" s="299"/>
      <c r="D103" s="299"/>
      <c r="E103" s="299"/>
      <c r="F103" s="299"/>
      <c r="G103" s="299"/>
      <c r="H103" s="299"/>
      <c r="I103" s="299"/>
      <c r="J103" s="299"/>
      <c r="K103" s="299"/>
      <c r="L103" s="67"/>
      <c r="M103" s="65"/>
      <c r="N103" s="37" t="s">
        <v>63</v>
      </c>
      <c r="O103" s="37" t="s">
        <v>63</v>
      </c>
      <c r="P103" s="37" t="s">
        <v>63</v>
      </c>
      <c r="Q103" s="37" t="s">
        <v>63</v>
      </c>
      <c r="R103" s="37" t="s">
        <v>125</v>
      </c>
      <c r="S103" s="37"/>
      <c r="T103" s="37"/>
      <c r="U103" s="37" t="s">
        <v>36</v>
      </c>
      <c r="V103" s="33" t="s">
        <v>61</v>
      </c>
      <c r="W103" s="33"/>
      <c r="X103" s="33"/>
      <c r="Y103" s="33"/>
      <c r="Z103" s="33"/>
      <c r="AA103" s="33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Y103" s="65"/>
      <c r="BA103" s="122"/>
      <c r="BB103" s="122"/>
    </row>
    <row r="104" spans="1:54" s="34" customFormat="1" ht="25.5" hidden="1" customHeight="1">
      <c r="A104" s="32"/>
      <c r="B104" s="299" t="str">
        <f t="shared" ref="B104:B119" si="83">IF(H$8=1,R104,IF(N$8=1,U104,IF(M$8=1,IF(F$10="бел. рублей",IF(D$17="Неустойка",O104,Q104),IF(D$17="Неустойка",N104,P104)))))</f>
        <v>- банковских переводов со счетов, открытых в ЗАО «Тастбанк: 0,7% от зачисляемой суммы.</v>
      </c>
      <c r="C104" s="299"/>
      <c r="D104" s="299"/>
      <c r="E104" s="299"/>
      <c r="F104" s="299"/>
      <c r="G104" s="299"/>
      <c r="H104" s="299"/>
      <c r="I104" s="299"/>
      <c r="J104" s="299"/>
      <c r="K104" s="299"/>
      <c r="L104" s="67"/>
      <c r="M104" s="65"/>
      <c r="N104" s="37" t="s">
        <v>123</v>
      </c>
      <c r="O104" s="37" t="s">
        <v>123</v>
      </c>
      <c r="P104" s="37" t="s">
        <v>123</v>
      </c>
      <c r="Q104" s="37" t="s">
        <v>123</v>
      </c>
      <c r="R104" s="37" t="s">
        <v>123</v>
      </c>
      <c r="S104" s="85"/>
      <c r="T104" s="85"/>
      <c r="U104" s="37"/>
      <c r="V104" s="33"/>
      <c r="W104" s="33"/>
      <c r="X104" s="33"/>
      <c r="Y104" s="33"/>
      <c r="Z104" s="33"/>
      <c r="AA104" s="33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Y104" s="65"/>
      <c r="BA104" s="122"/>
      <c r="BB104" s="122"/>
    </row>
    <row r="105" spans="1:54" s="34" customFormat="1" ht="25.5" hidden="1" customHeight="1">
      <c r="A105" s="32">
        <f t="shared" ref="A105:A119" si="84">IF(LEFT(B105,1)="I",1,0)</f>
        <v>0</v>
      </c>
      <c r="B105" s="299" t="str">
        <f t="shared" si="83"/>
        <v>- банковских переводов со счетов, открытых в других Банках (в том числе их филиалов), банковских переводов без открытия счета путем внесения средств в кассу иных банков (в том числе их филиалов): 0,9% от зачисляемой суммы.</v>
      </c>
      <c r="C105" s="299"/>
      <c r="D105" s="299"/>
      <c r="E105" s="299"/>
      <c r="F105" s="299"/>
      <c r="G105" s="299"/>
      <c r="H105" s="299"/>
      <c r="I105" s="299"/>
      <c r="J105" s="299"/>
      <c r="K105" s="299"/>
      <c r="L105" s="67"/>
      <c r="M105" s="65"/>
      <c r="N105" s="37" t="s">
        <v>124</v>
      </c>
      <c r="O105" s="37" t="s">
        <v>124</v>
      </c>
      <c r="P105" s="37" t="s">
        <v>124</v>
      </c>
      <c r="Q105" s="37" t="s">
        <v>124</v>
      </c>
      <c r="R105" s="37" t="s">
        <v>126</v>
      </c>
      <c r="S105" s="37"/>
      <c r="T105" s="37"/>
      <c r="U105" s="37" t="s">
        <v>36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Y105" s="65"/>
      <c r="BA105" s="122"/>
      <c r="BB105" s="122"/>
    </row>
    <row r="106" spans="1:54" s="34" customFormat="1" ht="25.5" hidden="1" customHeight="1">
      <c r="A106" s="32">
        <f t="shared" si="84"/>
        <v>0</v>
      </c>
      <c r="B106" s="299" t="str">
        <f t="shared" si="83"/>
        <v>- перевода на карт-счет в рамках системы "Расчет": 2% от зачисляемой суммы.</v>
      </c>
      <c r="C106" s="299"/>
      <c r="D106" s="299"/>
      <c r="E106" s="299"/>
      <c r="F106" s="299"/>
      <c r="G106" s="299"/>
      <c r="H106" s="299"/>
      <c r="I106" s="299"/>
      <c r="J106" s="299"/>
      <c r="K106" s="299"/>
      <c r="L106" s="67"/>
      <c r="M106" s="65"/>
      <c r="N106" s="37" t="s">
        <v>122</v>
      </c>
      <c r="O106" s="37" t="s">
        <v>122</v>
      </c>
      <c r="P106" s="37" t="s">
        <v>122</v>
      </c>
      <c r="Q106" s="37" t="s">
        <v>122</v>
      </c>
      <c r="R106" s="37" t="s">
        <v>127</v>
      </c>
      <c r="S106" s="37"/>
      <c r="T106" s="37"/>
      <c r="U106" s="37" t="s">
        <v>36</v>
      </c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Y106" s="65"/>
      <c r="BA106" s="122"/>
      <c r="BB106" s="122"/>
    </row>
    <row r="107" spans="1:54" s="34" customFormat="1" ht="25.5" hidden="1" customHeight="1">
      <c r="A107" s="32">
        <f t="shared" si="84"/>
        <v>0</v>
      </c>
      <c r="B107" s="299" t="str">
        <f t="shared" si="83"/>
        <v>4) Просмотр доступного остатка денежных средств по карт-счету:</v>
      </c>
      <c r="C107" s="299"/>
      <c r="D107" s="299"/>
      <c r="E107" s="299"/>
      <c r="F107" s="299"/>
      <c r="G107" s="299"/>
      <c r="H107" s="299"/>
      <c r="I107" s="299"/>
      <c r="J107" s="299"/>
      <c r="K107" s="299"/>
      <c r="L107" s="67"/>
      <c r="M107" s="65"/>
      <c r="N107" s="37" t="s">
        <v>91</v>
      </c>
      <c r="O107" s="37" t="s">
        <v>91</v>
      </c>
      <c r="P107" s="37" t="s">
        <v>91</v>
      </c>
      <c r="Q107" s="37" t="s">
        <v>91</v>
      </c>
      <c r="R107" s="33" t="s">
        <v>48</v>
      </c>
      <c r="S107" s="33"/>
      <c r="T107" s="33"/>
      <c r="U107" s="37" t="s">
        <v>36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Y107" s="65"/>
      <c r="BA107" s="122"/>
      <c r="BB107" s="122"/>
    </row>
    <row r="108" spans="1:54" s="34" customFormat="1" ht="25.5" hidden="1" customHeight="1">
      <c r="A108" s="32">
        <f t="shared" si="84"/>
        <v>0</v>
      </c>
      <c r="B108" s="299" t="str">
        <f t="shared" si="83"/>
        <v>- в устройствах Банка: бесплатно;</v>
      </c>
      <c r="C108" s="299"/>
      <c r="D108" s="299"/>
      <c r="E108" s="299"/>
      <c r="F108" s="299"/>
      <c r="G108" s="299"/>
      <c r="H108" s="299"/>
      <c r="I108" s="299"/>
      <c r="J108" s="299"/>
      <c r="K108" s="299"/>
      <c r="L108" s="67"/>
      <c r="M108" s="65"/>
      <c r="N108" s="37" t="s">
        <v>58</v>
      </c>
      <c r="O108" s="37" t="s">
        <v>58</v>
      </c>
      <c r="P108" s="37" t="s">
        <v>58</v>
      </c>
      <c r="Q108" s="37" t="s">
        <v>58</v>
      </c>
      <c r="R108" s="37" t="s">
        <v>99</v>
      </c>
      <c r="S108" s="37"/>
      <c r="T108" s="37"/>
      <c r="U108" s="37" t="s">
        <v>36</v>
      </c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Y108" s="65"/>
      <c r="BA108" s="122"/>
      <c r="BB108" s="122"/>
    </row>
    <row r="109" spans="1:54" s="34" customFormat="1" ht="25.5" hidden="1" customHeight="1">
      <c r="A109" s="32">
        <f t="shared" si="84"/>
        <v>0</v>
      </c>
      <c r="B109" s="299" t="str">
        <f t="shared" si="83"/>
        <v>- в устройствах Банков, подключенных к ОАО «БПЦ», на территории Республики Беларусь: 600 белорусских рублей;</v>
      </c>
      <c r="C109" s="299"/>
      <c r="D109" s="299"/>
      <c r="E109" s="299"/>
      <c r="F109" s="299"/>
      <c r="G109" s="299"/>
      <c r="H109" s="299"/>
      <c r="I109" s="299"/>
      <c r="J109" s="299"/>
      <c r="K109" s="299"/>
      <c r="L109" s="67"/>
      <c r="M109" s="65"/>
      <c r="N109" s="37" t="s">
        <v>65</v>
      </c>
      <c r="O109" s="37" t="s">
        <v>125</v>
      </c>
      <c r="P109" s="37" t="s">
        <v>65</v>
      </c>
      <c r="Q109" s="37" t="s">
        <v>125</v>
      </c>
      <c r="R109" s="37" t="s">
        <v>66</v>
      </c>
      <c r="S109" s="37"/>
      <c r="T109" s="37"/>
      <c r="U109" s="65" t="s">
        <v>36</v>
      </c>
      <c r="V109" s="33" t="s">
        <v>48</v>
      </c>
      <c r="W109" s="33"/>
      <c r="X109" s="33"/>
      <c r="Y109" s="33"/>
      <c r="Z109" s="33"/>
      <c r="AA109" s="33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Y109" s="65"/>
      <c r="BA109" s="122"/>
      <c r="BB109" s="122"/>
    </row>
    <row r="110" spans="1:54" s="34" customFormat="1" ht="25.5" hidden="1" customHeight="1">
      <c r="A110" s="32">
        <f t="shared" si="84"/>
        <v>0</v>
      </c>
      <c r="B110" s="299" t="str">
        <f t="shared" si="83"/>
        <v>- в устройствах Банков, не подключенных к ОАО «БПЦ»: 1 500 белорусских рублей;</v>
      </c>
      <c r="C110" s="299"/>
      <c r="D110" s="299"/>
      <c r="E110" s="299"/>
      <c r="F110" s="299"/>
      <c r="G110" s="299"/>
      <c r="H110" s="299"/>
      <c r="I110" s="299"/>
      <c r="J110" s="299"/>
      <c r="K110" s="299"/>
      <c r="L110" s="67"/>
      <c r="M110" s="65"/>
      <c r="N110" s="37" t="s">
        <v>67</v>
      </c>
      <c r="O110" s="37" t="s">
        <v>126</v>
      </c>
      <c r="P110" s="37" t="s">
        <v>67</v>
      </c>
      <c r="Q110" s="37" t="s">
        <v>126</v>
      </c>
      <c r="R110" s="37" t="s">
        <v>106</v>
      </c>
      <c r="S110" s="37"/>
      <c r="T110" s="37"/>
      <c r="U110" s="65" t="s">
        <v>36</v>
      </c>
      <c r="V110" s="37" t="s">
        <v>99</v>
      </c>
      <c r="W110" s="37"/>
      <c r="X110" s="37"/>
      <c r="Y110" s="37"/>
      <c r="Z110" s="37"/>
      <c r="AA110" s="37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Y110" s="65"/>
      <c r="BA110" s="122"/>
      <c r="BB110" s="122"/>
    </row>
    <row r="111" spans="1:54" s="34" customFormat="1" ht="25.5" hidden="1" customHeight="1">
      <c r="A111" s="32">
        <f t="shared" si="84"/>
        <v>0</v>
      </c>
      <c r="B111" s="299" t="str">
        <f t="shared" si="83"/>
        <v>- в устройствах Банков за пределами Республики Беларусь: 5 000 белорусских рублей.</v>
      </c>
      <c r="C111" s="299"/>
      <c r="D111" s="299"/>
      <c r="E111" s="299"/>
      <c r="F111" s="299"/>
      <c r="G111" s="299"/>
      <c r="H111" s="299"/>
      <c r="I111" s="299"/>
      <c r="J111" s="299"/>
      <c r="K111" s="299"/>
      <c r="L111" s="67"/>
      <c r="M111" s="65"/>
      <c r="N111" s="37" t="s">
        <v>68</v>
      </c>
      <c r="O111" s="37" t="s">
        <v>127</v>
      </c>
      <c r="P111" s="37" t="s">
        <v>68</v>
      </c>
      <c r="Q111" s="37" t="s">
        <v>127</v>
      </c>
      <c r="R111" s="33" t="s">
        <v>61</v>
      </c>
      <c r="S111" s="33"/>
      <c r="T111" s="33"/>
      <c r="U111" s="65" t="s">
        <v>36</v>
      </c>
      <c r="V111" s="37" t="s">
        <v>54</v>
      </c>
      <c r="W111" s="37"/>
      <c r="X111" s="37"/>
      <c r="Y111" s="37"/>
      <c r="Z111" s="37"/>
      <c r="AA111" s="37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Y111" s="65"/>
      <c r="BA111" s="122"/>
      <c r="BB111" s="122"/>
    </row>
    <row r="112" spans="1:54" s="34" customFormat="1" ht="25.5" hidden="1" customHeight="1">
      <c r="A112" s="32">
        <f t="shared" si="84"/>
        <v>0</v>
      </c>
      <c r="B112" s="299" t="str">
        <f t="shared" si="83"/>
        <v>5) Блокировка и внесение карточки в локальный стоп-лист: 10 000 белорусских рублей.</v>
      </c>
      <c r="C112" s="299"/>
      <c r="D112" s="299"/>
      <c r="E112" s="299"/>
      <c r="F112" s="299"/>
      <c r="G112" s="299"/>
      <c r="H112" s="299"/>
      <c r="I112" s="299"/>
      <c r="J112" s="299"/>
      <c r="K112" s="299"/>
      <c r="L112" s="67"/>
      <c r="M112" s="65"/>
      <c r="N112" s="37" t="s">
        <v>113</v>
      </c>
      <c r="O112" s="37" t="s">
        <v>116</v>
      </c>
      <c r="P112" s="37" t="s">
        <v>113</v>
      </c>
      <c r="Q112" s="37" t="s">
        <v>116</v>
      </c>
      <c r="R112" s="65" t="s">
        <v>36</v>
      </c>
      <c r="S112" s="65"/>
      <c r="T112" s="65"/>
      <c r="U112" s="65" t="s">
        <v>36</v>
      </c>
      <c r="V112" s="37" t="s">
        <v>73</v>
      </c>
      <c r="W112" s="37"/>
      <c r="X112" s="37"/>
      <c r="Y112" s="37"/>
      <c r="Z112" s="37"/>
      <c r="AA112" s="37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Y112" s="65"/>
      <c r="BA112" s="122"/>
      <c r="BB112" s="122"/>
    </row>
    <row r="113" spans="1:54" s="34" customFormat="1" ht="25.5" hidden="1" customHeight="1">
      <c r="A113" s="32">
        <f t="shared" si="84"/>
        <v>0</v>
      </c>
      <c r="B113" s="299" t="str">
        <f t="shared" si="83"/>
        <v>6) Замена персонального идентификационного номера в связи его с утерей (взимается независимо от обстоятельств утери): 20 000 белорусских рублей.</v>
      </c>
      <c r="C113" s="299"/>
      <c r="D113" s="299"/>
      <c r="E113" s="299"/>
      <c r="F113" s="299"/>
      <c r="G113" s="299"/>
      <c r="H113" s="299"/>
      <c r="I113" s="299"/>
      <c r="J113" s="299"/>
      <c r="K113" s="299"/>
      <c r="L113" s="67"/>
      <c r="M113" s="65"/>
      <c r="N113" s="37" t="s">
        <v>114</v>
      </c>
      <c r="O113" s="37" t="s">
        <v>128</v>
      </c>
      <c r="P113" s="37" t="s">
        <v>114</v>
      </c>
      <c r="Q113" s="37" t="s">
        <v>128</v>
      </c>
      <c r="R113" s="37" t="s">
        <v>36</v>
      </c>
      <c r="S113" s="37"/>
      <c r="T113" s="37"/>
      <c r="U113" s="37" t="s">
        <v>36</v>
      </c>
      <c r="V113" s="37" t="s">
        <v>105</v>
      </c>
      <c r="W113" s="37"/>
      <c r="X113" s="37"/>
      <c r="Y113" s="37"/>
      <c r="Z113" s="37"/>
      <c r="AA113" s="37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Y113" s="65"/>
      <c r="BA113" s="122"/>
      <c r="BB113" s="122"/>
    </row>
    <row r="114" spans="1:54" s="34" customFormat="1" ht="25.5" hidden="1" customHeight="1">
      <c r="A114" s="32">
        <f t="shared" si="84"/>
        <v>0</v>
      </c>
      <c r="B114" s="299" t="str">
        <f t="shared" si="83"/>
        <v>7) Предоставление дополнительной выписки по счету: 3 100 белорусских рублей.</v>
      </c>
      <c r="C114" s="299"/>
      <c r="D114" s="299"/>
      <c r="E114" s="299"/>
      <c r="F114" s="299"/>
      <c r="G114" s="299"/>
      <c r="H114" s="299"/>
      <c r="I114" s="299"/>
      <c r="J114" s="299"/>
      <c r="K114" s="299"/>
      <c r="L114" s="67"/>
      <c r="M114" s="65"/>
      <c r="N114" s="37" t="s">
        <v>115</v>
      </c>
      <c r="O114" s="37" t="s">
        <v>94</v>
      </c>
      <c r="P114" s="37" t="s">
        <v>115</v>
      </c>
      <c r="Q114" s="37" t="s">
        <v>94</v>
      </c>
      <c r="R114" s="33" t="s">
        <v>36</v>
      </c>
      <c r="S114" s="33"/>
      <c r="T114" s="33"/>
      <c r="U114" s="33" t="s">
        <v>36</v>
      </c>
      <c r="V114" s="65" t="s">
        <v>36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Y114" s="65"/>
      <c r="BA114" s="122"/>
      <c r="BB114" s="122"/>
    </row>
    <row r="115" spans="1:54" s="34" customFormat="1" ht="25.5" hidden="1" customHeight="1">
      <c r="A115" s="32">
        <f t="shared" si="84"/>
        <v>1</v>
      </c>
      <c r="B115" s="299" t="str">
        <f t="shared" si="83"/>
        <v>II. Ответственность Кредитополучателя за несоблюдение условий кредитного договора:</v>
      </c>
      <c r="C115" s="299"/>
      <c r="D115" s="299"/>
      <c r="E115" s="299"/>
      <c r="F115" s="299"/>
      <c r="G115" s="299"/>
      <c r="H115" s="299"/>
      <c r="I115" s="299"/>
      <c r="J115" s="299"/>
      <c r="K115" s="299"/>
      <c r="L115" s="67"/>
      <c r="M115" s="65"/>
      <c r="N115" s="33" t="s">
        <v>48</v>
      </c>
      <c r="O115" s="33" t="s">
        <v>48</v>
      </c>
      <c r="P115" s="33" t="s">
        <v>48</v>
      </c>
      <c r="Q115" s="33" t="s">
        <v>48</v>
      </c>
      <c r="R115" s="33" t="s">
        <v>36</v>
      </c>
      <c r="S115" s="33"/>
      <c r="T115" s="33"/>
      <c r="U115" s="33" t="s">
        <v>36</v>
      </c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Y115" s="65"/>
      <c r="BA115" s="122"/>
      <c r="BB115" s="122"/>
    </row>
    <row r="116" spans="1:54" s="34" customFormat="1" ht="25.5" hidden="1" customHeight="1">
      <c r="A116" s="32">
        <f t="shared" si="84"/>
        <v>0</v>
      </c>
      <c r="B116" s="299" t="str">
        <f t="shared" si="83"/>
        <v>1) Кредитополучатель уплачивает Банку повышенные проценты по просроченной задолженности по кредиту в размере процентной ставки за пользование кредитом, увеличенной на 50 процентных пунктов.</v>
      </c>
      <c r="C116" s="299"/>
      <c r="D116" s="299"/>
      <c r="E116" s="299"/>
      <c r="F116" s="299"/>
      <c r="G116" s="299"/>
      <c r="H116" s="299"/>
      <c r="I116" s="299"/>
      <c r="J116" s="299"/>
      <c r="K116" s="299"/>
      <c r="L116" s="67"/>
      <c r="M116" s="65"/>
      <c r="N116" s="37" t="s">
        <v>99</v>
      </c>
      <c r="O116" s="37" t="s">
        <v>99</v>
      </c>
      <c r="P116" s="37" t="s">
        <v>99</v>
      </c>
      <c r="Q116" s="37" t="s">
        <v>99</v>
      </c>
      <c r="R116" s="33" t="s">
        <v>36</v>
      </c>
      <c r="S116" s="33"/>
      <c r="T116" s="33"/>
      <c r="U116" s="33" t="s">
        <v>36</v>
      </c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Y116" s="65"/>
      <c r="BA116" s="122"/>
      <c r="BB116" s="122"/>
    </row>
    <row r="117" spans="1:54" s="34" customFormat="1" ht="25.5" hidden="1" customHeight="1">
      <c r="A117" s="32">
        <f t="shared" si="84"/>
        <v>0</v>
      </c>
      <c r="B117" s="299" t="str">
        <f t="shared" si="83"/>
        <v xml:space="preserve">2)  В случае возникновения просроченной задолженности по основному долгу, помимо повышенных процентов, Кредитополучатель уплачивает неустойку в размере 0,3% от суммы просроченной задолженности по основному долгу за каждый день просрочки. </v>
      </c>
      <c r="C117" s="299"/>
      <c r="D117" s="299"/>
      <c r="E117" s="299"/>
      <c r="F117" s="299"/>
      <c r="G117" s="299"/>
      <c r="H117" s="299"/>
      <c r="I117" s="299"/>
      <c r="J117" s="299"/>
      <c r="K117" s="299"/>
      <c r="L117" s="67"/>
      <c r="M117" s="65"/>
      <c r="N117" s="37" t="s">
        <v>81</v>
      </c>
      <c r="O117" s="37" t="s">
        <v>81</v>
      </c>
      <c r="P117" s="37" t="s">
        <v>78</v>
      </c>
      <c r="Q117" s="37" t="s">
        <v>78</v>
      </c>
      <c r="R117" s="33" t="s">
        <v>36</v>
      </c>
      <c r="S117" s="33"/>
      <c r="T117" s="33"/>
      <c r="U117" s="33" t="s">
        <v>36</v>
      </c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Y117" s="65"/>
      <c r="BA117" s="122"/>
      <c r="BB117" s="122"/>
    </row>
    <row r="118" spans="1:54" s="34" customFormat="1" ht="25.5" hidden="1" customHeight="1">
      <c r="A118" s="32">
        <f t="shared" si="84"/>
        <v>0</v>
      </c>
      <c r="B118" s="299" t="str">
        <f t="shared" si="83"/>
        <v>3) В случае неисполнения обязательств по уплате процентов и комиссии,  Кредитополучатель уплачивает Банку пеню в размере 0,2% от суммы просроченной задолженности за каждый день просрочки.</v>
      </c>
      <c r="C118" s="299"/>
      <c r="D118" s="299"/>
      <c r="E118" s="299"/>
      <c r="F118" s="299"/>
      <c r="G118" s="299"/>
      <c r="H118" s="299"/>
      <c r="I118" s="299"/>
      <c r="J118" s="299"/>
      <c r="K118" s="299"/>
      <c r="L118" s="67"/>
      <c r="M118" s="65"/>
      <c r="N118" s="37" t="s">
        <v>82</v>
      </c>
      <c r="O118" s="37" t="s">
        <v>82</v>
      </c>
      <c r="P118" s="37" t="s">
        <v>106</v>
      </c>
      <c r="Q118" s="37" t="s">
        <v>106</v>
      </c>
      <c r="R118" s="33" t="s">
        <v>36</v>
      </c>
      <c r="S118" s="33"/>
      <c r="T118" s="33"/>
      <c r="U118" s="33" t="s">
        <v>36</v>
      </c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Y118" s="65"/>
      <c r="BA118" s="122"/>
      <c r="BB118" s="122"/>
    </row>
    <row r="119" spans="1:54" s="34" customFormat="1" ht="25.5" hidden="1" customHeight="1">
      <c r="A119" s="32">
        <f t="shared" si="84"/>
        <v>0</v>
      </c>
      <c r="B119" s="299" t="str">
        <f t="shared" si="83"/>
        <v>4) В случае несвоевременного уведомления Банка об изменении паспортных данных, адреса проживания и номера телефона, указанных в заявлении-анкет, Кредитополучатель уплачивает штраф в размере 1 базовой величины.</v>
      </c>
      <c r="C119" s="299"/>
      <c r="D119" s="299"/>
      <c r="E119" s="299"/>
      <c r="F119" s="299"/>
      <c r="G119" s="299"/>
      <c r="H119" s="299"/>
      <c r="I119" s="299"/>
      <c r="J119" s="299"/>
      <c r="K119" s="299"/>
      <c r="L119" s="67"/>
      <c r="M119" s="65"/>
      <c r="N119" s="37" t="s">
        <v>105</v>
      </c>
      <c r="O119" s="37" t="s">
        <v>105</v>
      </c>
      <c r="P119" s="33" t="s">
        <v>61</v>
      </c>
      <c r="Q119" s="33" t="s">
        <v>61</v>
      </c>
      <c r="R119" s="33" t="s">
        <v>36</v>
      </c>
      <c r="S119" s="33"/>
      <c r="T119" s="33"/>
      <c r="U119" s="33" t="s">
        <v>36</v>
      </c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Y119" s="65"/>
      <c r="BA119" s="122"/>
      <c r="BB119" s="122"/>
    </row>
    <row r="120" spans="1:54" s="34" customFormat="1" ht="30" customHeight="1">
      <c r="A120" s="32"/>
      <c r="B120" s="456" t="s">
        <v>154</v>
      </c>
      <c r="C120" s="456"/>
      <c r="D120" s="456"/>
      <c r="E120" s="456"/>
      <c r="F120" s="456"/>
      <c r="G120" s="456"/>
      <c r="H120" s="456"/>
      <c r="I120" s="456"/>
      <c r="J120" s="456"/>
      <c r="K120" s="456"/>
      <c r="L120" s="456"/>
      <c r="M120" s="65"/>
      <c r="N120" s="37"/>
      <c r="O120" s="37"/>
      <c r="P120" s="33"/>
      <c r="Q120" s="33"/>
      <c r="R120" s="33"/>
      <c r="S120" s="33"/>
      <c r="T120" s="33"/>
      <c r="U120" s="33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Y120" s="65"/>
      <c r="BA120" s="122"/>
      <c r="BB120" s="122"/>
    </row>
    <row r="121" spans="1:54" s="34" customFormat="1" ht="25.5" customHeight="1">
      <c r="A121" s="32"/>
      <c r="B121" s="456" t="s">
        <v>155</v>
      </c>
      <c r="C121" s="456"/>
      <c r="D121" s="456"/>
      <c r="E121" s="456"/>
      <c r="F121" s="456"/>
      <c r="G121" s="456"/>
      <c r="H121" s="456"/>
      <c r="I121" s="456"/>
      <c r="J121" s="456"/>
      <c r="K121" s="456"/>
      <c r="L121" s="456"/>
      <c r="M121" s="65"/>
      <c r="N121" s="37"/>
      <c r="O121" s="37"/>
      <c r="P121" s="33"/>
      <c r="Q121" s="33"/>
      <c r="R121" s="33"/>
      <c r="S121" s="33"/>
      <c r="T121" s="33"/>
      <c r="U121" s="33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Y121" s="65"/>
      <c r="BA121" s="122"/>
      <c r="BB121" s="122"/>
    </row>
    <row r="122" spans="1:54" s="34" customFormat="1" ht="31.5" customHeight="1">
      <c r="A122" s="32"/>
      <c r="B122" s="456" t="s">
        <v>153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65"/>
      <c r="N122" s="37"/>
      <c r="O122" s="37"/>
      <c r="P122" s="33"/>
      <c r="Q122" s="33"/>
      <c r="R122" s="33"/>
      <c r="S122" s="33"/>
      <c r="T122" s="33"/>
      <c r="U122" s="33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Y122" s="65"/>
      <c r="BA122" s="122"/>
      <c r="BB122" s="122"/>
    </row>
    <row r="123" spans="1:54" s="34" customFormat="1" ht="51" customHeight="1">
      <c r="A123" s="32"/>
      <c r="B123" s="456" t="s">
        <v>193</v>
      </c>
      <c r="C123" s="456"/>
      <c r="D123" s="456"/>
      <c r="E123" s="456"/>
      <c r="F123" s="456"/>
      <c r="G123" s="456"/>
      <c r="H123" s="456"/>
      <c r="I123" s="456"/>
      <c r="J123" s="456"/>
      <c r="K123" s="456"/>
      <c r="L123" s="456"/>
      <c r="M123" s="65"/>
      <c r="N123" s="37"/>
      <c r="O123" s="37"/>
      <c r="P123" s="33"/>
      <c r="Q123" s="33"/>
      <c r="R123" s="33"/>
      <c r="S123" s="33"/>
      <c r="T123" s="33"/>
      <c r="U123" s="33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Y123" s="65"/>
      <c r="BA123" s="122"/>
      <c r="BB123" s="122"/>
    </row>
    <row r="124" spans="1:54" s="34" customFormat="1" ht="25.5" customHeight="1">
      <c r="A124" s="32"/>
      <c r="B124" s="455" t="s">
        <v>187</v>
      </c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65"/>
      <c r="N124" s="37"/>
      <c r="O124" s="37"/>
      <c r="P124" s="33"/>
      <c r="Q124" s="33"/>
      <c r="R124" s="33"/>
      <c r="S124" s="33"/>
      <c r="T124" s="33"/>
      <c r="U124" s="33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Y124" s="65"/>
      <c r="BA124" s="122"/>
      <c r="BB124" s="122"/>
    </row>
    <row r="125" spans="1:54" s="34" customFormat="1" ht="49.5" customHeight="1">
      <c r="A125" s="32"/>
      <c r="B125" s="456" t="s">
        <v>198</v>
      </c>
      <c r="C125" s="456"/>
      <c r="D125" s="456"/>
      <c r="E125" s="456"/>
      <c r="F125" s="456"/>
      <c r="G125" s="456"/>
      <c r="H125" s="456"/>
      <c r="I125" s="456"/>
      <c r="J125" s="456"/>
      <c r="K125" s="456"/>
      <c r="L125" s="456"/>
      <c r="M125" s="65"/>
      <c r="N125" s="37"/>
      <c r="O125" s="37"/>
      <c r="P125" s="33"/>
      <c r="Q125" s="33"/>
      <c r="R125" s="33"/>
      <c r="S125" s="33"/>
      <c r="T125" s="33"/>
      <c r="U125" s="33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Y125" s="65"/>
      <c r="BA125" s="122"/>
      <c r="BB125" s="122"/>
    </row>
    <row r="126" spans="1:54" s="34" customFormat="1" ht="48" customHeight="1">
      <c r="A126" s="32"/>
      <c r="B126" s="456" t="s">
        <v>157</v>
      </c>
      <c r="C126" s="456"/>
      <c r="D126" s="456"/>
      <c r="E126" s="456"/>
      <c r="F126" s="456"/>
      <c r="G126" s="456"/>
      <c r="H126" s="456"/>
      <c r="I126" s="456"/>
      <c r="J126" s="456"/>
      <c r="K126" s="456"/>
      <c r="L126" s="456"/>
      <c r="M126" s="65"/>
      <c r="N126" s="37"/>
      <c r="O126" s="37"/>
      <c r="P126" s="33"/>
      <c r="Q126" s="33"/>
      <c r="R126" s="33"/>
      <c r="S126" s="33"/>
      <c r="T126" s="33"/>
      <c r="U126" s="33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Y126" s="65"/>
      <c r="BA126" s="122"/>
      <c r="BB126" s="122"/>
    </row>
    <row r="127" spans="1:54" s="34" customFormat="1" ht="37.5" customHeight="1">
      <c r="A127" s="32"/>
      <c r="B127" s="456" t="s">
        <v>158</v>
      </c>
      <c r="C127" s="456"/>
      <c r="D127" s="456"/>
      <c r="E127" s="456"/>
      <c r="F127" s="456"/>
      <c r="G127" s="456"/>
      <c r="H127" s="456"/>
      <c r="I127" s="456"/>
      <c r="J127" s="456"/>
      <c r="K127" s="456"/>
      <c r="L127" s="456"/>
      <c r="M127" s="65"/>
      <c r="N127" s="37"/>
      <c r="O127" s="37"/>
      <c r="P127" s="33"/>
      <c r="Q127" s="33"/>
      <c r="R127" s="33"/>
      <c r="S127" s="33"/>
      <c r="T127" s="33"/>
      <c r="U127" s="33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Y127" s="65"/>
      <c r="BA127" s="122"/>
      <c r="BB127" s="122"/>
    </row>
    <row r="128" spans="1:54" s="34" customFormat="1" ht="36" customHeight="1">
      <c r="A128" s="32"/>
      <c r="B128" s="456" t="s">
        <v>159</v>
      </c>
      <c r="C128" s="456"/>
      <c r="D128" s="456"/>
      <c r="E128" s="456"/>
      <c r="F128" s="456"/>
      <c r="G128" s="456"/>
      <c r="H128" s="456"/>
      <c r="I128" s="456"/>
      <c r="J128" s="456"/>
      <c r="K128" s="456"/>
      <c r="L128" s="456"/>
      <c r="M128" s="65"/>
      <c r="N128" s="37"/>
      <c r="O128" s="37"/>
      <c r="P128" s="33"/>
      <c r="Q128" s="33"/>
      <c r="R128" s="33"/>
      <c r="S128" s="33"/>
      <c r="T128" s="33"/>
      <c r="U128" s="33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Y128" s="65"/>
      <c r="BA128" s="122"/>
      <c r="BB128" s="122"/>
    </row>
    <row r="129" spans="1:54" s="34" customFormat="1" ht="26.25" customHeight="1">
      <c r="A129" s="32"/>
      <c r="B129" s="455" t="s">
        <v>188</v>
      </c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65"/>
      <c r="N129" s="37"/>
      <c r="O129" s="37"/>
      <c r="P129" s="33"/>
      <c r="Q129" s="33"/>
      <c r="R129" s="33"/>
      <c r="S129" s="33"/>
      <c r="T129" s="33"/>
      <c r="U129" s="33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Y129" s="65"/>
      <c r="BA129" s="122"/>
      <c r="BB129" s="122"/>
    </row>
    <row r="130" spans="1:54" s="34" customFormat="1" ht="36" customHeight="1">
      <c r="A130" s="32"/>
      <c r="B130" s="456" t="s">
        <v>192</v>
      </c>
      <c r="C130" s="456"/>
      <c r="D130" s="456"/>
      <c r="E130" s="456"/>
      <c r="F130" s="456"/>
      <c r="G130" s="456"/>
      <c r="H130" s="456"/>
      <c r="I130" s="456"/>
      <c r="J130" s="456"/>
      <c r="K130" s="456"/>
      <c r="L130" s="456"/>
      <c r="M130" s="65"/>
      <c r="N130" s="37"/>
      <c r="O130" s="37"/>
      <c r="P130" s="33"/>
      <c r="Q130" s="33"/>
      <c r="R130" s="33"/>
      <c r="S130" s="33"/>
      <c r="T130" s="33"/>
      <c r="U130" s="33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Y130" s="65"/>
      <c r="BA130" s="122"/>
      <c r="BB130" s="122"/>
    </row>
    <row r="131" spans="1:54" s="34" customFormat="1" ht="36" customHeight="1">
      <c r="A131" s="32"/>
      <c r="B131" s="455" t="s">
        <v>160</v>
      </c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65"/>
      <c r="N131" s="37"/>
      <c r="O131" s="37"/>
      <c r="P131" s="33"/>
      <c r="Q131" s="33"/>
      <c r="R131" s="33"/>
      <c r="S131" s="33"/>
      <c r="T131" s="33"/>
      <c r="U131" s="33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Y131" s="65"/>
      <c r="BA131" s="122"/>
      <c r="BB131" s="122"/>
    </row>
    <row r="132" spans="1:54" s="34" customFormat="1" ht="25.5" customHeight="1">
      <c r="A132" s="32"/>
      <c r="B132" s="467" t="s">
        <v>191</v>
      </c>
      <c r="C132" s="467"/>
      <c r="D132" s="467"/>
      <c r="E132" s="467"/>
      <c r="F132" s="467"/>
      <c r="G132" s="467"/>
      <c r="H132" s="467"/>
      <c r="I132" s="467"/>
      <c r="J132" s="467"/>
      <c r="K132" s="467"/>
      <c r="L132" s="467"/>
      <c r="M132" s="65"/>
      <c r="N132" s="37"/>
      <c r="O132" s="37"/>
      <c r="P132" s="33"/>
      <c r="Q132" s="33"/>
      <c r="R132" s="33"/>
      <c r="S132" s="33"/>
      <c r="T132" s="33"/>
      <c r="U132" s="33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Y132" s="65"/>
      <c r="BA132" s="122"/>
      <c r="BB132" s="122"/>
    </row>
    <row r="133" spans="1:54" s="34" customFormat="1" ht="25.5" customHeight="1">
      <c r="A133" s="32"/>
      <c r="B133" s="467" t="s">
        <v>161</v>
      </c>
      <c r="C133" s="467"/>
      <c r="D133" s="467"/>
      <c r="E133" s="467"/>
      <c r="F133" s="467"/>
      <c r="G133" s="467"/>
      <c r="H133" s="467"/>
      <c r="I133" s="467"/>
      <c r="J133" s="467"/>
      <c r="K133" s="467"/>
      <c r="L133" s="467"/>
      <c r="M133" s="65"/>
      <c r="N133" s="37"/>
      <c r="O133" s="37"/>
      <c r="P133" s="33"/>
      <c r="Q133" s="33"/>
      <c r="R133" s="33"/>
      <c r="S133" s="33"/>
      <c r="T133" s="33"/>
      <c r="U133" s="33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Y133" s="65"/>
      <c r="BA133" s="122"/>
      <c r="BB133" s="122"/>
    </row>
    <row r="134" spans="1:54" s="34" customFormat="1" ht="14.25" customHeight="1">
      <c r="A134" s="32"/>
      <c r="B134" s="442"/>
      <c r="C134" s="442"/>
      <c r="D134" s="442"/>
      <c r="E134" s="442"/>
      <c r="F134" s="442"/>
      <c r="G134" s="442"/>
      <c r="H134" s="442"/>
      <c r="I134" s="442"/>
      <c r="J134" s="442"/>
      <c r="K134" s="442"/>
      <c r="L134" s="442"/>
      <c r="M134" s="65"/>
      <c r="N134" s="37"/>
      <c r="O134" s="37"/>
      <c r="P134" s="33"/>
      <c r="Q134" s="33"/>
      <c r="R134" s="33"/>
      <c r="S134" s="33"/>
      <c r="T134" s="33"/>
      <c r="U134" s="33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Y134" s="65"/>
      <c r="BA134" s="122"/>
      <c r="BB134" s="122"/>
    </row>
    <row r="135" spans="1:54" s="34" customFormat="1" ht="31.5" customHeight="1">
      <c r="A135" s="32"/>
      <c r="B135" s="462" t="s">
        <v>162</v>
      </c>
      <c r="C135" s="463"/>
      <c r="D135" s="463"/>
      <c r="E135" s="463"/>
      <c r="F135" s="463"/>
      <c r="G135" s="463"/>
      <c r="H135" s="464"/>
      <c r="I135" s="459" t="s">
        <v>163</v>
      </c>
      <c r="J135" s="460"/>
      <c r="K135" s="460"/>
      <c r="L135" s="461"/>
      <c r="M135" s="65"/>
      <c r="N135" s="37"/>
      <c r="O135" s="37"/>
      <c r="P135" s="33"/>
      <c r="Q135" s="33"/>
      <c r="R135" s="33"/>
      <c r="S135" s="33"/>
      <c r="T135" s="33"/>
      <c r="U135" s="33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Y135" s="65"/>
      <c r="BA135" s="122"/>
      <c r="BB135" s="122"/>
    </row>
    <row r="136" spans="1:54" s="34" customFormat="1" ht="35.25" customHeight="1">
      <c r="A136" s="32"/>
      <c r="B136" s="462" t="s">
        <v>164</v>
      </c>
      <c r="C136" s="463"/>
      <c r="D136" s="463"/>
      <c r="E136" s="463"/>
      <c r="F136" s="463"/>
      <c r="G136" s="463"/>
      <c r="H136" s="464"/>
      <c r="I136" s="459" t="s">
        <v>165</v>
      </c>
      <c r="J136" s="460"/>
      <c r="K136" s="460"/>
      <c r="L136" s="461"/>
      <c r="M136" s="65"/>
      <c r="N136" s="37"/>
      <c r="O136" s="37"/>
      <c r="P136" s="33"/>
      <c r="Q136" s="33"/>
      <c r="R136" s="33"/>
      <c r="S136" s="33"/>
      <c r="T136" s="33"/>
      <c r="U136" s="33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Y136" s="65"/>
      <c r="BA136" s="122"/>
      <c r="BB136" s="122"/>
    </row>
    <row r="137" spans="1:54" s="34" customFormat="1" ht="53.25" customHeight="1">
      <c r="A137" s="32"/>
      <c r="B137" s="462" t="s">
        <v>166</v>
      </c>
      <c r="C137" s="463"/>
      <c r="D137" s="463"/>
      <c r="E137" s="463"/>
      <c r="F137" s="463"/>
      <c r="G137" s="463"/>
      <c r="H137" s="464"/>
      <c r="I137" s="459" t="s">
        <v>165</v>
      </c>
      <c r="J137" s="460"/>
      <c r="K137" s="460"/>
      <c r="L137" s="461"/>
      <c r="M137" s="65"/>
      <c r="N137" s="37"/>
      <c r="O137" s="37"/>
      <c r="P137" s="33"/>
      <c r="Q137" s="33"/>
      <c r="R137" s="33"/>
      <c r="S137" s="33"/>
      <c r="T137" s="33"/>
      <c r="U137" s="33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Y137" s="65"/>
      <c r="BA137" s="122"/>
      <c r="BB137" s="122"/>
    </row>
    <row r="138" spans="1:54" s="34" customFormat="1" ht="48" customHeight="1">
      <c r="A138" s="32"/>
      <c r="B138" s="462" t="s">
        <v>167</v>
      </c>
      <c r="C138" s="463"/>
      <c r="D138" s="463"/>
      <c r="E138" s="463"/>
      <c r="F138" s="463"/>
      <c r="G138" s="463"/>
      <c r="H138" s="464"/>
      <c r="I138" s="459" t="s">
        <v>168</v>
      </c>
      <c r="J138" s="460"/>
      <c r="K138" s="460"/>
      <c r="L138" s="461"/>
      <c r="M138" s="65"/>
      <c r="N138" s="37"/>
      <c r="O138" s="37"/>
      <c r="P138" s="33"/>
      <c r="Q138" s="33"/>
      <c r="R138" s="33"/>
      <c r="S138" s="33"/>
      <c r="T138" s="33"/>
      <c r="U138" s="33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Y138" s="65"/>
      <c r="BA138" s="122"/>
      <c r="BB138" s="122"/>
    </row>
    <row r="139" spans="1:54" s="34" customFormat="1" ht="12" customHeight="1">
      <c r="A139" s="32"/>
      <c r="B139" s="442"/>
      <c r="C139" s="442"/>
      <c r="D139" s="442"/>
      <c r="E139" s="442"/>
      <c r="F139" s="442"/>
      <c r="G139" s="442"/>
      <c r="H139" s="442"/>
      <c r="I139" s="442"/>
      <c r="J139" s="442"/>
      <c r="K139" s="442"/>
      <c r="L139" s="442"/>
      <c r="M139" s="65"/>
      <c r="N139" s="37"/>
      <c r="O139" s="37"/>
      <c r="P139" s="33"/>
      <c r="Q139" s="33"/>
      <c r="R139" s="33"/>
      <c r="S139" s="33"/>
      <c r="T139" s="33"/>
      <c r="U139" s="33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Y139" s="65"/>
      <c r="BA139" s="122"/>
      <c r="BB139" s="122"/>
    </row>
    <row r="140" spans="1:54" s="34" customFormat="1" ht="25.5" customHeight="1">
      <c r="A140" s="32"/>
      <c r="B140" s="467" t="s">
        <v>169</v>
      </c>
      <c r="C140" s="467"/>
      <c r="D140" s="467"/>
      <c r="E140" s="467"/>
      <c r="F140" s="467"/>
      <c r="G140" s="467"/>
      <c r="H140" s="467"/>
      <c r="I140" s="467"/>
      <c r="J140" s="467"/>
      <c r="K140" s="467"/>
      <c r="L140" s="467"/>
      <c r="M140" s="65"/>
      <c r="N140" s="37"/>
      <c r="O140" s="37"/>
      <c r="P140" s="33"/>
      <c r="Q140" s="33"/>
      <c r="R140" s="33"/>
      <c r="S140" s="33"/>
      <c r="T140" s="33"/>
      <c r="U140" s="33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Y140" s="65"/>
      <c r="BA140" s="122"/>
      <c r="BB140" s="122"/>
    </row>
    <row r="141" spans="1:54" s="34" customFormat="1" ht="11.25" customHeight="1">
      <c r="A141" s="32"/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65"/>
      <c r="N141" s="37"/>
      <c r="O141" s="37"/>
      <c r="P141" s="33"/>
      <c r="Q141" s="33"/>
      <c r="R141" s="33"/>
      <c r="S141" s="33"/>
      <c r="T141" s="33"/>
      <c r="U141" s="33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Y141" s="65"/>
      <c r="BA141" s="122"/>
      <c r="BB141" s="122"/>
    </row>
    <row r="142" spans="1:54" s="34" customFormat="1" ht="25.5" customHeight="1">
      <c r="A142" s="32"/>
      <c r="B142" s="459" t="s">
        <v>170</v>
      </c>
      <c r="C142" s="460"/>
      <c r="D142" s="460"/>
      <c r="E142" s="460"/>
      <c r="F142" s="460"/>
      <c r="G142" s="460"/>
      <c r="H142" s="461"/>
      <c r="I142" s="459" t="s">
        <v>174</v>
      </c>
      <c r="J142" s="460"/>
      <c r="K142" s="460"/>
      <c r="L142" s="461"/>
      <c r="M142" s="65"/>
      <c r="N142" s="37"/>
      <c r="O142" s="37"/>
      <c r="P142" s="33"/>
      <c r="Q142" s="33"/>
      <c r="R142" s="33"/>
      <c r="S142" s="33"/>
      <c r="T142" s="33"/>
      <c r="U142" s="33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Y142" s="65"/>
      <c r="BA142" s="122"/>
      <c r="BB142" s="122"/>
    </row>
    <row r="143" spans="1:54" s="34" customFormat="1" ht="39.75" customHeight="1">
      <c r="A143" s="32"/>
      <c r="B143" s="459" t="s">
        <v>171</v>
      </c>
      <c r="C143" s="460"/>
      <c r="D143" s="460"/>
      <c r="E143" s="460"/>
      <c r="F143" s="460"/>
      <c r="G143" s="460"/>
      <c r="H143" s="461"/>
      <c r="I143" s="459" t="s">
        <v>175</v>
      </c>
      <c r="J143" s="460"/>
      <c r="K143" s="460"/>
      <c r="L143" s="461"/>
      <c r="M143" s="65"/>
      <c r="N143" s="37"/>
      <c r="O143" s="37"/>
      <c r="P143" s="33"/>
      <c r="Q143" s="33"/>
      <c r="R143" s="33"/>
      <c r="S143" s="33"/>
      <c r="T143" s="33"/>
      <c r="U143" s="33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Y143" s="65"/>
      <c r="BA143" s="122"/>
      <c r="BB143" s="122"/>
    </row>
    <row r="144" spans="1:54" s="34" customFormat="1" ht="43.5" customHeight="1">
      <c r="A144" s="32"/>
      <c r="B144" s="462" t="s">
        <v>184</v>
      </c>
      <c r="C144" s="463"/>
      <c r="D144" s="463"/>
      <c r="E144" s="463"/>
      <c r="F144" s="463"/>
      <c r="G144" s="463"/>
      <c r="H144" s="464"/>
      <c r="I144" s="459" t="s">
        <v>176</v>
      </c>
      <c r="J144" s="460"/>
      <c r="K144" s="460"/>
      <c r="L144" s="461"/>
      <c r="M144" s="65"/>
      <c r="N144" s="37"/>
      <c r="O144" s="37"/>
      <c r="P144" s="33"/>
      <c r="Q144" s="33"/>
      <c r="R144" s="33"/>
      <c r="S144" s="33"/>
      <c r="T144" s="33"/>
      <c r="U144" s="33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Y144" s="65"/>
      <c r="BA144" s="122"/>
      <c r="BB144" s="122"/>
    </row>
    <row r="145" spans="1:54" s="34" customFormat="1" ht="53.25" customHeight="1">
      <c r="A145" s="32"/>
      <c r="B145" s="459" t="s">
        <v>172</v>
      </c>
      <c r="C145" s="460"/>
      <c r="D145" s="460"/>
      <c r="E145" s="460"/>
      <c r="F145" s="460"/>
      <c r="G145" s="460"/>
      <c r="H145" s="461"/>
      <c r="I145" s="459" t="s">
        <v>177</v>
      </c>
      <c r="J145" s="460"/>
      <c r="K145" s="460"/>
      <c r="L145" s="461"/>
      <c r="M145" s="65"/>
      <c r="N145" s="37"/>
      <c r="O145" s="37"/>
      <c r="P145" s="33"/>
      <c r="Q145" s="33"/>
      <c r="R145" s="33"/>
      <c r="S145" s="33"/>
      <c r="T145" s="33"/>
      <c r="U145" s="33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Y145" s="65"/>
      <c r="BA145" s="122"/>
      <c r="BB145" s="122"/>
    </row>
    <row r="146" spans="1:54" s="34" customFormat="1" ht="19.5" customHeight="1">
      <c r="A146" s="32"/>
      <c r="B146" s="459" t="s">
        <v>173</v>
      </c>
      <c r="C146" s="460"/>
      <c r="D146" s="460"/>
      <c r="E146" s="460"/>
      <c r="F146" s="460"/>
      <c r="G146" s="460"/>
      <c r="H146" s="461"/>
      <c r="I146" s="459" t="s">
        <v>178</v>
      </c>
      <c r="J146" s="460"/>
      <c r="K146" s="460"/>
      <c r="L146" s="461"/>
      <c r="M146" s="65"/>
      <c r="N146" s="37"/>
      <c r="O146" s="37"/>
      <c r="P146" s="33"/>
      <c r="Q146" s="33"/>
      <c r="R146" s="33"/>
      <c r="S146" s="33"/>
      <c r="T146" s="33"/>
      <c r="U146" s="33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Y146" s="65"/>
      <c r="BA146" s="122"/>
      <c r="BB146" s="122"/>
    </row>
    <row r="147" spans="1:54" s="34" customFormat="1" ht="81.75" customHeight="1">
      <c r="A147" s="32"/>
      <c r="B147" s="458" t="s">
        <v>179</v>
      </c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65"/>
      <c r="N147" s="37"/>
      <c r="O147" s="37"/>
      <c r="P147" s="33"/>
      <c r="Q147" s="33"/>
      <c r="R147" s="33"/>
      <c r="S147" s="33"/>
      <c r="T147" s="33"/>
      <c r="U147" s="33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Y147" s="65"/>
      <c r="BA147" s="122"/>
      <c r="BB147" s="122"/>
    </row>
    <row r="148" spans="1:54" s="34" customFormat="1" ht="41.25" customHeight="1">
      <c r="A148" s="32"/>
      <c r="B148" s="456" t="s">
        <v>180</v>
      </c>
      <c r="C148" s="456"/>
      <c r="D148" s="456"/>
      <c r="E148" s="456"/>
      <c r="F148" s="456"/>
      <c r="G148" s="456"/>
      <c r="H148" s="456"/>
      <c r="I148" s="456"/>
      <c r="J148" s="456"/>
      <c r="K148" s="456"/>
      <c r="L148" s="456"/>
      <c r="M148" s="65"/>
      <c r="N148" s="37"/>
      <c r="O148" s="37"/>
      <c r="P148" s="33"/>
      <c r="Q148" s="33"/>
      <c r="R148" s="33"/>
      <c r="S148" s="33"/>
      <c r="T148" s="33"/>
      <c r="U148" s="33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Y148" s="65"/>
      <c r="BA148" s="122"/>
      <c r="BB148" s="122"/>
    </row>
    <row r="149" spans="1:54">
      <c r="A149" s="2"/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</row>
    <row r="150" spans="1:54" ht="16.5" thickBot="1">
      <c r="A150" s="2"/>
      <c r="B150" s="465">
        <f ca="1">IF(A150=0,TODAY(),A150)</f>
        <v>45294</v>
      </c>
      <c r="C150" s="465"/>
      <c r="D150" s="466"/>
      <c r="E150" s="466"/>
      <c r="F150" s="466"/>
      <c r="G150" s="456" t="str">
        <f>D7</f>
        <v>Иванов И.И.</v>
      </c>
      <c r="H150" s="456"/>
      <c r="I150" s="81"/>
      <c r="J150" s="81"/>
      <c r="K150" s="81"/>
      <c r="L150" s="81"/>
    </row>
    <row r="151" spans="1:5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5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5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5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5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5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5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5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5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</sheetData>
  <sheetProtection password="DF29" sheet="1" objects="1" scenarios="1"/>
  <mergeCells count="231">
    <mergeCell ref="B50:C50"/>
    <mergeCell ref="D30:E30"/>
    <mergeCell ref="D38:E38"/>
    <mergeCell ref="D33:E33"/>
    <mergeCell ref="D31:E31"/>
    <mergeCell ref="B32:C32"/>
    <mergeCell ref="B64:C64"/>
    <mergeCell ref="B54:C54"/>
    <mergeCell ref="D54:E54"/>
    <mergeCell ref="B56:C56"/>
    <mergeCell ref="D37:E37"/>
    <mergeCell ref="B36:C36"/>
    <mergeCell ref="D36:E36"/>
    <mergeCell ref="B37:C37"/>
    <mergeCell ref="D40:E40"/>
    <mergeCell ref="B43:C43"/>
    <mergeCell ref="D43:E43"/>
    <mergeCell ref="B31:C31"/>
    <mergeCell ref="B33:C33"/>
    <mergeCell ref="B41:C41"/>
    <mergeCell ref="D41:E41"/>
    <mergeCell ref="B42:C42"/>
    <mergeCell ref="D42:E42"/>
    <mergeCell ref="B52:C52"/>
    <mergeCell ref="D52:E52"/>
    <mergeCell ref="B65:C65"/>
    <mergeCell ref="D65:E65"/>
    <mergeCell ref="B53:C53"/>
    <mergeCell ref="D53:E53"/>
    <mergeCell ref="B60:C60"/>
    <mergeCell ref="D60:E60"/>
    <mergeCell ref="B59:C59"/>
    <mergeCell ref="D59:E59"/>
    <mergeCell ref="B61:C61"/>
    <mergeCell ref="D61:E61"/>
    <mergeCell ref="B63:C63"/>
    <mergeCell ref="D63:E63"/>
    <mergeCell ref="D64:E64"/>
    <mergeCell ref="B66:C66"/>
    <mergeCell ref="D66:E66"/>
    <mergeCell ref="B68:C68"/>
    <mergeCell ref="D68:E68"/>
    <mergeCell ref="B74:C74"/>
    <mergeCell ref="D74:E74"/>
    <mergeCell ref="B87:K87"/>
    <mergeCell ref="D71:E71"/>
    <mergeCell ref="B72:C72"/>
    <mergeCell ref="D72:E72"/>
    <mergeCell ref="B73:C73"/>
    <mergeCell ref="D73:E73"/>
    <mergeCell ref="B67:C67"/>
    <mergeCell ref="D67:E67"/>
    <mergeCell ref="B70:C70"/>
    <mergeCell ref="D70:E70"/>
    <mergeCell ref="B71:C71"/>
    <mergeCell ref="D83:E83"/>
    <mergeCell ref="D75:E75"/>
    <mergeCell ref="B82:C82"/>
    <mergeCell ref="B79:C79"/>
    <mergeCell ref="B69:C69"/>
    <mergeCell ref="D69:E69"/>
    <mergeCell ref="B75:C75"/>
    <mergeCell ref="I23:L23"/>
    <mergeCell ref="D17:F17"/>
    <mergeCell ref="B17:C17"/>
    <mergeCell ref="B18:C18"/>
    <mergeCell ref="D18:F18"/>
    <mergeCell ref="D19:F19"/>
    <mergeCell ref="D20:F20"/>
    <mergeCell ref="D21:F21"/>
    <mergeCell ref="D22:E22"/>
    <mergeCell ref="B23:C24"/>
    <mergeCell ref="D23:H23"/>
    <mergeCell ref="D24:E24"/>
    <mergeCell ref="B14:C14"/>
    <mergeCell ref="M11:P11"/>
    <mergeCell ref="B12:C12"/>
    <mergeCell ref="D12:E12"/>
    <mergeCell ref="M12:P12"/>
    <mergeCell ref="B11:C11"/>
    <mergeCell ref="D11:E11"/>
    <mergeCell ref="N1:Q1"/>
    <mergeCell ref="B7:C7"/>
    <mergeCell ref="D7:F7"/>
    <mergeCell ref="B5:I5"/>
    <mergeCell ref="D10:E10"/>
    <mergeCell ref="F1:H4"/>
    <mergeCell ref="B8:C8"/>
    <mergeCell ref="D8:F8"/>
    <mergeCell ref="B10:C10"/>
    <mergeCell ref="D14:E14"/>
    <mergeCell ref="B13:C13"/>
    <mergeCell ref="D13:F13"/>
    <mergeCell ref="B40:C40"/>
    <mergeCell ref="D16:E16"/>
    <mergeCell ref="B15:C15"/>
    <mergeCell ref="D15:E15"/>
    <mergeCell ref="B16:C16"/>
    <mergeCell ref="B25:C25"/>
    <mergeCell ref="B26:C26"/>
    <mergeCell ref="B28:C28"/>
    <mergeCell ref="B35:C35"/>
    <mergeCell ref="B29:C29"/>
    <mergeCell ref="B27:C27"/>
    <mergeCell ref="B30:C30"/>
    <mergeCell ref="D27:E27"/>
    <mergeCell ref="D25:E25"/>
    <mergeCell ref="D35:E35"/>
    <mergeCell ref="D26:E26"/>
    <mergeCell ref="D34:E34"/>
    <mergeCell ref="D32:E32"/>
    <mergeCell ref="D29:E29"/>
    <mergeCell ref="D28:E28"/>
    <mergeCell ref="B34:C34"/>
    <mergeCell ref="B39:C39"/>
    <mergeCell ref="D39:E39"/>
    <mergeCell ref="B38:C38"/>
    <mergeCell ref="B44:C44"/>
    <mergeCell ref="D44:E44"/>
    <mergeCell ref="B49:C49"/>
    <mergeCell ref="D49:E49"/>
    <mergeCell ref="B45:C45"/>
    <mergeCell ref="D45:E45"/>
    <mergeCell ref="B62:C62"/>
    <mergeCell ref="D62:E62"/>
    <mergeCell ref="B48:C48"/>
    <mergeCell ref="D48:E48"/>
    <mergeCell ref="B46:C46"/>
    <mergeCell ref="D46:E46"/>
    <mergeCell ref="D55:E55"/>
    <mergeCell ref="D56:E56"/>
    <mergeCell ref="B55:C55"/>
    <mergeCell ref="B51:C51"/>
    <mergeCell ref="D50:E50"/>
    <mergeCell ref="D51:E51"/>
    <mergeCell ref="B57:C57"/>
    <mergeCell ref="D57:E57"/>
    <mergeCell ref="B58:C58"/>
    <mergeCell ref="D58:E58"/>
    <mergeCell ref="B47:C47"/>
    <mergeCell ref="D47:E47"/>
    <mergeCell ref="P94:Q94"/>
    <mergeCell ref="B93:J93"/>
    <mergeCell ref="B86:C86"/>
    <mergeCell ref="D86:E86"/>
    <mergeCell ref="B92:J92"/>
    <mergeCell ref="B89:H89"/>
    <mergeCell ref="D85:E85"/>
    <mergeCell ref="B78:C78"/>
    <mergeCell ref="D78:E78"/>
    <mergeCell ref="N94:O94"/>
    <mergeCell ref="D79:E79"/>
    <mergeCell ref="B81:C81"/>
    <mergeCell ref="D81:E81"/>
    <mergeCell ref="B84:C84"/>
    <mergeCell ref="B80:C80"/>
    <mergeCell ref="D80:E80"/>
    <mergeCell ref="D82:E82"/>
    <mergeCell ref="B83:C83"/>
    <mergeCell ref="B76:C76"/>
    <mergeCell ref="D76:E76"/>
    <mergeCell ref="B77:C77"/>
    <mergeCell ref="D77:E77"/>
    <mergeCell ref="B150:C150"/>
    <mergeCell ref="D150:F150"/>
    <mergeCell ref="G150:H150"/>
    <mergeCell ref="B122:L122"/>
    <mergeCell ref="B131:L131"/>
    <mergeCell ref="B149:L149"/>
    <mergeCell ref="B125:L125"/>
    <mergeCell ref="B96:H96"/>
    <mergeCell ref="D84:E84"/>
    <mergeCell ref="B105:K105"/>
    <mergeCell ref="B124:L124"/>
    <mergeCell ref="B107:K107"/>
    <mergeCell ref="B108:K108"/>
    <mergeCell ref="B85:C85"/>
    <mergeCell ref="B123:L123"/>
    <mergeCell ref="B113:K113"/>
    <mergeCell ref="B99:K99"/>
    <mergeCell ref="B101:K101"/>
    <mergeCell ref="B104:K104"/>
    <mergeCell ref="B102:K102"/>
    <mergeCell ref="B103:K103"/>
    <mergeCell ref="B98:H98"/>
    <mergeCell ref="B97:K97"/>
    <mergeCell ref="B136:H136"/>
    <mergeCell ref="B121:L121"/>
    <mergeCell ref="B126:L126"/>
    <mergeCell ref="B127:L127"/>
    <mergeCell ref="B133:L133"/>
    <mergeCell ref="B134:L134"/>
    <mergeCell ref="B128:L128"/>
    <mergeCell ref="B100:K100"/>
    <mergeCell ref="B109:K109"/>
    <mergeCell ref="B110:K110"/>
    <mergeCell ref="B115:K115"/>
    <mergeCell ref="B106:K106"/>
    <mergeCell ref="B114:K114"/>
    <mergeCell ref="B120:L120"/>
    <mergeCell ref="B116:K116"/>
    <mergeCell ref="B117:K117"/>
    <mergeCell ref="B119:K119"/>
    <mergeCell ref="B112:K112"/>
    <mergeCell ref="B111:K111"/>
    <mergeCell ref="B118:K118"/>
    <mergeCell ref="B129:L129"/>
    <mergeCell ref="B132:L132"/>
    <mergeCell ref="B130:L130"/>
    <mergeCell ref="B147:L147"/>
    <mergeCell ref="B148:L148"/>
    <mergeCell ref="B144:H144"/>
    <mergeCell ref="I144:L144"/>
    <mergeCell ref="B146:H146"/>
    <mergeCell ref="I146:L146"/>
    <mergeCell ref="I145:L145"/>
    <mergeCell ref="B145:H145"/>
    <mergeCell ref="B135:H135"/>
    <mergeCell ref="I136:L136"/>
    <mergeCell ref="B143:H143"/>
    <mergeCell ref="I143:L143"/>
    <mergeCell ref="B140:L140"/>
    <mergeCell ref="B137:H137"/>
    <mergeCell ref="B139:L139"/>
    <mergeCell ref="I142:L142"/>
    <mergeCell ref="B141:L141"/>
    <mergeCell ref="B142:H142"/>
    <mergeCell ref="I135:L135"/>
    <mergeCell ref="I138:L138"/>
    <mergeCell ref="I137:L137"/>
    <mergeCell ref="B138:H138"/>
  </mergeCells>
  <phoneticPr fontId="22" type="noConversion"/>
  <conditionalFormatting sqref="A11 A14:A15">
    <cfRule type="cellIs" dxfId="477" priority="34" stopIfTrue="1" operator="greaterThan">
      <formula>61</formula>
    </cfRule>
    <cfRule type="expression" dxfId="476" priority="35" stopIfTrue="1">
      <formula>$A$24</formula>
    </cfRule>
  </conditionalFormatting>
  <conditionalFormatting sqref="B26:C85 D48:F85 H48:H85">
    <cfRule type="expression" dxfId="475" priority="1" stopIfTrue="1">
      <formula>$N26</formula>
    </cfRule>
  </conditionalFormatting>
  <conditionalFormatting sqref="B18:F18">
    <cfRule type="expression" dxfId="474" priority="26" stopIfTrue="1">
      <formula>$M$8</formula>
    </cfRule>
  </conditionalFormatting>
  <conditionalFormatting sqref="B25:H25">
    <cfRule type="expression" dxfId="473" priority="7" stopIfTrue="1">
      <formula>$N$25</formula>
    </cfRule>
  </conditionalFormatting>
  <conditionalFormatting sqref="B96:I119">
    <cfRule type="expression" dxfId="472" priority="4" stopIfTrue="1">
      <formula>A96</formula>
    </cfRule>
  </conditionalFormatting>
  <conditionalFormatting sqref="D12:E12">
    <cfRule type="expression" dxfId="471" priority="33" stopIfTrue="1">
      <formula>$A$24</formula>
    </cfRule>
  </conditionalFormatting>
  <conditionalFormatting sqref="D39:F39 H39">
    <cfRule type="expression" dxfId="470" priority="21" stopIfTrue="1">
      <formula>$N$39</formula>
    </cfRule>
  </conditionalFormatting>
  <conditionalFormatting sqref="D40:F40 H40">
    <cfRule type="expression" dxfId="469" priority="22" stopIfTrue="1">
      <formula>$N$40</formula>
    </cfRule>
  </conditionalFormatting>
  <conditionalFormatting sqref="D41:F41 H41">
    <cfRule type="expression" dxfId="468" priority="23" stopIfTrue="1">
      <formula>$N$41</formula>
    </cfRule>
  </conditionalFormatting>
  <conditionalFormatting sqref="D42:F42 H42">
    <cfRule type="expression" dxfId="467" priority="24" stopIfTrue="1">
      <formula>$N$42</formula>
    </cfRule>
  </conditionalFormatting>
  <conditionalFormatting sqref="D43:F43 H43">
    <cfRule type="expression" dxfId="466" priority="28" stopIfTrue="1">
      <formula>$N$43</formula>
    </cfRule>
  </conditionalFormatting>
  <conditionalFormatting sqref="D44:F44 H44">
    <cfRule type="expression" dxfId="465" priority="29" stopIfTrue="1">
      <formula>$N$44</formula>
    </cfRule>
  </conditionalFormatting>
  <conditionalFormatting sqref="D45:F45 H45">
    <cfRule type="expression" dxfId="464" priority="30" stopIfTrue="1">
      <formula>$N$45</formula>
    </cfRule>
  </conditionalFormatting>
  <conditionalFormatting sqref="D46:F46 H46">
    <cfRule type="expression" dxfId="463" priority="31" stopIfTrue="1">
      <formula>$N$46</formula>
    </cfRule>
  </conditionalFormatting>
  <conditionalFormatting sqref="D47:F47 H47">
    <cfRule type="expression" dxfId="462" priority="32" stopIfTrue="1">
      <formula>$N$47</formula>
    </cfRule>
  </conditionalFormatting>
  <conditionalFormatting sqref="D26:H26">
    <cfRule type="expression" dxfId="461" priority="8" stopIfTrue="1">
      <formula>$N$26</formula>
    </cfRule>
  </conditionalFormatting>
  <conditionalFormatting sqref="D27:H27">
    <cfRule type="expression" dxfId="460" priority="9" stopIfTrue="1">
      <formula>$N$27</formula>
    </cfRule>
  </conditionalFormatting>
  <conditionalFormatting sqref="D28:H28">
    <cfRule type="expression" dxfId="459" priority="10" stopIfTrue="1">
      <formula>$N$28</formula>
    </cfRule>
  </conditionalFormatting>
  <conditionalFormatting sqref="D29:H29">
    <cfRule type="expression" dxfId="458" priority="11" stopIfTrue="1">
      <formula>$N$29</formula>
    </cfRule>
  </conditionalFormatting>
  <conditionalFormatting sqref="D30:H30">
    <cfRule type="expression" dxfId="457" priority="12" stopIfTrue="1">
      <formula>$N$30</formula>
    </cfRule>
  </conditionalFormatting>
  <conditionalFormatting sqref="D31:H31">
    <cfRule type="expression" dxfId="456" priority="13" stopIfTrue="1">
      <formula>$N$31</formula>
    </cfRule>
  </conditionalFormatting>
  <conditionalFormatting sqref="D32:H32">
    <cfRule type="expression" dxfId="455" priority="14" stopIfTrue="1">
      <formula>$N$32</formula>
    </cfRule>
  </conditionalFormatting>
  <conditionalFormatting sqref="D33:H33">
    <cfRule type="expression" dxfId="454" priority="15" stopIfTrue="1">
      <formula>$N$33</formula>
    </cfRule>
  </conditionalFormatting>
  <conditionalFormatting sqref="D34:H34">
    <cfRule type="expression" dxfId="453" priority="16" stopIfTrue="1">
      <formula>$N$34</formula>
    </cfRule>
  </conditionalFormatting>
  <conditionalFormatting sqref="D35:H35">
    <cfRule type="expression" dxfId="452" priority="17" stopIfTrue="1">
      <formula>$N$35</formula>
    </cfRule>
  </conditionalFormatting>
  <conditionalFormatting sqref="D36:H36">
    <cfRule type="expression" dxfId="451" priority="18" stopIfTrue="1">
      <formula>$N$36</formula>
    </cfRule>
  </conditionalFormatting>
  <conditionalFormatting sqref="D37:H37">
    <cfRule type="expression" dxfId="450" priority="19" stopIfTrue="1">
      <formula>$N$37</formula>
    </cfRule>
  </conditionalFormatting>
  <conditionalFormatting sqref="D38:H38 G39:G85">
    <cfRule type="expression" dxfId="449" priority="20" stopIfTrue="1">
      <formula>$N$38</formula>
    </cfRule>
  </conditionalFormatting>
  <conditionalFormatting sqref="F10 D11:E11">
    <cfRule type="expression" dxfId="448" priority="25" stopIfTrue="1">
      <formula>$M$5</formula>
    </cfRule>
  </conditionalFormatting>
  <conditionalFormatting sqref="G10:L10">
    <cfRule type="expression" dxfId="447" priority="27" stopIfTrue="1">
      <formula>$A$1</formula>
    </cfRule>
  </conditionalFormatting>
  <conditionalFormatting sqref="I24:K24">
    <cfRule type="expression" dxfId="446" priority="38" stopIfTrue="1">
      <formula>$D$15</formula>
    </cfRule>
  </conditionalFormatting>
  <conditionalFormatting sqref="I23:L23 L24">
    <cfRule type="expression" dxfId="445" priority="39" stopIfTrue="1">
      <formula>$D$15</formula>
    </cfRule>
  </conditionalFormatting>
  <conditionalFormatting sqref="I25:L85">
    <cfRule type="expression" dxfId="444" priority="6" stopIfTrue="1">
      <formula>$AY25</formula>
    </cfRule>
  </conditionalFormatting>
  <conditionalFormatting sqref="J96:J119">
    <cfRule type="expression" dxfId="443" priority="5" stopIfTrue="1">
      <formula>H96</formula>
    </cfRule>
  </conditionalFormatting>
  <conditionalFormatting sqref="K96:K119">
    <cfRule type="expression" dxfId="442" priority="3" stopIfTrue="1">
      <formula>H96</formula>
    </cfRule>
  </conditionalFormatting>
  <conditionalFormatting sqref="L96:L119">
    <cfRule type="expression" dxfId="441" priority="2" stopIfTrue="1">
      <formula>H96</formula>
    </cfRule>
  </conditionalFormatting>
  <dataValidations count="2">
    <dataValidation type="list" allowBlank="1" showInputMessage="1" showErrorMessage="1" sqref="D14:E14" xr:uid="{00000000-0002-0000-0800-000000000000}">
      <formula1>$W$12:$W$17</formula1>
    </dataValidation>
    <dataValidation type="list" allowBlank="1" showInputMessage="1" showErrorMessage="1" sqref="D15:E15" xr:uid="{00000000-0002-0000-0800-000001000000}">
      <formula1>$X$13:$X$17</formula1>
    </dataValidation>
  </dataValidations>
  <pageMargins left="0.86614173228346458" right="0.35433070866141736" top="0.39370078740157483" bottom="0.31496062992125984" header="0.51181102362204722" footer="0.31496062992125984"/>
  <pageSetup scale="60" orientation="portrait" r:id="rId1"/>
  <headerFooter alignWithMargins="0"/>
  <rowBreaks count="1" manualBreakCount="1">
    <brk id="85" min="1" max="7" man="1"/>
  </rowBreaks>
  <colBreaks count="2" manualBreakCount="2">
    <brk id="1" max="1048575" man="1"/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23</vt:i4>
      </vt:variant>
    </vt:vector>
  </HeadingPairs>
  <TitlesOfParts>
    <vt:vector size="46" baseType="lpstr">
      <vt:lpstr>"Стандарт"</vt:lpstr>
      <vt:lpstr>"Доверие"</vt:lpstr>
      <vt:lpstr>"Щедрый"</vt:lpstr>
      <vt:lpstr>"Горячее погашение"</vt:lpstr>
      <vt:lpstr>"Горячее погашение" АКЦИЯ</vt:lpstr>
      <vt:lpstr>Кредит-экспресс_короткий_АКЦИЯ</vt:lpstr>
      <vt:lpstr>Кредит-экспресс_долгий_АКЦИЯ</vt:lpstr>
      <vt:lpstr>Экспресс "Без справки"</vt:lpstr>
      <vt:lpstr>"Без справки"_короткий_АКЦИЯ</vt:lpstr>
      <vt:lpstr>"Без справки"_долгий_АКЦИЯ</vt:lpstr>
      <vt:lpstr>Экспресс "Выгодный"</vt:lpstr>
      <vt:lpstr>"Выгодный"_короткий_АКЦИЯ</vt:lpstr>
      <vt:lpstr>"Выгодный"_долгий_АКЦИЯ</vt:lpstr>
      <vt:lpstr>Доверие_new</vt:lpstr>
      <vt:lpstr>На учебу</vt:lpstr>
      <vt:lpstr>"Оптимальный"</vt:lpstr>
      <vt:lpstr>расчет 3месяца для льгот проц</vt:lpstr>
      <vt:lpstr>Стандарт, Доверие, Щедрый</vt:lpstr>
      <vt:lpstr>Горячее погашение</vt:lpstr>
      <vt:lpstr>Аннуитет</vt:lpstr>
      <vt:lpstr>Кредитный калькулятор</vt:lpstr>
      <vt:lpstr>Гарант</vt:lpstr>
      <vt:lpstr>Лист1</vt:lpstr>
      <vt:lpstr>'"Без справки"_долгий_АКЦИЯ'!Область_печати</vt:lpstr>
      <vt:lpstr>'"Без справки"_короткий_АКЦИЯ'!Область_печати</vt:lpstr>
      <vt:lpstr>'"Выгодный"_долгий_АКЦИЯ'!Область_печати</vt:lpstr>
      <vt:lpstr>'"Выгодный"_короткий_АКЦИЯ'!Область_печати</vt:lpstr>
      <vt:lpstr>'"Горячее погашение"'!Область_печати</vt:lpstr>
      <vt:lpstr>'"Горячее погашение" АКЦИЯ'!Область_печати</vt:lpstr>
      <vt:lpstr>'"Доверие"'!Область_печати</vt:lpstr>
      <vt:lpstr>'"Оптимальный"'!Область_печати</vt:lpstr>
      <vt:lpstr>'"Стандарт"'!Область_печати</vt:lpstr>
      <vt:lpstr>'"Щедрый"'!Область_печати</vt:lpstr>
      <vt:lpstr>Аннуитет!Область_печати</vt:lpstr>
      <vt:lpstr>Гарант!Область_печати</vt:lpstr>
      <vt:lpstr>'Горячее погашение'!Область_печати</vt:lpstr>
      <vt:lpstr>Доверие_new!Область_печати</vt:lpstr>
      <vt:lpstr>'Кредитный калькулятор'!Область_печати</vt:lpstr>
      <vt:lpstr>'Кредит-экспресс_долгий_АКЦИЯ'!Область_печати</vt:lpstr>
      <vt:lpstr>'Кредит-экспресс_короткий_АКЦИЯ'!Область_печати</vt:lpstr>
      <vt:lpstr>'На учебу'!Область_печати</vt:lpstr>
      <vt:lpstr>'Стандарт, Доверие, Щедрый'!Область_печати</vt:lpstr>
      <vt:lpstr>'Экспресс "Без справки"'!Область_печати</vt:lpstr>
      <vt:lpstr>'Экспресс "Выгодный"'!Область_печати</vt:lpstr>
      <vt:lpstr>Срок</vt:lpstr>
      <vt:lpstr>сроки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Ткачёва Юлия Сергеевна</dc:creator>
  <cp:lastModifiedBy>Admin</cp:lastModifiedBy>
  <cp:lastPrinted>2023-06-29T10:41:20Z</cp:lastPrinted>
  <dcterms:created xsi:type="dcterms:W3CDTF">2011-01-04T01:04:12Z</dcterms:created>
  <dcterms:modified xsi:type="dcterms:W3CDTF">2024-01-03T09:43:48Z</dcterms:modified>
</cp:coreProperties>
</file>